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commentsmeta11"/>
  <Override ContentType="application/binary" PartName="/xl/commentsmeta10"/>
  <Override ContentType="application/binary" PartName="/xl/commentsmeta4"/>
  <Override ContentType="application/binary" PartName="/xl/commentsmeta5"/>
  <Override ContentType="application/binary" PartName="/xl/commentsmeta2"/>
  <Override ContentType="application/binary" PartName="/xl/commentsmeta3"/>
  <Override ContentType="application/binary" PartName="/xl/commentsmeta0"/>
  <Override ContentType="application/binary" PartName="/xl/commentsmeta1"/>
  <Override ContentType="application/binary" PartName="/xl/commentsmeta8"/>
  <Override ContentType="application/binary" PartName="/xl/commentsmeta9"/>
  <Override ContentType="application/binary" PartName="/xl/commentsmeta6"/>
  <Override ContentType="application/binary" PartName="/xl/commentsmeta7"/>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tyles+xml" PartName="/xl/styles.xml"/>
  <Override ContentType="application/vnd.openxmlformats-officedocument.spreadsheetml.comments+xml" PartName="/xl/comments8.xml"/>
  <Override ContentType="application/vnd.openxmlformats-officedocument.spreadsheetml.comments+xml" PartName="/xl/comments7.xml"/>
  <Override ContentType="application/vnd.openxmlformats-officedocument.spreadsheetml.comments+xml" PartName="/xl/comments9.xml"/>
  <Override ContentType="application/vnd.openxmlformats-officedocument.spreadsheetml.comments+xml" PartName="/xl/comments11.xml"/>
  <Override ContentType="application/vnd.openxmlformats-officedocument.spreadsheetml.comments+xml" PartName="/xl/comments10.xml"/>
  <Override ContentType="application/vnd.openxmlformats-officedocument.spreadsheetml.comments+xml" PartName="/xl/comments12.xml"/>
  <Override ContentType="application/vnd.openxmlformats-officedocument.spreadsheetml.comments+xml" PartName="/xl/comments5.xml"/>
  <Override ContentType="application/vnd.openxmlformats-officedocument.spreadsheetml.comments+xml" PartName="/xl/comments6.xml"/>
  <Override ContentType="application/vnd.openxmlformats-officedocument.spreadsheetml.comments+xml" PartName="/xl/comments1.xml"/>
  <Override ContentType="application/vnd.openxmlformats-officedocument.spreadsheetml.comments+xml" PartName="/xl/comments4.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drawingml.chart+xml" PartName="/xl/charts/chart1.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ver" sheetId="1" r:id="rId4"/>
    <sheet state="visible" name="Orbit Info" sheetId="2" r:id="rId5"/>
    <sheet state="visible" name="Data DownlinkStorage Budget" sheetId="3" r:id="rId6"/>
    <sheet state="visible" name="Data Uplink Budget" sheetId="4" r:id="rId7"/>
    <sheet state="visible" name="Storage over time" sheetId="5" r:id="rId8"/>
    <sheet state="visible" name="ProcessorBus Utilization Budget" sheetId="6" r:id="rId9"/>
    <sheet state="visible" name="Position Error Budget" sheetId="7" r:id="rId10"/>
    <sheet state="visible" name="Pointing Budget" sheetId="8" r:id="rId11"/>
    <sheet state="hidden" name="Link Budget, Simplified" sheetId="9" r:id="rId12"/>
    <sheet state="visible" name="Link Budget, Downlink" sheetId="10" r:id="rId13"/>
    <sheet state="visible" name="Link Budget, Uplink" sheetId="11" r:id="rId14"/>
    <sheet state="visible" name="Current Draw by Rail" sheetId="12" r:id="rId15"/>
    <sheet state="visible" name="Power Draw" sheetId="13" r:id="rId16"/>
    <sheet state="visible" name="Power Generated" sheetId="14" r:id="rId17"/>
    <sheet state="visible" name="Energy Balance" sheetId="15" r:id="rId18"/>
    <sheet state="visible" name="Thermal Budget" sheetId="16" r:id="rId19"/>
    <sheet state="visible" name="Mass Budget" sheetId="17" r:id="rId20"/>
    <sheet state="hidden" name="Link Budget, Simplified (1)" sheetId="18" r:id="rId21"/>
  </sheets>
  <externalReferences>
    <externalReference r:id="rId22"/>
    <externalReference r:id="rId23"/>
  </externalReferences>
  <definedNames/>
  <calcPr/>
  <extLst>
    <ext uri="GoogleSheetsCustomDataVersion2">
      <go:sheetsCustomData xmlns:go="http://customooxmlschemas.google.com/" r:id="rId24" roundtripDataChecksum="XC2uGk0T3/t3gS24yjOU4zkC7ODAjrvXUNrj2AfXT1w="/>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1">
      <text>
        <t xml:space="preserve">======
ID#AAACHS3ElPE
tc={0f3c3cc6-bc64-4e47-92c1-b0fd7e574085}    (2026-09-18 01:10:06)
[Threaded comment]
 Your version of Excel allows you to read this threaded comment; however, any edits to it will get removed if the file is opened in a newer version of Excel. Learn more: https://go.microsoft.com/fwlink/?linkid=870924
Comment:
	These are a bunch of bunk values, mostly because I don't think there's a way to know ahead of time what these values could be.
======
ID#AAACHS3ElO4
tc={6818cf54-7ef5-48cd-b9a3-4e864c935f85}    (2026-09-18 01:10:06)
[Threaded comment]
 Your version of Excel allows you to read this threaded comment; however, any edits to it will get removed if the file is opened in a newer version of Excel. Learn more: https://go.microsoft.com/fwlink/?linkid=870924
Comment:
	uncertain where these numbers came from
======
ID#AAACHS3ElOw
tc={9cb7d0ea-d4ce-461d-ac98-50b8aa0f8d39}    (2026-09-18 01:10:06)
[Threaded comment]
 Your version of Excel allows you to read this threaded comment; however, any edits to it will get removed if the file is opened in a newer version of Excel. Learn more: https://go.microsoft.com/fwlink/?linkid=870924
Comment:
	Seems like this is assuming we have RWs on satellite. Not sure what to do with it
======
ID#AAACHS3ElOs
tc={6fac84b9-7628-403e-8baa-ed0532d5a945}    (2026-09-18 01:10:06)
[Threaded comment]
 Your version of Excel allows you to read this threaded comment; however, any edits to it will get removed if the file is opened in a newer version of Excel. Learn more: https://go.microsoft.com/fwlink/?linkid=870924
Comment:
	What modulation scheme are we using? why?
======
ID#AAACHSyor1c
tc={1df0490b-d3a4-493b-8842-04efe3a0ddbf}    (2026-09-18 01:10:06)
[Threaded comment]
 Your version of Excel allows you to read this threaded comment; however, any edits to it will get removed if the file is opened in a newer version of Excel. Learn more: https://go.microsoft.com/fwlink/?linkid=870924
Comment:
	0.02 magnetorquer moment * average B field at 400km 51.6 inclination
======
ID#AAACHSyor1M
tc={1df0490b-d3a4-493b-8842-04efe3a0ddbf}    (2026-09-18 01:10:06)
[Threaded comment]
 Your version of Excel allows you to read this threaded comment; however, any edits to it will get removed if the file is opened in a newer version of Excel. Learn more: https://go.microsoft.com/fwlink/?linkid=870924
Comment:
	0.02 magnetorquer moment * average B field at 400km 51.6 inclination
======
ID#AAACHSyor0w
tc={6818cf54-7ef5-48cd-b9a3-4e864c935f85}    (2026-09-18 01:10:06)
[Threaded comment]
 Your version of Excel allows you to read this threaded comment; however, any edits to it will get removed if the file is opened in a newer version of Excel. Learn more: https://go.microsoft.com/fwlink/?linkid=870924
Comment:
	uncertain where these numbers came from
======
ID#AAACHSyorzw
tc={1df0490b-d3a4-493b-8842-04efe3a0ddbf}    (2026-09-18 01:10:06)
[Threaded comment]
 Your version of Excel allows you to read this threaded comment; however, any edits to it will get removed if the file is opened in a newer version of Excel. Learn more: https://go.microsoft.com/fwlink/?linkid=870924
Comment:
	0.02 magnetorquer moment * average B field at 400km 51.6 inclination
======
ID#AAACHSyorzY
tc={0f3c3cc6-bc64-4e47-92c1-b0fd7e574085}    (2026-09-18 01:10:06)
[Threaded comment]
 Your version of Excel allows you to read this threaded comment; however, any edits to it will get removed if the file is opened in a newer version of Excel. Learn more: https://go.microsoft.com/fwlink/?linkid=870924
Comment:
	These are a bunch of bunk values, mostly because I don't think there's a way to know ahead of time what these values could be.
======
ID#AAACHSyorzQ
tc={6818cf54-7ef5-48cd-b9a3-4e864c935f85}    (2026-09-18 01:10:06)
[Threaded comment]
 Your version of Excel allows you to read this threaded comment; however, any edits to it will get removed if the file is opened in a newer version of Excel. Learn more: https://go.microsoft.com/fwlink/?linkid=870924
Comment:
	uncertain where these numbers came from
======
ID#AAACHSyorzM
tc={1df0490b-d3a4-493b-8842-04efe3a0ddbf}    (2026-09-18 01:10:06)
[Threaded comment]
 Your version of Excel allows you to read this threaded comment; however, any edits to it will get removed if the file is opened in a newer version of Excel. Learn more: https://go.microsoft.com/fwlink/?linkid=870924
Comment:
	0.02 magnetorquer moment * average B field at 400km 51.6 inclination
======
ID#AAACHSyoryw
tc={6fac84b9-7628-403e-8baa-ed0532d5a945}    (2026-09-18 01:10:06)
[Threaded comment]
 Your version of Excel allows you to read this threaded comment; however, any edits to it will get removed if the file is opened in a newer version of Excel. Learn more: https://go.microsoft.com/fwlink/?linkid=870924
Comment:
	What modulation scheme are we using? why?
======
ID#AAACHSyoryo
tc={9cb7d0ea-d4ce-461d-ac98-50b8aa0f8d39}    (2026-09-18 01:10:06)
[Threaded comment]
 Your version of Excel allows you to read this threaded comment; however, any edits to it will get removed if the file is opened in a newer version of Excel. Learn more: https://go.microsoft.com/fwlink/?linkid=870924
Comment:
	Seems like this is assuming we have RWs on satellite. Not sure what to do with it
======
ID#AAACHSyoryk
tc={0f3c3cc6-bc64-4e47-92c1-b0fd7e574085}    (2026-09-18 01:10:06)
[Threaded comment]
 Your version of Excel allows you to read this threaded comment; however, any edits to it will get removed if the file is opened in a newer version of Excel. Learn more: https://go.microsoft.com/fwlink/?linkid=870924
Comment:
	These are a bunch of bunk values, mostly because I don't think there's a way to know ahead of time what these values could be.
======
ID#AAACHSyoryU
tc={1df0490b-d3a4-493b-8842-04efe3a0ddbf}    (2026-09-18 01:10:06)
[Threaded comment]
 Your version of Excel allows you to read this threaded comment; however, any edits to it will get removed if the file is opened in a newer version of Excel. Learn more: https://go.microsoft.com/fwlink/?linkid=870924
Comment:
	0.02 magnetorquer moment * average B field at 400km 51.6 inclination
======
ID#AAACHSyorx4
tc={d7429ec1-cc8a-4e65-81c6-19bee1ad6fa3}    (2026-09-18 01:10:06)
[Threaded comment]
 Your version of Excel allows you to read this threaded comment; however, any edits to it will get removed if the file is opened in a newer version of Excel. Learn more: https://go.microsoft.com/fwlink/?linkid=870924
Comment:
	Ngl, idk the point of this
Reply:
	actually I think its in case of things like downlinking, this is how far off from the station you could be pointing
======
ID#AAACHSyorxU
tc={6818cf54-7ef5-48cd-b9a3-4e864c935f85}    (2026-09-18 01:10:06)
[Threaded comment]
 Your version of Excel allows you to read this threaded comment; however, any edits to it will get removed if the file is opened in a newer version of Excel. Learn more: https://go.microsoft.com/fwlink/?linkid=870924
Comment:
	uncertain where these numbers came from
======
ID#AAACHSyorw0
tc={0f3c3cc6-bc64-4e47-92c1-b0fd7e574085}    (2026-09-18 01:10:06)
[Threaded comment]
 Your version of Excel allows you to read this threaded comment; however, any edits to it will get removed if the file is opened in a newer version of Excel. Learn more: https://go.microsoft.com/fwlink/?linkid=870924
Comment:
	These are a bunch of bunk values, mostly because I don't think there's a way to know ahead of time what these values could be.
======
ID#AAACHSyorws
tc={6fac84b9-7628-403e-8baa-ed0532d5a945}    (2026-09-18 01:10:06)
[Threaded comment]
 Your version of Excel allows you to read this threaded comment; however, any edits to it will get removed if the file is opened in a newer version of Excel. Learn more: https://go.microsoft.com/fwlink/?linkid=870924
Comment:
	What modulation scheme are we using? why?
======
ID#AAACHSyortM
tc={0f3c3cc6-bc64-4e47-92c1-b0fd7e574085}    (2026-09-18 01:10:06)
[Threaded comment]
 Your version of Excel allows you to read this threaded comment; however, any edits to it will get removed if the file is opened in a newer version of Excel. Learn more: https://go.microsoft.com/fwlink/?linkid=870924
Comment:
	These are a bunch of bunk values, mostly because I don't think there's a way to know ahead of time what these values could be.
======
ID#AAACHSwN5fw
tc={0f3c3cc6-bc64-4e47-92c1-b0fd7e574085}    (2026-09-18 01:10:06)
[Threaded comment]
 Your version of Excel allows you to read this threaded comment; however, any edits to it will get removed if the file is opened in a newer version of Excel. Learn more: https://go.microsoft.com/fwlink/?linkid=870924
Comment:
	These are a bunch of bunk values, mostly because I don't think there's a way to know ahead of time what these values could be.</t>
      </text>
    </comment>
  </commentList>
  <extLst>
    <ext uri="GoogleSheetsCustomDataVersion2">
      <go:sheetsCustomData xmlns:go="http://customooxmlschemas.google.com/" r:id="rId1" roundtripDataSignature="AMtx7mi6Oasq8ibIHvJQbmPv8twQ9laKkA=="/>
    </ext>
  </extL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F6">
      <text>
        <t xml:space="preserve">======
ID#AAACHS3ElPY
    (2026-09-18 01:10:06)
Horizon-to-Horizon geometrically is approximated as a circular orbit, when the satellite makes a right angle between the vector to the center of earth, and direct line of sight to the spacecraft. This is used to compute pass angles, pass duration, and time spent in sun.</t>
      </text>
    </comment>
    <comment authorId="0" ref="A1">
      <text>
        <t xml:space="preserve">======
ID#AAACHSyort4
    (2026-09-18 01:10:06)
This column is in increments of 1 minute to 1440 minutes to display one full day. (24 hours * 60 minutes = 1440 minutes)</t>
      </text>
    </comment>
    <comment authorId="0" ref="B1">
      <text>
        <t xml:space="preserve">======
ID#AAACHSyor0E
    (2026-09-18 01:10:06)
Provides how far in an orbit the spacecraft is. 
Cell B3= A3/G$10
Timestep in minutes (A3) divided by the orbit period (G10) in minutes.</t>
      </text>
    </comment>
    <comment authorId="0" ref="C1">
      <text>
        <t xml:space="preserve">======
ID#AAACHS3ElPc
Key    (2026-09-18 01:10:06)
0 = Spacecraft is in an eclipse
1 = Spacecraft is in the sun
Assuming the spacecraft starts in the sun, the equation below is used to calculate when the spacecraft is in the sun based on the minute of the day. 
Example Equation:
=IF((CEILING(B3,1)*G$16-A3)&gt;G$16*(1-G$18),1,0)
If the orbit number (CEILING(B3,1)) multiplied by the orbit period (G$16) subtracted by the timestep in the day (A3) is greater than the orbit period (G$16) multiplied by the time the spacecraft is in eclipse (1-G$18), then the spacecraft is in the sun. If it is smaller than the numbers, then it would be in eclipse.</t>
      </text>
    </comment>
    <comment authorId="0" ref="D1">
      <text>
        <t xml:space="preserve">======
ID#AAACHS3ElOE
Key    (2026-09-18 01:10:06)
1 = Spacecraft is in an eclipse (e.g. if in eclipse)
0 = Spacecraft is in the sun
Assuming the spacecraft starts in the sun, the equation below is used to calculate when the spacecraft is in the sun based on the minute of the day. 
Example Equation:
=IF((CEILING(B3,1)*G$16-A3)&gt;G$16*(1-G$18),0,1)
If the orbit number (CEILING(B3,1)) multiplied by the orbit period (G$16) subtracted by the timestep in the day (A3) is greater than the orbit period (G$16) multiplied by the time the spacecraft is in eclipse (1-G$18), then the spacecraft is not in eclipse. If it is greater than the numbers, then it would be in the sun.</t>
      </text>
    </comment>
    <comment authorId="0" ref="F17">
      <text>
        <t xml:space="preserve">======
ID#AAACHSyortU
    (2026-09-18 01:10:06)
The total angle the satellite is in the sun is an important variable for performance budgets. 
=PI() + 2*C10
In this equation, the sheet doubles the angle to satellite at Earth Limb (C10) and adds half the orbit that is illuminated by the sun (PI()).</t>
      </text>
    </comment>
    <comment authorId="0" ref="F15">
      <text>
        <t xml:space="preserve">======
ID#AAACHSyorwk
    (2026-09-18 01:10:06)
This indicates the maximum duration of a pass the mission might have based on its orbit parameters. This pass would be considered the perfect pass with the satellite going directly overheard with a ground antenna maximum elevation being 90 degrees.</t>
      </text>
    </comment>
    <comment authorId="0" ref="F14">
      <text>
        <t xml:space="preserve">======
ID#AAACHSyortk
    (2026-09-18 01:10:06)
Arc-cos () of angle from center of earth
=2*ACOS(G4/G7)
The inverse cosine is used to determine the angle to Satellite at Earth's limb. This equation is Earth's Radius (G4) divided by the satellite's orbit radius (G7).</t>
      </text>
    </comment>
    <comment authorId="0" ref="F9">
      <text>
        <t xml:space="preserve">======
ID#AAACHS3ElOI
Definition of an orbit's period    (2026-09-18 01:10:06)
T = 2 * PI() * sqrt(Semi-major axis^3 / gravitational parameter)
For a circular orbit, the semi-major axis equals the orbit's radius</t>
      </text>
    </comment>
    <comment authorId="0" ref="F8">
      <text>
        <t xml:space="preserve">======
ID#AAACHS3ElOY
    (2026-09-18 01:10:06)
Long arm = orbit radius. Right triangle, thus we can use Pythagorean Theorem
=SQRT(G7^2-G4^2)
The Distance to the satellite at the edge of Earth is the square root of the Satellite's Orbit Radius Squared (G7^2) subtracted by the Earth's Radius (G4^2).</t>
      </text>
    </comment>
    <comment authorId="0" ref="F7">
      <text>
        <t xml:space="preserve">======
ID#AAACHS3ElOc
    (2026-09-18 01:10:06)
The satellite's orbit radius is determined by adding the Earth's Radius with the orbit altitude the satellite is away from Earth's surface.</t>
      </text>
    </comment>
  </commentList>
  <extLst>
    <ext uri="GoogleSheetsCustomDataVersion2">
      <go:sheetsCustomData xmlns:go="http://customooxmlschemas.google.com/" r:id="rId1" roundtripDataSignature="AMtx7mjVmkPu1OFGOlZ3o/lnZTa1pSuELQ=="/>
    </ext>
  </extL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M13">
      <text>
        <t xml:space="preserve">======
ID#AAACHSwN5gE
tc={0dfd3971-5677-4ee4-ae47-78acb4e65082}    (2026-09-18 01:10:06)
[Threaded comment]
 Your version of Excel allows you to read this threaded comment; however, any edits to it will get removed if the file is opened in a newer version of Excel. Learn more: https://go.microsoft.com/fwlink/?linkid=870924
Comment:
	to be updated</t>
      </text>
    </comment>
    <comment authorId="0" ref="M7">
      <text>
        <t xml:space="preserve">======
ID#AAACHSyorzk
tc={233d628d-3e01-4451-8993-5d06597b4017}    (2026-09-18 01:10:06)
[Threaded comment]
 Your version of Excel allows you to read this threaded comment; however, any edits to it will get removed if the file is opened in a newer version of Excel. Learn more: https://go.microsoft.com/fwlink/?linkid=870924
Comment:
	to be updated depending on lossy vs lossless</t>
      </text>
    </comment>
    <comment authorId="0" ref="L3">
      <text>
        <t xml:space="preserve">======
ID#AAACHSyortY
    (2026-09-18 01:10:06)
Each pass time varies per orbit. If the pass time inserted here is higher than the maximum pass time found on "Orbit Info" sheet, then this cell will turn red. 
Keep in mind, each pass will have variable pass times in minutes.</t>
      </text>
    </comment>
    <comment authorId="0" ref="M3">
      <text>
        <t xml:space="preserve">======
ID#AAACHS3ElNg
    (2026-09-18 01:10:06)
Each pass time varies per orbit. If the pass time inserted here is higher than the maximum pass time found on "Orbit Info" sheet, then this cell will turn red. 
Keep in mind, each pass will have variable pass times in minutes.</t>
      </text>
    </comment>
    <comment authorId="0" ref="Q7">
      <text>
        <t xml:space="preserve">======
ID#AAACHSyorxc
tc={49cea5db-42eb-42fa-a8cc-306fd3963bdd}    (2026-09-18 01:10:06)
[Threaded comment]
 Your version of Excel allows you to read this threaded comment; however, any edits to it will get removed if the file is opened in a newer version of Excel. Learn more: https://go.microsoft.com/fwlink/?linkid=870924
Comment:
	confirm this percent</t>
      </text>
    </comment>
    <comment authorId="0" ref="P1">
      <text>
        <t xml:space="preserve">======
ID#AAACHS3ElOg
    (2026-09-18 01:10:06)
Downlink Overhead = (sample total/ Max packet size)*(Downlink packet Header + Radio Header)</t>
      </text>
    </comment>
    <comment authorId="0" ref="Q1">
      <text>
        <t xml:space="preserve">======
ID#AAACHSyorxI
    (2026-09-18 01:10:06)
Downlink Overhead = (sample total/ Max packet size)*(Downlink packet Header + Radio Header)</t>
      </text>
    </comment>
    <comment authorId="0" ref="M55">
      <text>
        <t xml:space="preserve">======
ID#AAACHSyoryQ
tc={ad634d9a-bc1f-4f58-af10-e030f3212126}    (2026-09-18 01:10:06)
[Threaded comment]
 Your version of Excel allows you to read this threaded comment; however, any edits to it will get removed if the file is opened in a newer version of Excel. Learn more: https://go.microsoft.com/fwlink/?linkid=870924
Comment:
	where'd this number come from</t>
      </text>
    </comment>
    <comment authorId="0" ref="B12">
      <text>
        <t xml:space="preserve">======
ID#AAACHSyor0o
tc={143e4f3b-2c56-4cda-bdf4-ff28b61e9474}    (2026-09-18 01:10:06)
[Threaded comment]
 Your version of Excel allows you to read this threaded comment; however, any edits to it will get removed if the file is opened in a newer version of Excel. Learn more: https://go.microsoft.com/fwlink/?linkid=870924
Comment:
	can we split this up</t>
      </text>
    </comment>
    <comment authorId="0" ref="L22">
      <text>
        <t xml:space="preserve">======
ID#AAACHSyorts
    (2026-09-18 01:10:06)
UHF = 9600 bps, maybe 34,500 bps
S-band &lt; 1 Mbps
X-band &lt; 100 Mbps</t>
      </text>
    </comment>
    <comment authorId="0" ref="M22">
      <text>
        <t xml:space="preserve">======
ID#AAACHSyor0Q
    (2026-09-18 01:10:06)
Actual radio downlink rate is 25 kbps, this section is green if the minimum rate needed is below 25 kbps
======
ID#AAACHSyor0A
tc={06973ff6-53ec-4b9b-b68c-c72d29f1ed4f}    (2026-09-18 01:10:06)
[Threaded comment]
 Your version of Excel allows you to read this threaded comment; however, any edits to it will get removed if the file is opened in a newer version of Excel. Learn more: https://go.microsoft.com/fwlink/?linkid=870924
Comment:
	To be updated
======
ID#AAACHSyortc
    (2026-09-18 01:10:06)
Actual radio downlink rate is 25 kbps, this section is green if the minimum rate needed is below 25 kbps</t>
      </text>
    </comment>
    <comment authorId="0" ref="E10">
      <text>
        <t xml:space="preserve">======
ID#AAACHSyorzI
    (2026-09-18 01:10:06)
The frequency of images taken is the number of samples taken per second. 
Equation:
D12=$L$5/86400
Which is the number of images ($L$5) for the experiment taken over the course of one day (86400 seconds).</t>
      </text>
    </comment>
    <comment authorId="0" ref="C2">
      <text>
        <t xml:space="preserve">======
ID#AAACHSyor0U
    (2026-09-18 01:10:06)
Values normally found in data sheet.</t>
      </text>
    </comment>
    <comment authorId="0" ref="E2">
      <text>
        <t xml:space="preserve">======
ID#AAACHSyor1Y
    (2026-09-18 01:10:06)
Frequency of samples taken are determined by CONOPS or mission needs.
======
ID#AAACHSyoryA
    (2026-09-18 01:10:06)
Frequency of samples taken are determined by CONOPS or mission needs.
======
ID#AAACHSyortE
tc={03af38f7-0d4e-48f6-ada4-33d1b3010c82}    (2026-09-18 01:10:06)
[Threaded comment]
 Your version of Excel allows you to read this threaded comment; however, any edits to it will get removed if the file is opened in a newer version of Excel. Learn more: https://go.microsoft.com/fwlink/?linkid=870924
Comment:
	confirm these frequencies</t>
      </text>
    </comment>
    <comment authorId="0" ref="F2">
      <text>
        <t xml:space="preserve">======
ID#AAACHSyortA
    (2026-09-18 01:10:06)
Sample overhead is determined by software implementation.</t>
      </text>
    </comment>
    <comment authorId="0" ref="G2">
      <text>
        <t xml:space="preserve">======
ID#AAACHSyor0k
    (2026-09-18 01:10:06)
Total seconds in a day on Earth.</t>
      </text>
    </comment>
    <comment authorId="0" ref="M8">
      <text>
        <t xml:space="preserve">======
ID#AAACHSwN5f0
    (2026-09-18 01:10:06)
Ximea xiQ-S7 (MQ013MG-E2): 1280x1024, 8-bit mono, per manufacturer datasheet.</t>
      </text>
    </comment>
    <comment authorId="0" ref="H2">
      <text>
        <t xml:space="preserve">======
ID#AAACHSyorzo
    (2026-09-18 01:10:06)
The Sample Total in Bytes calculates the Byte size of the individual subsystem with Sample Overhead (e.g. packetizing) additions. 
Example Equation:
G3=F3*D3*(E3+C3)
Subsystem Sample total is calculated by multiplying the Duration (F3) by the Frequency (D3) by the summation of Sample Overhead (E3) and Size (C3).</t>
      </text>
    </comment>
    <comment authorId="0" ref="I2">
      <text>
        <t xml:space="preserve">======
ID#AAACHS3ElO0
    (2026-09-18 01:10:06)
Downlink Overhead includes a packet header and footer to enable ground stations to decode the packet properly. 
Example Equation:
H3=(G3/$P$3)*($P$4+$P$5)
This is calculated by dividing the Sample Total (G3) by the Maximum Packet Size ($P$3) multiplied by the summation of the Downlink Packet Header/Footer ($P$4) and Radio Header ($P$5).</t>
      </text>
    </comment>
    <comment authorId="0" ref="M6">
      <text>
        <t xml:space="preserve">======
ID#AAACHSyor0Y
    (2026-09-18 01:10:06)
Fixed: LOST and FOUND both use the Ximea xiQ-S7 (MQ013MG-E2), 1280x1024, 8-bit mono. Old value (1024*1024) was a round placeholder, not the camera's actual resolution.</t>
      </text>
    </comment>
    <comment authorId="0" ref="L4">
      <text>
        <t xml:space="preserve">======
ID#AAACHSwN5f4
Expect per ground station, per satellite    (2026-09-18 01:10:06)
&lt; 8 passes per day for a LEO spacecraft
&lt; 14 passes if high latitude station and polar orbit</t>
      </text>
    </comment>
    <comment authorId="0" ref="M4">
      <text>
        <t xml:space="preserve">======
ID#AAACHS3ElPA
tc={38d5d044-d4dd-4c6e-8599-a747414a92e3}    (2026-09-18 01:10:06)
[Threaded comment]
 Your version of Excel allows you to read this threaded comment; however, any edits to it will get removed if the file is opened in a newer version of Excel. Learn more: https://go.microsoft.com/fwlink/?linkid=870924
Comment:
	to be updated
======
ID#AAACHS3ElOk
Expect per ground station, per satellite    (2026-09-18 01:10:06)
&lt; 8 passes per day for a LEO spacecraft
&lt; 14 passes if high latitude station and polar orbit
======
ID#AAACHS3ElOM
Expect per ground station, per satellite    (2026-09-18 01:10:06)
&lt; 8 passes per day for a LEO spacecraft
&lt; 14 passes if high latitude station and polar orbit</t>
      </text>
    </comment>
    <comment authorId="0" ref="C17">
      <text>
        <t xml:space="preserve">======
ID#AAACHS3ElPk
    (2026-09-18 01:10:06)
Values normally found in data sheet.</t>
      </text>
    </comment>
    <comment authorId="0" ref="E17">
      <text>
        <t xml:space="preserve">======
ID#AAACHSyorw8
    (2026-09-18 01:10:06)
Frequency of samples taken are determined by CONOPS or mission needs.</t>
      </text>
    </comment>
    <comment authorId="0" ref="F17">
      <text>
        <t xml:space="preserve">======
ID#AAACHSyoryg
    (2026-09-18 01:10:06)
Sample overhead is determined by software implementation.</t>
      </text>
    </comment>
    <comment authorId="0" ref="G17">
      <text>
        <t xml:space="preserve">======
ID#AAACHSyorxA
    (2026-09-18 01:10:06)
Total seconds in a day on Earth.</t>
      </text>
    </comment>
    <comment authorId="0" ref="H17">
      <text>
        <t xml:space="preserve">======
ID#AAACHS3ElNs
    (2026-09-18 01:10:06)
The Sample Total in Bytes calculates the Byte size of the individual subsystem with Sample Overhead (e.g. packetizing) additions. 
Example Equation:
G3=F3*D3*(E3+C3)
Subsystem Sample total is calculated by multiplying the Duration (F3) by the Frequency (D3) by the summation of Sample Overhead (E3) and Size (C3).</t>
      </text>
    </comment>
    <comment authorId="0" ref="E11">
      <text>
        <t xml:space="preserve">======
ID#AAACHS3ElPU
    (2026-09-18 01:10:06)
The frequency of images taken is the number of samples taken per second. 
Equation:
D12=$L$5/86400
Which is the number of images ($L$5) for the experiment taken over the course of one day (86400 seconds).</t>
      </text>
    </comment>
    <comment authorId="0" ref="E9">
      <text>
        <t xml:space="preserve">======
ID#AAACHSyorzc
    (2026-09-18 01:10:06)
The frequency of images taken is the number of samples taken per second. 
Equation:
D12=$L$5/86400
Which is the number of images ($L$5) for the experiment taken over the course of one day (86400 seconds).</t>
      </text>
    </comment>
    <comment authorId="0" ref="I44">
      <text>
        <t xml:space="preserve">======
ID#AAACHS3ElPw
tc={e1636d18-b6f2-4c83-9a21-e0077e37955a}    (2026-09-18 01:10:06)
[Threaded comment]
 Your version of Excel allows you to read this threaded comment; however, any edits to it will get removed if the file is opened in a newer version of Excel. Learn more: https://go.microsoft.com/fwlink/?linkid=870924
Comment:
	I think Star Trackers can find angular velocity by taking a few photos consecutively, but it can't do that from a single measurement. added a line from the IMU though, since this is good information to have</t>
      </text>
    </comment>
  </commentList>
  <extLst>
    <ext uri="GoogleSheetsCustomDataVersion2">
      <go:sheetsCustomData xmlns:go="http://customooxmlschemas.google.com/" r:id="rId1" roundtripDataSignature="AMtx7mg5omJft9AuhfmADjnwxxrzp6WP9Q=="/>
    </ext>
  </extLst>
</comments>
</file>

<file path=xl/comments4.xml><?xml version="1.0" encoding="utf-8"?>
<comments xmlns:r="http://schemas.openxmlformats.org/officeDocument/2006/relationships" xmlns="http://schemas.openxmlformats.org/spreadsheetml/2006/main" xmlns:xr="http://schemas.microsoft.com/office/spreadsheetml/2014/revision">
  <authors>
    <author/>
  </authors>
  <commentList>
    <comment authorId="0" ref="A1">
      <text>
        <t xml:space="preserve">======
ID#AAACHSyoryc
    (2026-09-18 01:10:06)
This column is in increments of 1 minute to 1440 minutes to display one full day. (24 hours * 60 minutes = 1440 minutes)
Users are welcome to increase the timestep by modifying the value of timestep (N9) in the Inputs table.</t>
      </text>
    </comment>
  </commentList>
  <extLst>
    <ext uri="GoogleSheetsCustomDataVersion2">
      <go:sheetsCustomData xmlns:go="http://customooxmlschemas.google.com/" r:id="rId1" roundtripDataSignature="AMtx7mjz0J8BlUQp0/Fwf0RMWloDW9aeJA=="/>
    </ext>
  </extLst>
</comments>
</file>

<file path=xl/comments5.xml><?xml version="1.0" encoding="utf-8"?>
<comments xmlns:r="http://schemas.openxmlformats.org/officeDocument/2006/relationships" xmlns="http://schemas.openxmlformats.org/spreadsheetml/2006/main" xmlns:xr="http://schemas.microsoft.com/office/spreadsheetml/2014/revision">
  <authors>
    <author/>
  </authors>
  <commentList>
    <comment authorId="0" ref="G38">
      <text>
        <t xml:space="preserve">======
ID#AAACHS3ElNw
tc={71c372f8-653f-461e-add1-7190c8868d75}    (2026-09-18 01:10:06)
[Threaded comment]
 Your version of Excel allows you to read this threaded comment; however, any edits to it will get removed if the file is opened in a newer version of Excel. Learn more: https://go.microsoft.com/fwlink/?linkid=870924
Comment:
	overall % of the clock is low but maybe this is normal since it's hardware</t>
      </text>
    </comment>
    <comment authorId="0" ref="I3">
      <text>
        <t xml:space="preserve">======
ID#AAACHS3ElPI
tc={113c4e40-41d7-45d5-bbcc-eb768817da7d}    (2026-09-18 01:10:06)
[Threaded comment]
 Your version of Excel allows you to read this threaded comment; however, any edits to it will get removed if the file is opened in a newer version of Excel. Learn more: https://go.microsoft.com/fwlink/?linkid=870924
Comment:
	feels weird rn how little of the bus we seem to use. something is probably off here</t>
      </text>
    </comment>
    <comment authorId="0" ref="J65">
      <text>
        <t xml:space="preserve">======
ID#AAACHSyorww
tc={249d0295-cb84-4a9e-90d2-72bfb0223795}    (2026-09-18 01:10:06)
[Threaded comment]
 Your version of Excel allows you to read this threaded comment; however, any edits to it will get removed if the file is opened in a newer version of Excel. Learn more: https://go.microsoft.com/fwlink/?linkid=870924
Comment:
	I know it is from LOST paper but I heavily doubt this is up to date.</t>
      </text>
    </comment>
  </commentList>
  <extLst>
    <ext uri="GoogleSheetsCustomDataVersion2">
      <go:sheetsCustomData xmlns:go="http://customooxmlschemas.google.com/" r:id="rId1" roundtripDataSignature="AMtx7mhpxtvAp/jPw0BE2jMp2nDPKFzRNQ=="/>
    </ext>
  </extLst>
</comments>
</file>

<file path=xl/comments6.xml><?xml version="1.0" encoding="utf-8"?>
<comments xmlns:r="http://schemas.openxmlformats.org/officeDocument/2006/relationships" xmlns="http://schemas.openxmlformats.org/spreadsheetml/2006/main" xmlns:xr="http://schemas.microsoft.com/office/spreadsheetml/2014/revision">
  <authors>
    <author/>
  </authors>
  <commentList>
    <comment authorId="0" ref="H5">
      <text>
        <t xml:space="preserve">======
ID#AAACHSyorxQ
    (2026-09-18 01:10:06)
45 arcseconds as specified by FSC-2.</t>
      </text>
    </comment>
  </commentList>
  <extLst>
    <ext uri="GoogleSheetsCustomDataVersion2">
      <go:sheetsCustomData xmlns:go="http://customooxmlschemas.google.com/" r:id="rId1" roundtripDataSignature="AMtx7mjVzhp5AC48vvQJw8DlkbjGE4brMA=="/>
    </ext>
  </extLst>
</comments>
</file>

<file path=xl/comments7.xml><?xml version="1.0" encoding="utf-8"?>
<comments xmlns:r="http://schemas.openxmlformats.org/officeDocument/2006/relationships" xmlns="http://schemas.openxmlformats.org/spreadsheetml/2006/main" xmlns:xr="http://schemas.microsoft.com/office/spreadsheetml/2014/revision">
  <authors>
    <author/>
  </authors>
  <commentList>
    <comment authorId="0" ref="D3">
      <text>
        <t xml:space="preserve">======
ID#AAACHSyorxs
    (2026-09-18 01:10:06)
Converts angle to arcsec using cell H5.</t>
      </text>
    </comment>
    <comment authorId="0" ref="E3">
      <text>
        <t xml:space="preserve">======
ID#AAACHS3ElOQ
    (2026-09-18 01:10:06)
Converts position to an angle using Figure 1</t>
      </text>
    </comment>
    <comment authorId="0" ref="I5">
      <text>
        <t xml:space="preserve">======
ID#AAACHSyorxM
    (2026-09-18 01:10:06)
3600 arcseconds = 1 degree</t>
      </text>
    </comment>
    <comment authorId="0" ref="A3">
      <text>
        <t xml:space="preserve">======
ID#AAACHS3ElPg
    (2026-09-18 01:10:06)
i.e. GPS, TLE, etc.</t>
      </text>
    </comment>
    <comment authorId="0" ref="H10">
      <text>
        <t xml:space="preserve">======
ID#AAACHSyorxY
    (2026-09-18 01:10:06)
This assumes reaction wheels; ignore</t>
      </text>
    </comment>
    <comment authorId="0" ref="A2">
      <text>
        <t xml:space="preserve">======
ID#AAACHSwN5gA
    (2026-09-18 01:10:06)
Pointing error sources can be an angle error or a position error. Figure 1 can help visualize the relationship between the two.</t>
      </text>
    </comment>
  </commentList>
  <extLst>
    <ext uri="GoogleSheetsCustomDataVersion2">
      <go:sheetsCustomData xmlns:go="http://customooxmlschemas.google.com/" r:id="rId1" roundtripDataSignature="AMtx7mhvAc9GLgumX+OP5FLBJ/+cdknM/w=="/>
    </ext>
  </extLst>
</comments>
</file>

<file path=xl/comments8.xml><?xml version="1.0" encoding="utf-8"?>
<comments xmlns:r="http://schemas.openxmlformats.org/officeDocument/2006/relationships" xmlns="http://schemas.openxmlformats.org/spreadsheetml/2006/main" xmlns:xr="http://schemas.microsoft.com/office/spreadsheetml/2014/revision">
  <authors>
    <author/>
  </authors>
  <commentList>
    <comment authorId="0" ref="H6">
      <text>
        <t xml:space="preserve">======
ID#AAACHS3ElPo
tc={586236e1-3554-479c-976d-b1a822584122}    (2026-09-18 01:10:06)
[Threaded comment]
 Your version of Excel allows you to read this threaded comment; however, any edits to it will get removed if the file is opened in a newer version of Excel. Learn more: https://go.microsoft.com/fwlink/?linkid=870924
Comment:
	The OBC duty cycle is actually still just 100%, it just consumes less than peak power in safe mode</t>
      </text>
    </comment>
    <comment authorId="0" ref="F12">
      <text>
        <t xml:space="preserve">======
ID#AAACHS3ElPs
tc={c5e07031-3bd2-4096-a570-f1e2888a696f}    (2026-09-18 01:10:06)
[Threaded comment]
 Your version of Excel allows you to read this threaded comment; however, any edits to it will get removed if the file is opened in a newer version of Excel. Learn more: https://go.microsoft.com/fwlink/?linkid=870924
Comment:
	i changed this to Twinkle cause that's what it says in thermal calcs, this used to be for Sagitta</t>
      </text>
    </comment>
  </commentList>
  <extLst>
    <ext uri="GoogleSheetsCustomDataVersion2">
      <go:sheetsCustomData xmlns:go="http://customooxmlschemas.google.com/" r:id="rId1" roundtripDataSignature="AMtx7mh4a+A7iJomAjac4Jhabi1M3cWjLA=="/>
    </ext>
  </extLst>
</comments>
</file>

<file path=xl/comments9.xml><?xml version="1.0" encoding="utf-8"?>
<comments xmlns:r="http://schemas.openxmlformats.org/officeDocument/2006/relationships" xmlns="http://schemas.openxmlformats.org/spreadsheetml/2006/main" xmlns:xr="http://schemas.microsoft.com/office/spreadsheetml/2014/revision">
  <authors>
    <author/>
  </authors>
  <commentList>
    <comment authorId="0" ref="B2">
      <text>
        <t xml:space="preserve">======
ID#AAACHSyorzs
    (2026-09-18 01:10:06)
Determined by Mission</t>
      </text>
    </comment>
    <comment authorId="0" ref="C2">
      <text>
        <t xml:space="preserve">======
ID#AAACHSyors8
    (2026-09-18 01:10:06)
Determined by Mission</t>
      </text>
    </comment>
    <comment authorId="0" ref="D2">
      <text>
        <t xml:space="preserve">======
ID#AAACHSyorz8
    (2026-09-18 01:10:06)
Obtained by the data sheet. 
Key:
OC = Open Circuit
SC = Short Circuit
MP = Max Power</t>
      </text>
    </comment>
    <comment authorId="0" ref="F2">
      <text>
        <t xml:space="preserve">======
ID#AAACHS3ElN8
    (2026-09-18 01:10:06)
Obtained by the data sheet. 
Isc = Jsc * Area of solar cell
Imp = Jmp * Area of solar cell
Key:
OC = Open Circuit
SC = Short Circuit
MP = Max Power</t>
      </text>
    </comment>
    <comment authorId="0" ref="H3">
      <text>
        <t xml:space="preserve">======
ID#AAACHSyor0M
    (2026-09-18 01:10:06)
The Open Circuit Array Voltage is calculated based on the data found in the data sheets. 
Example equation:
H4 = B4*D4
This is calculated by multiplying the Series Cells/String (B4) by the Open Circuit Cell Voltage (D4).</t>
      </text>
    </comment>
    <comment authorId="0" ref="I3">
      <text>
        <t xml:space="preserve">======
ID#AAACHSyor0I
    (2026-09-18 01:10:06)
The Max Power Array Voltage is calculated based on the data found in the data sheets. 
Example equation:
H5 = B4*E4
This is calculated by multiplying the Series Cells/String (B4) by the Max Power Cell Voltage (D5).</t>
      </text>
    </comment>
    <comment authorId="0" ref="J3">
      <text>
        <t xml:space="preserve">======
ID#AAACHSyor1Q
    (2026-09-18 01:10:06)
The Short Circuit Array Current is calculated based on the data found in the data sheets. 
Example equation:
J4=C4*F4
This is calculated by multiplying the Number of Strings (C4) by the Short Circuit Cell Current (F4).</t>
      </text>
    </comment>
    <comment authorId="0" ref="K3">
      <text>
        <t xml:space="preserve">======
ID#AAACHSyortg
    (2026-09-18 01:10:06)
The Max Power Array Current is calculated based on the data found in the data sheets. 
Example equation:
K4=C4*G4
This is calculated by multiplying the Number of Strings (C4) by the Max Power Cell Current (G4).</t>
      </text>
    </comment>
    <comment authorId="0" ref="L3">
      <text>
        <t xml:space="preserve">======
ID#AAACHS3ElPM
    (2026-09-18 01:10:06)
The Max Array Power is calculated based on the voltage and current of the array calcualted from the data sheet values. 
Example equation:
L4=I4*K4
This is calculated by multiplying the Max Power Array Voltage (I4) by the Max Power Array Current (K4).</t>
      </text>
    </comment>
    <comment authorId="0" ref="O2">
      <text>
        <t xml:space="preserve">======
ID#AAACHSyor1U
    (2026-09-18 01:10:06)
All modes listed below are hyperlinked to the "Power Draw" sheet.</t>
      </text>
    </comment>
    <comment authorId="0" ref="R2">
      <text>
        <t xml:space="preserve">======
ID#AAACHSyor1I
    (2026-09-18 01:10:06)
These values are not hyperlinked from analysis done on table to the left. Users will need to ensure these cells are updated to reflect spacecraft design. The “Energy Balance” sheet references these cells for additional analysis.</t>
      </text>
    </comment>
    <comment authorId="0" ref="S2">
      <text>
        <t xml:space="preserve">======
ID#AAACHSyort8
    (2026-09-18 01:10:06)
Current mode assumptions are listed here based on ShipSat mission. Users should update as needed.</t>
      </text>
    </comment>
  </commentList>
  <extLst>
    <ext uri="GoogleSheetsCustomDataVersion2">
      <go:sheetsCustomData xmlns:go="http://customooxmlschemas.google.com/" r:id="rId1" roundtripDataSignature="AMtx7mhzG0QRK3H46a7mZozPQPlN7fJctA=="/>
    </ext>
  </extLst>
</comments>
</file>

<file path=xl/comments10.xml><?xml version="1.0" encoding="utf-8"?>
<comments xmlns:r="http://schemas.openxmlformats.org/officeDocument/2006/relationships" xmlns="http://schemas.openxmlformats.org/spreadsheetml/2006/main" xmlns:xr="http://schemas.microsoft.com/office/spreadsheetml/2014/revision">
  <authors>
    <author/>
  </authors>
  <commentList>
    <comment authorId="0" ref="B2">
      <text>
        <t xml:space="preserve">======
ID#AAACHSyorwo
    (2026-09-18 01:10:06)
Provides how far in an orbit the spacecraft is. 
Cell B4= A4/'Orbit Info'!$G$10
Timestep in minutes (A4) divided by the orbit period ('Orbit Info'!$G$10).</t>
      </text>
    </comment>
    <comment authorId="0" ref="C2">
      <text>
        <t xml:space="preserve">======
ID#AAACHS3ElP0
    (2026-09-18 01:10:06)
Columns C through F will indicate what mode the spacecraft is in, based on the user inputs found in the MODE SWITCHING table. Cells that contain "1" indicate which mode is active on the spacecraft per timestep of the day. If the cell contains "0" then that mode is not activated. Only one mode at a time should be active</t>
      </text>
    </comment>
    <comment authorId="0" ref="M11">
      <text>
        <t xml:space="preserve">======
ID#AAACHSyorxo
    (2026-09-18 01:10:06)
This value should equal 1. It verifies the spacecraft does not have two different modes activated at once. If the user inputs a times in the Mode Switching table that overlap with a different mode or has a repeating number, the cell will turn red to inform the user to verify times.</t>
      </text>
    </comment>
    <comment authorId="0" ref="M7">
      <text>
        <t xml:space="preserve">======
ID#AAACHSyor0c
    (2026-09-18 01:10:06)
Incrementing the timestep will extend the graph into more than one day.</t>
      </text>
    </comment>
    <comment authorId="0" ref="H2">
      <text>
        <t xml:space="preserve">======
ID#AAACHSyortw
    (2026-09-18 01:10:06)
This column determines the total power generated at each timestep depending on what mode is active and if the spacecraft is in the sun. 
Example Equation:
='Orbit Info'!C3*((C4*$O$2)+(D4*$O$3)+(E4*$O$4)+(F4*$O$5))
If the spacecraft is in the sun at the specific timestep ('Orbit Info'!C3) then cell would display the value of power generation for the given mode, that is active ((C4*$O$2)+(D4*$O$3)+(E4*$O$4)+(F4*$O$5)). If the cell is zero, then the spacecraft is in an eclipse and does not have any power generation.</t>
      </text>
    </comment>
    <comment authorId="0" ref="M6">
      <text>
        <t xml:space="preserve">======
ID#AAACHSyorys
    (2026-09-18 01:10:06)
All variables found here are hyperlinks from previous sheets (except the Timestep and Check Sum). Variables are captured here for reference throuhgout the energy balance analysis.</t>
      </text>
    </comment>
    <comment authorId="0" ref="I2">
      <text>
        <t xml:space="preserve">======
ID#AAACHSyorxw
    (2026-09-18 01:10:06)
This column determines the total power draw at each timestep depending on what mode is active.
Example Equation:
=(C4*$N$2)+(D4*$N$3)+(E4*$N$4)+(F4*$N$5)
The cell would display the value of power draw for the given mode that is active</t>
      </text>
    </comment>
    <comment authorId="0" ref="J2">
      <text>
        <t xml:space="preserve">======
ID#AAACHSyory0
    (2026-09-18 01:10:06)
Energy (Wh) calculates the difference of power generation and power draw and multiplies by the timestep e.g 1/60 of an hour. If the number is positive, then the satellite is adding charge to the battery. If the number is negative, then it's draining the battery. Take cell G4 for example. 
Example Equation:
=(H4*$N$7/60)-(I4*$N$7/60)
This equation takes the power generated (H4) multiplied by the timestep converted from minutes to hours ($N$7/60) and subtracts the spacecraft power draw (I4) multiplied by the timestep converted from minutes to hours ($N$7/60) to provide the total energy of the system at that timestep.</t>
      </text>
    </comment>
    <comment authorId="0" ref="K2">
      <text>
        <t xml:space="preserve">======
ID#AAACHSyory4
    (2026-09-18 01:10:06)
Battery Capacity (Wh) calculates the battery capacity at each timestep given the initial condition and energy in column J. Assuming the battery is fully charged at the beginning, the following cells are formatted similarly to the example equation. 
Example Equation:
=IF((K4+J5)&gt;$N$8,$N$8,J5+K4)
If the current battery charge (K4) added to the energy accumulated at the timestep (J5) is greater than the maximum battery capacity ($N$8), the cell will remain fully charged ($N$8). However, if the current battery charge (K4) added to the energy accumulated at the timestep (J5) is less than the maximum battery capacity ($N$8), then the cell will return the summation of the current battery charge (K4) and energy accumulated (J5).</t>
      </text>
    </comment>
    <comment authorId="0" ref="N1">
      <text>
        <t xml:space="preserve">======
ID#AAACHSyortQ
    (2026-09-18 01:10:06)
This column is hyperlinked to the "Power Draw" sheet and displays Total Mode Power (W) in Row 22.</t>
      </text>
    </comment>
    <comment authorId="0" ref="O1">
      <text>
        <t xml:space="preserve">======
ID#AAACHSyor0s
    (2026-09-18 01:10:06)
This column is hyperlinked to the "Power Generated" sheet and displays "Generated Power" per mode in Column Q.</t>
      </text>
    </comment>
    <comment authorId="0" ref="P1">
      <text>
        <t xml:space="preserve">======
ID#AAACHS3ElN0
    (2026-09-18 01:10:06)
It is important to know if modes are power positive (green) or negative (red). The mode power status assumes full sunlight and does not include the time the spacecraft is in eclipes.
For example: 
Cell P2=O2-N2
Takes the total amount of power generated per mode (O2) and subtracts by the amount of power draw per mode (N2).
Key:
Green Cell = Power positive in the mode
Yellow Cell = Neither power positive or negative
Red Cell = Power negative in the mode</t>
      </text>
    </comment>
  </commentList>
  <extLst>
    <ext uri="GoogleSheetsCustomDataVersion2">
      <go:sheetsCustomData xmlns:go="http://customooxmlschemas.google.com/" r:id="rId1" roundtripDataSignature="AMtx7mhXrHUmJuxOUa8nnCT3aQFi52WE/w=="/>
    </ext>
  </extLst>
</comments>
</file>

<file path=xl/comments11.xml><?xml version="1.0" encoding="utf-8"?>
<comments xmlns:r="http://schemas.openxmlformats.org/officeDocument/2006/relationships" xmlns="http://schemas.openxmlformats.org/spreadsheetml/2006/main" xmlns:xr="http://schemas.microsoft.com/office/spreadsheetml/2014/revision">
  <authors>
    <author/>
  </authors>
  <commentList>
    <comment authorId="0" ref="D4">
      <text>
        <t xml:space="preserve">======
ID#AAACHSyor08
    (2026-09-18 01:10:06)
TBR</t>
      </text>
    </comment>
    <comment authorId="0" ref="B23">
      <text>
        <t xml:space="preserve">======
ID#AAACHSyoryI
tc={0a4999f6-1fba-4737-8d31-0591551d3cd9}    (2026-09-18 01:10:06)
[Threaded comment]
 Your version of Excel allows you to read this threaded comment; however, any edits to it will get removed if the file is opened in a newer version of Excel. Learn more: https://go.microsoft.com/fwlink/?linkid=870924
Comment:
	this pumpkin computer and operating temperatures are tentative right now!</t>
      </text>
    </comment>
    <comment authorId="0" ref="C6">
      <text>
        <t xml:space="preserve">======
ID#AAACHS3ElN4
tc={e0212b3d-80e8-43e9-9419-4304a0704acf}    (2026-09-18 01:10:06)
[Threaded comment]
 Your version of Excel allows you to read this threaded comment; however, any edits to it will get removed if the file is opened in a newer version of Excel. Learn more: https://go.microsoft.com/fwlink/?linkid=870924
Comment:
	Discharge
======
ID#AAACHSyorzE
    (2026-09-18 01:10:06)
Discharge
======
ID#AAACHSyory8
    (2026-09-18 01:10:06)
Discharge</t>
      </text>
    </comment>
    <comment authorId="0" ref="C5">
      <text>
        <t xml:space="preserve">======
ID#AAACHSyor1A
    (2026-09-18 01:10:06)
Charge</t>
      </text>
    </comment>
    <comment authorId="0" ref="D6">
      <text>
        <t xml:space="preserve">======
ID#AAACHSwN5f8
    (2026-09-18 01:10:06)
Discharge</t>
      </text>
    </comment>
    <comment authorId="0" ref="D5">
      <text>
        <t xml:space="preserve">======
ID#AAACHSyorx0
    (2026-09-18 01:10:06)
Charge</t>
      </text>
    </comment>
    <comment authorId="0" ref="C4">
      <text>
        <t xml:space="preserve">======
ID#AAACHSyorwg
    (2026-09-18 01:10:06)
TBR</t>
      </text>
    </comment>
  </commentList>
  <extLst>
    <ext uri="GoogleSheetsCustomDataVersion2">
      <go:sheetsCustomData xmlns:go="http://customooxmlschemas.google.com/" r:id="rId1" roundtripDataSignature="AMtx7mgLByysfWg0VOFRrt+vAVRvj6lpYQ=="/>
    </ext>
  </extLst>
</comments>
</file>

<file path=xl/comments12.xml><?xml version="1.0" encoding="utf-8"?>
<comments xmlns:r="http://schemas.openxmlformats.org/officeDocument/2006/relationships" xmlns="http://schemas.openxmlformats.org/spreadsheetml/2006/main" xmlns:xr="http://schemas.microsoft.com/office/spreadsheetml/2014/revision">
  <authors>
    <author/>
  </authors>
  <commentList>
    <comment authorId="0" ref="D46">
      <text>
        <t xml:space="preserve">======
ID#AAACHSyorz0
Per the Cal Poly CubeSat Design Specifications    (2026-09-18 01:10:06)
3U = 6kg 
6U = 12 kg
12U = 24 kg</t>
      </text>
    </comment>
    <comment authorId="0" ref="D45">
      <text>
        <t xml:space="preserve">======
ID#AAACHS3ElOA
    (2026-09-18 01:10:06)
As missions progress in the design process, the contingency should decrease. 
The following contingencies are recommended at each stage of the design process. 
25% for anything that has not been fabricated
10% for massed engineering model components
5% for massed flight model components to account for bolts or harnesses that may have been overlooked.</t>
      </text>
    </comment>
    <comment authorId="0" ref="E45">
      <text>
        <t xml:space="preserve">======
ID#AAACHSyorw4
    (2026-09-18 01:10:06)
If the cell is green then it is an indication that the mass is within the upper limit of 3U mass requirements. 
If cell is red it indicates the mass is above the 3U limit.</t>
      </text>
    </comment>
  </commentList>
  <extLst>
    <ext uri="GoogleSheetsCustomDataVersion2">
      <go:sheetsCustomData xmlns:go="http://customooxmlschemas.google.com/" r:id="rId1" roundtripDataSignature="AMtx7mjSZVtlmuSFTZhyEVeOq5H+c4TL1A=="/>
    </ext>
  </extLst>
</comments>
</file>

<file path=xl/sharedStrings.xml><?xml version="1.0" encoding="utf-8"?>
<sst xmlns="http://schemas.openxmlformats.org/spreadsheetml/2006/main" count="1782" uniqueCount="1092">
  <si>
    <t>Timestep</t>
  </si>
  <si>
    <t>DOWNLINK DATA BUDGET (1 DAY)</t>
  </si>
  <si>
    <t>In</t>
  </si>
  <si>
    <t>(min)</t>
  </si>
  <si>
    <t>Orbit</t>
  </si>
  <si>
    <t>Sunlight?</t>
  </si>
  <si>
    <t>Eclipse?</t>
  </si>
  <si>
    <t>ORBIT INPUTS</t>
  </si>
  <si>
    <t>Key</t>
  </si>
  <si>
    <t>INPUTS</t>
  </si>
  <si>
    <t>UPLINK DATA BUDGET (1 PASS)</t>
  </si>
  <si>
    <t>PACKET SIZING INPUTS</t>
  </si>
  <si>
    <t>University Nanosatellite Program</t>
  </si>
  <si>
    <t xml:space="preserve"> </t>
  </si>
  <si>
    <t>Subsystem</t>
  </si>
  <si>
    <t xml:space="preserve">  Budget Templates
  Last Revision Date: 7/31/2025</t>
  </si>
  <si>
    <t>Description</t>
  </si>
  <si>
    <t>Size (Bytes)</t>
  </si>
  <si>
    <t>Frequency</t>
  </si>
  <si>
    <t xml:space="preserve">The performance budgets included were developed for the UNP Mission Design Course. This Excel workbook contains an Orbit Infromation sheet along with the Data Budget, Pointing Budget, Link Budget, Power Budget and Mass Budget.  The values displayed throughout each sheet correlate to the ShipSat mission found in the UNP Mission Design Course presentation. They are simplified for feasibility-level analysis and education. They do not capture all the details necessary for a small satellite mission.
Each Excel sheet has multiple hyperlinked cells to ensure when an user changes a value input, it auto populates throughout the rest of the workbook.  
UNP recommends all users review each budget sheet to familiarize oneself with the interactions between each budget sheet. While utilizing the Excel Worksheet, all users should update inputs and assumptions to reflect the mission under investigation.  </t>
  </si>
  <si>
    <t>Frequency (samples/second)</t>
  </si>
  <si>
    <t>F Prime Sample/Event Overhead (Bytes)</t>
  </si>
  <si>
    <t>Duration (sec)</t>
  </si>
  <si>
    <t>F Prime Data (Bytes)</t>
  </si>
  <si>
    <t>Packet/TM Framing + Padding (Bytes)</t>
  </si>
  <si>
    <t>Transmitted Bytes</t>
  </si>
  <si>
    <t>Share of Daily Downlink</t>
  </si>
  <si>
    <t>Orbital Inputs</t>
  </si>
  <si>
    <t>Case</t>
  </si>
  <si>
    <t>Item</t>
  </si>
  <si>
    <t>Command size (Bytes)</t>
  </si>
  <si>
    <t>Orbit Altitude</t>
  </si>
  <si>
    <t>Value</t>
  </si>
  <si>
    <t>Units</t>
  </si>
  <si>
    <t>Frames needed (1 command)</t>
  </si>
  <si>
    <t>Derived Value</t>
  </si>
  <si>
    <t>Effective bytes uplinked</t>
  </si>
  <si>
    <t>km</t>
  </si>
  <si>
    <t>OPERATIONS INPUTS</t>
  </si>
  <si>
    <t>TBR</t>
  </si>
  <si>
    <t>CDH</t>
  </si>
  <si>
    <t xml:space="preserve">All budget sheets follow the key found on this page. All cells highlighted in blue indicate values that should be updated to reflect each mission needs. All cells highlighted in white are derived values based on equations or hyperlinks within the Excel workbook. </t>
  </si>
  <si>
    <t>CDH/application-state telemetry: 19 channels (satellite mode, mission operations, schedules, storage), and F': 37 channels (dispatcher, sequencer, EventManager, TlmPacketizer, health, file/data services)</t>
  </si>
  <si>
    <t>Source / status</t>
  </si>
  <si>
    <t>once per 5 sec</t>
  </si>
  <si>
    <t>Min command size</t>
  </si>
  <si>
    <t>Smallest CTL command (short, no-argument command)</t>
  </si>
  <si>
    <t>Radius (Earth)</t>
  </si>
  <si>
    <t>Value to Enter</t>
  </si>
  <si>
    <t xml:space="preserve"> Derived value</t>
  </si>
  <si>
    <t>Gravitational Parameter (Earth)</t>
  </si>
  <si>
    <t xml:space="preserve"> Value to Enter</t>
  </si>
  <si>
    <t>km^3/s^2</t>
  </si>
  <si>
    <t>Approved for public release; distribution is unlimited. Public Affairs release approval AFRL-2025-0934</t>
  </si>
  <si>
    <t>Command window per pass</t>
  </si>
  <si>
    <t>This document owned and developed by AFRL/RV: University Nanosatellite Program</t>
  </si>
  <si>
    <t>min</t>
  </si>
  <si>
    <t>Min command size (short command)</t>
  </si>
  <si>
    <t>Bytes/command</t>
  </si>
  <si>
    <t>Baseline short-command allocation</t>
  </si>
  <si>
    <t>Inputted Value</t>
  </si>
  <si>
    <t>Expected command size</t>
  </si>
  <si>
    <t>Typical planning-envelope command</t>
  </si>
  <si>
    <t>sec</t>
  </si>
  <si>
    <t>Expected command size (planning envelope)</t>
  </si>
  <si>
    <t>Baseline planning envelope</t>
  </si>
  <si>
    <t>Max command size</t>
  </si>
  <si>
    <t>Largest CTL command (MoveFile)</t>
  </si>
  <si>
    <t>Downlink Time per Pass</t>
  </si>
  <si>
    <t>Minutes</t>
  </si>
  <si>
    <t>Uplink rate</t>
  </si>
  <si>
    <t>kbps</t>
  </si>
  <si>
    <t>Max command size (MoveFile)</t>
  </si>
  <si>
    <t>CCSDS Space Packet Header</t>
  </si>
  <si>
    <t>Bytes/packet</t>
  </si>
  <si>
    <t>EPS</t>
  </si>
  <si>
    <t>EPS telemetry: 18 channels (MPPT, rail monitors, battery/power state)</t>
  </si>
  <si>
    <t>MoveFile: 128B source path + 128B destination path + 23B header/opcode</t>
  </si>
  <si>
    <t>Margin</t>
  </si>
  <si>
    <t>CCSDS TC frame size</t>
  </si>
  <si>
    <t>Number of Passes per day</t>
  </si>
  <si>
    <t>Bytes/frame</t>
  </si>
  <si>
    <t>Similar to TM Frames in Data Downlink budget, max user payload allowed is 512B</t>
  </si>
  <si>
    <t>Passes</t>
  </si>
  <si>
    <t>F Prime ComBuffer Capacity (not on-air)</t>
  </si>
  <si>
    <t>Bytes</t>
  </si>
  <si>
    <t>NOTES</t>
  </si>
  <si>
    <t>ADCS</t>
  </si>
  <si>
    <t>ADCS telemetry: 27 channels (IMU, sun sensor, magnetorquer, star tracker, filters, pointing mode)</t>
  </si>
  <si>
    <t>Data Size Inputs</t>
  </si>
  <si>
    <t>Expected max number of commands to be sent during a single pass</t>
  </si>
  <si>
    <t>Proposed File Data Chunk Limit</t>
  </si>
  <si>
    <t>commands</t>
  </si>
  <si>
    <t>Min / Expected / Max command sizes reuse the same baseline allocations as the prior detailed budget (short command, planning envelope, MoveFile), so this sheet isolates the framing effect rather than re-deriving command sizes. The estimated number of needed commands comes from assuming error handling via commanding components, recovering from safe mode, and proceeding to schedule experiments.</t>
  </si>
  <si>
    <t>THR</t>
  </si>
  <si>
    <t>THR telemetry: 11 channels (temperature sensor, heater, thermal application state)</t>
  </si>
  <si>
    <t>RESULTS</t>
  </si>
  <si>
    <t>LOST Uncompressed Image Size Together</t>
  </si>
  <si>
    <t>TC frame size (1,024 B) is a single uplinked unit that already includes all packet, header, and radio framing overhead. The CTL command-per-frame policy pads every command up to a full frame, so the effective uplink cost of any single command is 1,024 bytes regardless of its actual size, this is why all three cases land on the same Commands per pass. Depending on Mission Operations, multiple commands may be batched into a single frame, so this budget likely overestimates the amount of data needed for commands.</t>
  </si>
  <si>
    <t>Uplink capacity per pass</t>
  </si>
  <si>
    <t>TM Frame Size</t>
  </si>
  <si>
    <t>PAY</t>
  </si>
  <si>
    <t>PAYLOAD telemetry: 30 channels (cameras, GNSS, data collection, science)</t>
  </si>
  <si>
    <t>bits</t>
  </si>
  <si>
    <t>Uplink rate (25 kbps) is because Leaf Space gives significantly more than 50 kbps as raw data uplink rate, but the EnduroSat S-Band Transceiver is capped at 50 kbps raw receive rate, so it is the bottle neck. Due to FEC, the effective data rate is halved. The 2 minute window for commands is there assuming that several minutes of a ground pass would be used for setting up the command(s) to prepare to send.</t>
  </si>
  <si>
    <t>LOST Effective Image Size Ratio (downsampling + compression)</t>
  </si>
  <si>
    <t>Uplink capacity after margin</t>
  </si>
  <si>
    <t>TM Primary Header</t>
  </si>
  <si>
    <t>COMM</t>
  </si>
  <si>
    <t>COM telemetry: 15 channels (downlink mode, queue/link state, SDLS counters)</t>
  </si>
  <si>
    <t>Minimum available commands per pass (after margin)</t>
  </si>
  <si>
    <t>FOUND Uncompressed Image Size Together</t>
  </si>
  <si>
    <t>TM FECF (CRC16)</t>
  </si>
  <si>
    <t xml:space="preserve">PAY </t>
  </si>
  <si>
    <t>LOST Image</t>
  </si>
  <si>
    <t>See M15</t>
  </si>
  <si>
    <t>Data amount of expected max number of commands (after margin)</t>
  </si>
  <si>
    <t>FOUND Effective Image Size Ratio (downsampling + compression)</t>
  </si>
  <si>
    <t>Reserved Minimum Idle Packet</t>
  </si>
  <si>
    <t>FOUND Image</t>
  </si>
  <si>
    <t>Time needed for uplinking expected max number of commands (after margin, assuming 25kbps rate)</t>
  </si>
  <si>
    <t>Orbit Radius</t>
  </si>
  <si>
    <t>Overhead + Data Size Inaccuracies Margin Input</t>
  </si>
  <si>
    <t>seconds</t>
  </si>
  <si>
    <t>Range (at Horizon)</t>
  </si>
  <si>
    <t>Usable Aggregation Capacity</t>
  </si>
  <si>
    <t>Uplink rate needed for uplinking expected max number of commands (after margin, assuming 120s uplink time)</t>
  </si>
  <si>
    <t>Numerical Data (Truth attitude (12), Angular velocity (12), GNSS position (12), GNSS velocity (12), Timestamp (8), LOST attitude (12), FOUND position (12), Status flags (1), CRC (2), Image/experiment metadata (39))</t>
  </si>
  <si>
    <t>See M13</t>
  </si>
  <si>
    <t>Orbit Period</t>
  </si>
  <si>
    <t>F Prime File Data Header</t>
  </si>
  <si>
    <t>hr</t>
  </si>
  <si>
    <t>AGG</t>
  </si>
  <si>
    <t>5-min aggregate of CDH/EPS/ADCS/THR/PAY/COMM telemetry (min/max/avg/state summary)</t>
  </si>
  <si>
    <t>once per 5 min</t>
  </si>
  <si>
    <t>Total # of Orbits / Day</t>
  </si>
  <si>
    <t>orb/day</t>
  </si>
  <si>
    <t>Experiment Count Inputs</t>
  </si>
  <si>
    <t>Full File Space Packet Size</t>
  </si>
  <si>
    <t>Mean Motion</t>
  </si>
  <si>
    <t>rad/s</t>
  </si>
  <si>
    <t>Binary event-log file(s), one per pass. Daily allowance divided uniformly by record count.</t>
  </si>
  <si>
    <t>Event records/day</t>
  </si>
  <si>
    <r>
      <rPr>
        <rFont val="Calibri"/>
        <b/>
        <color theme="1"/>
        <sz val="11.0"/>
      </rPr>
      <t xml:space="preserve">Angle Transited Horizon-to-Horizon, </t>
    </r>
    <r>
      <rPr>
        <rFont val="Arial"/>
        <b/>
        <color theme="1"/>
        <sz val="11.0"/>
      </rPr>
      <t>ẞ</t>
    </r>
    <r>
      <rPr>
        <rFont val="Calibri"/>
        <b/>
        <color theme="1"/>
        <sz val="11.0"/>
      </rPr>
      <t xml:space="preserve"> </t>
    </r>
    <r>
      <rPr>
        <rFont val="Calibri"/>
        <b val="0"/>
        <color theme="1"/>
        <sz val="11.0"/>
      </rPr>
      <t>(from Earth's center, circular orbit)</t>
    </r>
  </si>
  <si>
    <t>rad</t>
  </si>
  <si>
    <r>
      <rPr>
        <rFont val="Calibri"/>
        <b/>
        <color theme="1"/>
        <sz val="11.0"/>
      </rPr>
      <t xml:space="preserve">Max Horizon-to-Horizon Pass Duration </t>
    </r>
    <r>
      <rPr>
        <rFont val="Calibri"/>
        <b val="0"/>
        <color theme="1"/>
        <sz val="11.0"/>
      </rPr>
      <t>(circular orbit)</t>
    </r>
  </si>
  <si>
    <t>s</t>
  </si>
  <si>
    <t>Total number of experiments per day</t>
  </si>
  <si>
    <t>Experiments</t>
  </si>
  <si>
    <t>Full File Packets per TM Frame</t>
  </si>
  <si>
    <t>Packets/frame</t>
  </si>
  <si>
    <t>TOTALS</t>
  </si>
  <si>
    <r>
      <rPr>
        <rFont val="Calibri"/>
        <b/>
        <color theme="1"/>
        <sz val="11.0"/>
      </rPr>
      <t xml:space="preserve">Max Angle in Sun
</t>
    </r>
    <r>
      <rPr>
        <rFont val="Calibri"/>
        <b val="0"/>
        <color theme="1"/>
        <sz val="11.0"/>
      </rPr>
      <t>(circular orbit)</t>
    </r>
  </si>
  <si>
    <t>Bytes from Images (before downlink overhead)</t>
  </si>
  <si>
    <r>
      <rPr>
        <rFont val="Calibri"/>
        <b/>
        <color theme="1"/>
        <sz val="11.0"/>
      </rPr>
      <t xml:space="preserve">Max Orbit Duration in Sun
</t>
    </r>
    <r>
      <rPr>
        <rFont val="Calibri"/>
        <b val="0"/>
        <color theme="1"/>
        <sz val="11.0"/>
      </rPr>
      <t>(circular orbit)</t>
    </r>
  </si>
  <si>
    <t>On-air Bytes per TM Frame</t>
  </si>
  <si>
    <t>%</t>
  </si>
  <si>
    <t>Total number of images downlinked per day</t>
  </si>
  <si>
    <t>Images</t>
  </si>
  <si>
    <t>Additional Radio Framing (HDLC)</t>
  </si>
  <si>
    <t>DATA GENERATION BUDGET (1 DAY)</t>
  </si>
  <si>
    <t>Minimal Experiment Data Storage Time Input</t>
  </si>
  <si>
    <t>Additional Radio CRC32</t>
  </si>
  <si>
    <t>Frequency (sample/sec)</t>
  </si>
  <si>
    <t>Sample Overhead (Bytes)</t>
  </si>
  <si>
    <t>Sample Total (Bytes)</t>
  </si>
  <si>
    <t>Number of Hours for Data to be Stored</t>
  </si>
  <si>
    <t>Hours</t>
  </si>
  <si>
    <t>Event Records per Day</t>
  </si>
  <si>
    <t>Records</t>
  </si>
  <si>
    <r>
      <rPr>
        <rFont val="Calibri"/>
        <b/>
        <color theme="1"/>
        <sz val="11.0"/>
      </rPr>
      <t>Notes:</t>
    </r>
    <r>
      <rPr>
        <rFont val="Calibri"/>
        <color theme="1"/>
        <sz val="11.0"/>
      </rPr>
      <t xml:space="preserve"> </t>
    </r>
    <r>
      <rPr>
        <rFont val="Calibri"/>
        <color theme="1"/>
        <sz val="11.0"/>
        <u/>
      </rPr>
      <t>Many of the spreadsheets utilize the orbit altitude, orbit period, etc. for calculations</t>
    </r>
    <r>
      <rPr>
        <rFont val="Calibri"/>
        <color theme="1"/>
        <sz val="11.0"/>
      </rPr>
      <t>. This sheet allows the user to input these in one place that is used throughout the other budgets.
The orbit is assumed to be circular i.e. the Altitude + Earth radius = the radius of the orbit. If the orbit is elliptical, the Altitude + Earth Radius should equal the orbit's semi-major axis.</t>
    </r>
  </si>
  <si>
    <t>once per 0.2 sec</t>
  </si>
  <si>
    <t>Downlink Size Required from Experiment Counts</t>
  </si>
  <si>
    <t>Average Compact Event Record</t>
  </si>
  <si>
    <t>Bytes/record</t>
  </si>
  <si>
    <t>Transmitted Bytes (1 Day)</t>
  </si>
  <si>
    <t>Event Log Files per Day (one per pass)</t>
  </si>
  <si>
    <t>Files</t>
  </si>
  <si>
    <t>Total Bytes with Margin (1 Day)</t>
  </si>
  <si>
    <t>Event Log Header Allowance</t>
  </si>
  <si>
    <t>Bytes/file</t>
  </si>
  <si>
    <t>THM</t>
  </si>
  <si>
    <t>once per 10 sec</t>
  </si>
  <si>
    <t>Start/End Frame Allowance</t>
  </si>
  <si>
    <t>Frames/file</t>
  </si>
  <si>
    <t>once per 3 sec</t>
  </si>
  <si>
    <t>Minimum Radio Downlink Rate</t>
  </si>
  <si>
    <t>Kbps</t>
  </si>
  <si>
    <t>Minimum LOST Payload Storage Required</t>
  </si>
  <si>
    <t>GB</t>
  </si>
  <si>
    <t>Minimum FOUND Payload Storage Required</t>
  </si>
  <si>
    <t>Minimum Total Payload Storage Required</t>
  </si>
  <si>
    <t>EVENTS</t>
  </si>
  <si>
    <t>Compact binary event-log file(s)</t>
  </si>
  <si>
    <t>Events: 17,400 records/day = 10 records × 1,440 experiments + 3,000 other records. One compact event-log file is downlinked per pass; records are assumed uniform between the six passes.</t>
  </si>
  <si>
    <t>Events use a 32-byte average complete compact record, then each per-pass log is transferred as a file. No CCSDS header is charged per record; only file-packet and TM-frame framing are included.</t>
  </si>
  <si>
    <t>Generated Bytes/Day is the unframed mission data volume. The on-air budget is calculated separately in the Downlink Budget section.</t>
  </si>
  <si>
    <t>The 512 B F Prime ComBuffer is a software buffer capacity, not a transmitted field or per-packet overhead.  Refer to the CTL. to see what telemetry channels are downlinked.</t>
  </si>
  <si>
    <t>TM framing assumes 1024-byte TM frames, 1009 bytes of packet-zone capacity, and 10 bytes/frame of on-air HDLC/CRC overhead. Validate against the final radio/framer configuration.</t>
  </si>
  <si>
    <r>
      <rPr>
        <rFont val="Calibri"/>
        <color theme="1"/>
        <sz val="11.0"/>
      </rPr>
      <t xml:space="preserve">Images already include downsampling and compression. Images are downlinked on command. Event logs are downlinked once per pass; two start/end frames per log are an editable allowance. The plan is </t>
    </r>
    <r>
      <rPr>
        <rFont val="Calibri"/>
        <b/>
        <color theme="1"/>
        <sz val="11.0"/>
      </rPr>
      <t>not</t>
    </r>
    <r>
      <rPr>
        <rFont val="Calibri"/>
        <color theme="1"/>
        <sz val="11.0"/>
      </rPr>
      <t xml:space="preserve"> to downlink all images taken; only downlinking to verify cameras are pointing appropriately.</t>
    </r>
  </si>
  <si>
    <t>Data generation storage assumes images are taken 24/7; with CONOPS modes in mind, this is not true, and thus the actual generated data per day is significantly lower. See the Storage over time sheet for more detail.</t>
  </si>
  <si>
    <t xml:space="preserve">Contact assumption: six 8-minute daily contacts represent Leaf Space service across multiple ground stations, not one station. The storage timeline models 9 MB/day of contact capacity against a 7.48 MB/day as outlined above (including 20% margin and four compressed images/day); we do not downlink every stored image. </t>
  </si>
  <si>
    <t>Onboard Storage Timeline</t>
  </si>
  <si>
    <t>Four-minute steps, Safe state has highest priority; a validated contact preempts Science for Downlink.</t>
  </si>
  <si>
    <t>Processor and Bus Utilization Budget</t>
  </si>
  <si>
    <t>Storage and data assumptions</t>
  </si>
  <si>
    <t>Storage timeline summary</t>
  </si>
  <si>
    <t>Notional mode and contact schedule</t>
  </si>
  <si>
    <t>Mode color key</t>
  </si>
  <si>
    <t>Units / basis</t>
  </si>
  <si>
    <t>Metric</t>
  </si>
  <si>
    <t>Interpretation</t>
  </si>
  <si>
    <t>Scheduled activity</t>
  </si>
  <si>
    <t>Start min</t>
  </si>
  <si>
    <t>End min</t>
  </si>
  <si>
    <t>Runs per 4 min</t>
  </si>
  <si>
    <t>Mode</t>
  </si>
  <si>
    <t>Color</t>
  </si>
  <si>
    <t>Data behavior</t>
  </si>
  <si>
    <t>SSD gross capacity</t>
  </si>
  <si>
    <t>MB</t>
  </si>
  <si>
    <t>Peak SSD usage</t>
  </si>
  <si>
    <t>Bus Utilization Budget</t>
  </si>
  <si>
    <t>Board</t>
  </si>
  <si>
    <t>Highest stored-data value in the day</t>
  </si>
  <si>
    <t>Safe</t>
  </si>
  <si>
    <t>Component</t>
  </si>
  <si>
    <t>Protocol</t>
  </si>
  <si>
    <t>Channel</t>
  </si>
  <si>
    <t>Bytes per transaction</t>
  </si>
  <si>
    <t>Rate (Hz)</t>
  </si>
  <si>
    <t>Throughput (bytes/s)</t>
  </si>
  <si>
    <t>Bus rate (bits/s)</t>
  </si>
  <si>
    <t>Essential housekeeping and events only</t>
  </si>
  <si>
    <t>Reserved SSD capacity</t>
  </si>
  <si>
    <t>MB; OS, flight software, database, margin</t>
  </si>
  <si>
    <t>Peak SSD utilization</t>
  </si>
  <si>
    <t>Utilization</t>
  </si>
  <si>
    <t>Notes</t>
  </si>
  <si>
    <t>SSD eMMC system and persistent-state access</t>
  </si>
  <si>
    <t>MMC</t>
  </si>
  <si>
    <t>MMC1</t>
  </si>
  <si>
    <t>Compared with usable SSD capacity</t>
  </si>
  <si>
    <t>Charge</t>
  </si>
  <si>
    <t>default</t>
  </si>
  <si>
    <t>Housekeeping and events only</t>
  </si>
  <si>
    <t>Usable SSD capacity</t>
  </si>
  <si>
    <t>End-of-day SSD usage</t>
  </si>
  <si>
    <t>Data carried into the next day</t>
  </si>
  <si>
    <t>Science A</t>
  </si>
  <si>
    <t>LOST product plus housekeeping</t>
  </si>
  <si>
    <t>Effective downlink rate</t>
  </si>
  <si>
    <t>Total generated</t>
  </si>
  <si>
    <t>All mode-driven generated data</t>
  </si>
  <si>
    <t>Science B</t>
  </si>
  <si>
    <t>Read system image, telemetry database, and persistent state.</t>
  </si>
  <si>
    <t>FOUND product plus housekeeping</t>
  </si>
  <si>
    <t>Downlink capacity per 4 min</t>
  </si>
  <si>
    <t>SSD eMMC housekeeping and event-log write</t>
  </si>
  <si>
    <t>Modeled downlink capacity (48 h)</t>
  </si>
  <si>
    <t>Append housekeeping, events, and command results.</t>
  </si>
  <si>
    <t>18 MB over 48 h; 9 MB/day contact capacity; selected data only</t>
  </si>
  <si>
    <t>SSD eMMC payload image and experiment-file write</t>
  </si>
  <si>
    <t>Science C</t>
  </si>
  <si>
    <t>LOST + FOUND products plus housekeeping</t>
  </si>
  <si>
    <t>Base housekeeping and events per 4 min</t>
  </si>
  <si>
    <t>MB; current normal-day budget input</t>
  </si>
  <si>
    <t>Downlink contact steps</t>
  </si>
  <si>
    <t>steps</t>
  </si>
  <si>
    <t>Four-minute samples in validated-contact windows</t>
  </si>
  <si>
    <t>Write payload images and experiment files.</t>
  </si>
  <si>
    <t>Downlink</t>
  </si>
  <si>
    <t>Queue drains at effective rate; preempts Science</t>
  </si>
  <si>
    <t>Science A product per run</t>
  </si>
  <si>
    <t>MCP3202 sun-sensor ADC x6</t>
  </si>
  <si>
    <t>MB; LOST image + numerical product</t>
  </si>
  <si>
    <t>SPI</t>
  </si>
  <si>
    <t>Planned package with 20% margin (48 h)</t>
  </si>
  <si>
    <t>SPI1</t>
  </si>
  <si>
    <t>Six 12-bit conversions at 5 Hz.</t>
  </si>
  <si>
    <t>Thermal</t>
  </si>
  <si>
    <t>MAX31856 thermocouple amplifiers x8</t>
  </si>
  <si>
    <t>Selected telemetry/data package repeated for 48 h; includes 4 compressed images/day</t>
  </si>
  <si>
    <t>Validated contact schedule</t>
  </si>
  <si>
    <t>Eight readings at 0.1 Hz; shares SPI1.</t>
  </si>
  <si>
    <t>Science B product per run</t>
  </si>
  <si>
    <t>SSD eMMC payload-file read for Downlink</t>
  </si>
  <si>
    <t>MB; FOUND image + numerical product</t>
  </si>
  <si>
    <t>Downlink headroom (48 h)</t>
  </si>
  <si>
    <t>18 MB modeled capacity minus the 48 h planned package</t>
  </si>
  <si>
    <t>Contact</t>
  </si>
  <si>
    <t>Status</t>
  </si>
  <si>
    <t>Science C product per run</t>
  </si>
  <si>
    <t>Read queued payload files during Downlink.</t>
  </si>
  <si>
    <t>MB; LOST + FOUND images + numerical product</t>
  </si>
  <si>
    <t>Contact 1</t>
  </si>
  <si>
    <t>SSD eMMC metadata and health-check allowance</t>
  </si>
  <si>
    <t>Validated</t>
  </si>
  <si>
    <t>minutes</t>
  </si>
  <si>
    <t>Contact 2</t>
  </si>
  <si>
    <t>Contact 3</t>
  </si>
  <si>
    <t>Filesystem metadata, wear leveling, and health checks.</t>
  </si>
  <si>
    <t>Contact 4</t>
  </si>
  <si>
    <t>Payload</t>
  </si>
  <si>
    <t>USB2514B_B1 USB hub</t>
  </si>
  <si>
    <t>I2C</t>
  </si>
  <si>
    <t>I2C2</t>
  </si>
  <si>
    <t>Downlink scope: high-rate telemetry and raw images remain onboard; the selected 7.27 MB/day seen in the Downlink Budget fits within the modeled 9 MB/day contact capacity and includes four compressed images, not all images taken.</t>
  </si>
  <si>
    <t>Control traffic only; shares I2C2.</t>
  </si>
  <si>
    <t>Contact 5</t>
  </si>
  <si>
    <t xml:space="preserve">Storage CONOPS: onboard storage uses a circular buffer. When usable capacity fills, the oldest data is overwritten, and experiment data collection stops until storage is recovered (through GND commands). </t>
  </si>
  <si>
    <t>Camera triggers</t>
  </si>
  <si>
    <t>GPIO</t>
  </si>
  <si>
    <t>Contact 6</t>
  </si>
  <si>
    <t>Trigger pulse; no serial-bus payload.</t>
  </si>
  <si>
    <t>Yellow boxes are inputted values</t>
  </si>
  <si>
    <t>Skyfox piNAV-NG GNSS</t>
  </si>
  <si>
    <t>UART</t>
  </si>
  <si>
    <t>Contact 7</t>
  </si>
  <si>
    <t>UART2</t>
  </si>
  <si>
    <t>Time (min)</t>
  </si>
  <si>
    <t>NAV-PVT poll; rate is TBR.</t>
  </si>
  <si>
    <t>Sagitta star tracker</t>
  </si>
  <si>
    <t>UART1</t>
  </si>
  <si>
    <t>Attitude poll; rate is TBR.</t>
  </si>
  <si>
    <t>Active mode</t>
  </si>
  <si>
    <t>Science runs</t>
  </si>
  <si>
    <t>Generated this step (MB)</t>
  </si>
  <si>
    <t>Downlinked this step (MB)</t>
  </si>
  <si>
    <t>SSD usage (MB)</t>
  </si>
  <si>
    <t>SSD utilization</t>
  </si>
  <si>
    <t>CONOPS note</t>
  </si>
  <si>
    <t>Contact 8</t>
  </si>
  <si>
    <t>INA3221 current monitor</t>
  </si>
  <si>
    <t>Contact 9</t>
  </si>
  <si>
    <t>Three-channel current read; shares I2C2.</t>
  </si>
  <si>
    <t>INA3221 fault signals</t>
  </si>
  <si>
    <t>Event-driven fault indication.</t>
  </si>
  <si>
    <t>TPS3431 watchdog</t>
  </si>
  <si>
    <t>One heartbeat output per second.</t>
  </si>
  <si>
    <t>BQ25756E charge controller</t>
  </si>
  <si>
    <t>Charge-status and fault read; shares I2C2.</t>
  </si>
  <si>
    <t>Comm</t>
  </si>
  <si>
    <t>RS-485 / EnduroSat S-band</t>
  </si>
  <si>
    <t>UART5</t>
  </si>
  <si>
    <t>During Downlink; replace with configured modem traffic.</t>
  </si>
  <si>
    <t>BD6222 H-bridge driver</t>
  </si>
  <si>
    <t>PWM</t>
  </si>
  <si>
    <t>PWMx</t>
  </si>
  <si>
    <t>Actuator control signal, not serial-bus traffic.</t>
  </si>
  <si>
    <t>A3909 motor drivers x4</t>
  </si>
  <si>
    <t>VN100 IMU/AHRS</t>
  </si>
  <si>
    <t>UART4</t>
  </si>
  <si>
    <t>Attitude/rate output with header and CRC at 5 Hz.</t>
  </si>
  <si>
    <t>Bus utilization = throughput (bytes/s) × 8 ÷ bus rate (bits/s). Values are average traffic.</t>
  </si>
  <si>
    <t>Processor Utilization Budget</t>
  </si>
  <si>
    <t>Task</t>
  </si>
  <si>
    <t>Trigger / rate</t>
  </si>
  <si>
    <t>Estimated cycles per run</t>
  </si>
  <si>
    <t>Runs/s</t>
  </si>
  <si>
    <t>Clock consumed (Hz)</t>
  </si>
  <si>
    <t>Time per run (ms)</t>
  </si>
  <si>
    <t>Clock utilization</t>
  </si>
  <si>
    <t>CPU clock speed</t>
  </si>
  <si>
    <t>Contact 10</t>
  </si>
  <si>
    <t>Hz</t>
  </si>
  <si>
    <t>VN100 IMU read and parse</t>
  </si>
  <si>
    <t>5 Hz</t>
  </si>
  <si>
    <t>Contact 11</t>
  </si>
  <si>
    <t>Read and parse the UART attitude/rate packet.</t>
  </si>
  <si>
    <t>Sun-sensor ADC read</t>
  </si>
  <si>
    <t>Contact 12</t>
  </si>
  <si>
    <t>Read six ADC channels and form the sun vector.</t>
  </si>
  <si>
    <t>Thermocouple read</t>
  </si>
  <si>
    <t>0.1 Hz</t>
  </si>
  <si>
    <t>Read eight thermocouple channels.</t>
  </si>
  <si>
    <t>ADCS control-law computation</t>
  </si>
  <si>
    <t>Compute attitude control and actuator command.</t>
  </si>
  <si>
    <t>ADCS actuator command</t>
  </si>
  <si>
    <t>Update PWM actuator outputs.</t>
  </si>
  <si>
    <t>Thermal control decision</t>
  </si>
  <si>
    <t>Evaluate thermal limits and heater command.</t>
  </si>
  <si>
    <t>EPS current-monitor read</t>
  </si>
  <si>
    <t>20-second cadence</t>
  </si>
  <si>
    <t>Read INA3221 current data.</t>
  </si>
  <si>
    <t>EPS charge-controller read and command</t>
  </si>
  <si>
    <t>Read status and update charge control.</t>
  </si>
  <si>
    <t>EPS fault-signal handling</t>
  </si>
  <si>
    <t>Event-driven</t>
  </si>
  <si>
    <t>Handle rare GPIO fault interrupts.</t>
  </si>
  <si>
    <t>EPS watchdog heartbeat</t>
  </si>
  <si>
    <t>1 Hz</t>
  </si>
  <si>
    <t>Update watchdog heartbeat output.</t>
  </si>
  <si>
    <t>GNSS read and parse</t>
  </si>
  <si>
    <t>Once per 18 seconds</t>
  </si>
  <si>
    <t>Read and parse NAV-PVT data.</t>
  </si>
  <si>
    <t>Star-tracker read and parse</t>
  </si>
  <si>
    <t>Read and parse attitude data.</t>
  </si>
  <si>
    <t>Camera trigger and USB image transfer</t>
  </si>
  <si>
    <t>Schedule image transfer and DMA activity.</t>
  </si>
  <si>
    <t>USB-hub control</t>
  </si>
  <si>
    <t>Route camera USB through the hub.</t>
  </si>
  <si>
    <t>S-band link servicing</t>
  </si>
  <si>
    <t>During Downlink</t>
  </si>
  <si>
    <t>Service UART5 and inbound commands.</t>
  </si>
  <si>
    <t>SOH packet assembly</t>
  </si>
  <si>
    <t>Package subsystem health fields.</t>
  </si>
  <si>
    <t>SSD log write</t>
  </si>
  <si>
    <t>Write housekeeping, events, and command results to eMMC.</t>
  </si>
  <si>
    <t>SSD write verification</t>
  </si>
  <si>
    <t>Read back or checksum the completed SSD write.</t>
  </si>
  <si>
    <t>SSD system database and state access</t>
  </si>
  <si>
    <t>60-second cadence</t>
  </si>
  <si>
    <t>Read or update the database and persistent state.</t>
  </si>
  <si>
    <t>SSD payload-file write</t>
  </si>
  <si>
    <t>Commit payload image and experiment files.</t>
  </si>
  <si>
    <t>Downlink packet assembly and framing</t>
  </si>
  <si>
    <t>Frame and encode downlink packets.</t>
  </si>
  <si>
    <t>Uplink command handling</t>
  </si>
  <si>
    <t>Parse and dispatch received commands.</t>
  </si>
  <si>
    <t>Linux OS baseline</t>
  </si>
  <si>
    <t>Continuous</t>
  </si>
  <si>
    <t>Reserve 5% pending measurement on the flight image.</t>
  </si>
  <si>
    <t>LOST software</t>
  </si>
  <si>
    <t>Planning allocation from the LOST reference; validate by test.</t>
  </si>
  <si>
    <t>Subtotal: known hardware and software load</t>
  </si>
  <si>
    <t>Unallocated headroom for flight software and FOUND</t>
  </si>
  <si>
    <t>Not a validated allocation; replace with measured execution profiles.</t>
  </si>
  <si>
    <t xml:space="preserve">Cycle counts are planning estimates for the 1 GHz AM3358 core on the BeagleBone Black and require measurement on the flight software image. The table represents average load; test peak execution, I/O stalls, and deadline behavior separately. Remaining headroom will need to be validated, namely the flight computer software algorithms (ex: ADCS pointing), FOUND, and ensuring LOST meets the compute desiginated to it.									</t>
  </si>
  <si>
    <t>Position Knowledge Error Budget</t>
  </si>
  <si>
    <t>COMBINATION CHECK</t>
  </si>
  <si>
    <t>Error Source</t>
  </si>
  <si>
    <t>Error Type</t>
  </si>
  <si>
    <t>Current Error (arcseconds)</t>
  </si>
  <si>
    <t>Current Error Value (°)</t>
  </si>
  <si>
    <t>Current Error Value (m)</t>
  </si>
  <si>
    <t>Current Timing Error (milliseconds)</t>
  </si>
  <si>
    <t>Max Error (°)</t>
  </si>
  <si>
    <t>Max Error (m)</t>
  </si>
  <si>
    <t>Max Timing Error (milliseconds)</t>
  </si>
  <si>
    <t>Baseline method</t>
  </si>
  <si>
    <t>Bounded bias + RSS independent 3σ terms</t>
  </si>
  <si>
    <t>FOUND Camera/Optics and Attitude Measure Alignment</t>
  </si>
  <si>
    <t>Angle</t>
  </si>
  <si>
    <t>---</t>
  </si>
  <si>
    <t>Predicted total (m)</t>
  </si>
  <si>
    <t>Attitude Knowledge</t>
  </si>
  <si>
    <t>Objective margin (m)</t>
  </si>
  <si>
    <t>Timing with Attitude Measurement</t>
  </si>
  <si>
    <t>Compliance status</t>
  </si>
  <si>
    <t>MEETS threshold and objective</t>
  </si>
  <si>
    <t>Position Truth Measure Knowledge</t>
  </si>
  <si>
    <t>Position</t>
  </si>
  <si>
    <t>Timing with Position Truth Measure</t>
  </si>
  <si>
    <t>FOUND intrinsic algorithm allocation</t>
  </si>
  <si>
    <t>Performance / allocation margin</t>
  </si>
  <si>
    <t>TOTALS*</t>
  </si>
  <si>
    <r>
      <rPr>
        <rFont val="Calibri"/>
        <i/>
        <color rgb="FF1155CC"/>
        <sz val="9.0"/>
        <u/>
      </rPr>
      <t>See the pointing and payload budget justification for assumptions and verification methods</t>
    </r>
    <r>
      <rPr>
        <rFont val="Calibri"/>
        <i/>
        <color rgb="FF1F1F1F"/>
        <sz val="9.0"/>
      </rPr>
      <t>, and for viewing the breakdown for each state machine mode.</t>
    </r>
  </si>
  <si>
    <t>Altitude</t>
  </si>
  <si>
    <t>Range</t>
  </si>
  <si>
    <t>Angular Velocity during Attitude Measure</t>
  </si>
  <si>
    <t>deg/s</t>
  </si>
  <si>
    <t>Translational Velocity at Orbit Altitude</t>
  </si>
  <si>
    <t>m/s</t>
  </si>
  <si>
    <t>CONVERSIONS</t>
  </si>
  <si>
    <t>Arcsec to Degree Conversion</t>
  </si>
  <si>
    <t>m to km</t>
  </si>
  <si>
    <t>* CDR baseline: 500 m threshold and 300 m objective at 3σ. Camera/optics and timing values are controlled engineering estimates with defined analysis and test verification methods.</t>
  </si>
  <si>
    <t>POINTING BUDGET</t>
  </si>
  <si>
    <t>Error Value (m)</t>
  </si>
  <si>
    <t>Error Value (arcsec)</t>
  </si>
  <si>
    <t>Current Analysis Error (°)</t>
  </si>
  <si>
    <t>MAX Allowed Error (°)</t>
  </si>
  <si>
    <t>GNSS Position Error</t>
  </si>
  <si>
    <t>Range Knowledge Error</t>
  </si>
  <si>
    <t>m</t>
  </si>
  <si>
    <t>ADCS Sensor Alignment Knowledge</t>
  </si>
  <si>
    <t>Attitude Truth Measure Alignment Knowledge</t>
  </si>
  <si>
    <t>ADCS Actuator Alignment Knowledge</t>
  </si>
  <si>
    <t>Thermal Flexing</t>
  </si>
  <si>
    <t>Actuator Control Ability</t>
  </si>
  <si>
    <t>Bounded bias + RSS independent residuals</t>
  </si>
  <si>
    <t>Predicted total (°)</t>
  </si>
  <si>
    <t>Performance margin / allocation reserve</t>
  </si>
  <si>
    <r>
      <rPr>
        <rFont val="Calibri"/>
        <i/>
        <color rgb="FF1155CC"/>
        <sz val="9.0"/>
        <u/>
      </rPr>
      <t>See the pointing and payload budget justification for assumptions and verification methods</t>
    </r>
    <r>
      <rPr>
        <rFont val="Calibri"/>
        <i/>
        <color rgb="FF1F1F1F"/>
        <sz val="9.0"/>
      </rPr>
      <t>, and for viewing the breakdown for each state machine mode.</t>
    </r>
  </si>
  <si>
    <t>LINK BUDGET</t>
  </si>
  <si>
    <t xml:space="preserve"> LINK BUDGET </t>
  </si>
  <si>
    <t>Reference</t>
  </si>
  <si>
    <t>Parameter</t>
  </si>
  <si>
    <t>Unit</t>
  </si>
  <si>
    <t>Comment/Reference</t>
  </si>
  <si>
    <t>MAGNETIC CONTROL</t>
  </si>
  <si>
    <t>DOWNLINK</t>
  </si>
  <si>
    <t>https://s.campbellsci.com/documents/us/technical-papers/link-budget.pdf</t>
  </si>
  <si>
    <t>Orbit Information</t>
  </si>
  <si>
    <t>From</t>
  </si>
  <si>
    <t>* Acquisition limit: 80% of the conservative 20 deg LOST full FOV gives an 8 deg usable half-field.</t>
  </si>
  <si>
    <t>Spacecraft</t>
  </si>
  <si>
    <t xml:space="preserve"> Elevation Angle</t>
  </si>
  <si>
    <t>Momentum storage</t>
  </si>
  <si>
    <t>N/A</t>
  </si>
  <si>
    <t>magnetorquer-only</t>
  </si>
  <si>
    <t>°</t>
  </si>
  <si>
    <t>FOV-BASED POINTING REQUIREMENT</t>
  </si>
  <si>
    <t>Degree from horizon, 10° comes from a UNP requirement</t>
  </si>
  <si>
    <t>To</t>
  </si>
  <si>
    <t>Earth</t>
  </si>
  <si>
    <t>Detumble start</t>
  </si>
  <si>
    <t xml:space="preserve">Radius of Earth </t>
  </si>
  <si>
    <t>Full FOV (°)</t>
  </si>
  <si>
    <t>Half FOV (°)</t>
  </si>
  <si>
    <t>Usable Fraction</t>
  </si>
  <si>
    <t>Usable Half-FOV (°)</t>
  </si>
  <si>
    <t>Result</t>
  </si>
  <si>
    <t>Detumble target</t>
  </si>
  <si>
    <t>0.5</t>
  </si>
  <si>
    <t>Altitude of Satellite</t>
  </si>
  <si>
    <t>LOST</t>
  </si>
  <si>
    <r>
      <rPr>
        <rFont val="Calibri"/>
        <b/>
        <color theme="1"/>
        <sz val="11.0"/>
      </rPr>
      <t xml:space="preserve">Notes: </t>
    </r>
    <r>
      <rPr>
        <rFont val="Calibri"/>
        <color theme="1"/>
        <sz val="11.0"/>
      </rPr>
      <t>The purpose of this budget is to see if the downlink over margin closes with the selected communication architecture. For ShipSat, an S-band radio was used and it was determined that closed. Adjust the parameters to fit your mission.</t>
    </r>
  </si>
  <si>
    <t>a = 1</t>
  </si>
  <si>
    <t>Limiting payload</t>
  </si>
  <si>
    <t>Solving law of cosines for the "range", see Orbit Info diagram, assuming elevation angle is variable -&gt; rSat^2 = range^2 + rE^2 - 2*range*rE*cos(pi/2+El). Rearranged is: (1) range^2 - (2*rE*cos(pi/2+El)) range + (rE^2 - rSat^2) = 0.     Requires quadratic equation to solve, done in the "Distance" cell</t>
  </si>
  <si>
    <t>Predicted time</t>
  </si>
  <si>
    <t>b = - (2*rE*cos(pi/2+El))</t>
  </si>
  <si>
    <t>FOUND</t>
  </si>
  <si>
    <t>c = (rE^2 - rSat^2)</t>
  </si>
  <si>
    <t>Non-governing</t>
  </si>
  <si>
    <t>ADCS-1 limit</t>
  </si>
  <si>
    <t>1440</t>
  </si>
  <si>
    <t xml:space="preserve"> Distance</t>
  </si>
  <si>
    <t>Acquisition pointing requirement</t>
  </si>
  <si>
    <t>deg</t>
  </si>
  <si>
    <t>Time margin</t>
  </si>
  <si>
    <t xml:space="preserve"> Speed of Light</t>
  </si>
  <si>
    <t>CDR basis</t>
  </si>
  <si>
    <t>110-min estimate</t>
  </si>
  <si>
    <t xml:space="preserve"> Boltzmann Constant</t>
  </si>
  <si>
    <t>worst-case detumble</t>
  </si>
  <si>
    <t>J/K</t>
  </si>
  <si>
    <t>dB (W/K/Hz)</t>
  </si>
  <si>
    <t>(For thermal noise)</t>
  </si>
  <si>
    <t>Transmitter Information</t>
  </si>
  <si>
    <t>POINTING REQUIREMENTS BY MODE</t>
  </si>
  <si>
    <t>GHz</t>
  </si>
  <si>
    <t>X-band</t>
  </si>
  <si>
    <t>Mode or check</t>
  </si>
  <si>
    <t>Utilized Bandwidth</t>
  </si>
  <si>
    <t>Requirement or gate</t>
  </si>
  <si>
    <t>MHz</t>
  </si>
  <si>
    <t>Budget result</t>
  </si>
  <si>
    <t>May be radio limited but is also limited by frequency license policy. Generally UHF max allocation ≤ 100kHz, S-band max allocation ≤ 5 MHz</t>
  </si>
  <si>
    <t>Verification basis</t>
  </si>
  <si>
    <t>Source</t>
  </si>
  <si>
    <t>Wavelength</t>
  </si>
  <si>
    <t>Safe / detumble</t>
  </si>
  <si>
    <t>10 to &lt;= 0.5 deg/s within 24 h</t>
  </si>
  <si>
    <t>Typically express in nm, but use m for calculations only</t>
  </si>
  <si>
    <t>Worst-case magnetic dynamics and HIL</t>
  </si>
  <si>
    <t>ADCS-1</t>
  </si>
  <si>
    <t>Bit rate</t>
  </si>
  <si>
    <t>Science acquisition</t>
  </si>
  <si>
    <t>Mbps</t>
  </si>
  <si>
    <t>Using value inputted into the Data Budget. This is modulation dependent but: UHF is usually 9600bps or 19.2kbps. S-band is usually &lt; 1Mbps. X-band is usually &lt; 100Mbps.</t>
  </si>
  <si>
    <t>Transmit Power</t>
  </si>
  <si>
    <t>W</t>
  </si>
  <si>
    <t>Bounded bias plus RSS budget</t>
  </si>
  <si>
    <t>PAY-2 / ADCS-3</t>
  </si>
  <si>
    <t>dBm</t>
  </si>
  <si>
    <t>Science imaging</t>
  </si>
  <si>
    <t>&lt; 0.5 deg/s</t>
  </si>
  <si>
    <t>Transmit antenna gain</t>
  </si>
  <si>
    <t>dBi</t>
  </si>
  <si>
    <t>datasheet</t>
  </si>
  <si>
    <t>Transmit system losses</t>
  </si>
  <si>
    <t>dB</t>
  </si>
  <si>
    <t>Circuit loss -1 dB, Return Loss -3 dB</t>
  </si>
  <si>
    <t>Camera command inhibited above gate</t>
  </si>
  <si>
    <t>ADCS-2</t>
  </si>
  <si>
    <t>EIRP</t>
  </si>
  <si>
    <t>Camera-on Sun keepout</t>
  </si>
  <si>
    <t>&gt;= 55 deg actual separation</t>
  </si>
  <si>
    <t>Path loss</t>
  </si>
  <si>
    <t>Command gate minus 5.5517 deg bound</t>
  </si>
  <si>
    <t>ADCS-4</t>
  </si>
  <si>
    <t>10*log_10((4*pi*distance*frequency/speed of light)^2)</t>
  </si>
  <si>
    <t>Slew and settling</t>
  </si>
  <si>
    <t>No fixed CONOPS duration</t>
  </si>
  <si>
    <t>State-gated before image capture</t>
  </si>
  <si>
    <t>Rate and Sun gates define readiness</t>
  </si>
  <si>
    <t>Receiver Information</t>
  </si>
  <si>
    <t>CONOPS / UNP 8.2.2.4</t>
  </si>
  <si>
    <t>Standby / Charge</t>
  </si>
  <si>
    <t>Power-positive attitude</t>
  </si>
  <si>
    <t>No precision pointing requirement</t>
  </si>
  <si>
    <t>Receive antenna diameter</t>
  </si>
  <si>
    <t>EPS-7 energy balance governs</t>
  </si>
  <si>
    <t>CONOPS / EPS-7</t>
  </si>
  <si>
    <t>Antenna Efficiency</t>
  </si>
  <si>
    <t>Standby / Downlink</t>
  </si>
  <si>
    <t>&lt;= 10 deg antenna boresight error</t>
  </si>
  <si>
    <t>Receive antenna gain</t>
  </si>
  <si>
    <t>Pointing budget at contact attitude</t>
  </si>
  <si>
    <t>CONOPS / COM</t>
  </si>
  <si>
    <t>If UHF, input from datsheet directly</t>
  </si>
  <si>
    <t>Camera FOV basis</t>
  </si>
  <si>
    <t>LOST 20 deg controls acquisition</t>
  </si>
  <si>
    <t>Noise Temperature</t>
  </si>
  <si>
    <t>K</t>
  </si>
  <si>
    <t>Conservative limiting-axis values</t>
  </si>
  <si>
    <t>PAY-2 / PAY-17</t>
  </si>
  <si>
    <t>Receive system noise figure</t>
  </si>
  <si>
    <t>FOUND HORIZON BLUR CHECK</t>
  </si>
  <si>
    <t>dBm/Hz</t>
  </si>
  <si>
    <t>System noise density = k*T but that is dB. System noise power = k*T*Bw or dB-Hz</t>
  </si>
  <si>
    <t>Input or result</t>
  </si>
  <si>
    <t>Role or limit</t>
  </si>
  <si>
    <t>Basis</t>
  </si>
  <si>
    <t>Blur limit</t>
  </si>
  <si>
    <t>Receiver system losses</t>
  </si>
  <si>
    <t>Antenna pointing loss -1 dB, Radome Loss 0 dB, Polarization Loss -2 dB, Circuit Loss -1 dB, Atmospheric -1 db</t>
  </si>
  <si>
    <t>pixels/exposure</t>
  </si>
  <si>
    <t>&lt;= 2</t>
  </si>
  <si>
    <t>PAY-17</t>
  </si>
  <si>
    <t>FOV across smear direction</t>
  </si>
  <si>
    <t>Conservative limiting axis</t>
  </si>
  <si>
    <t>FOUND analysis configuration</t>
  </si>
  <si>
    <t>Active pixels across same direction</t>
  </si>
  <si>
    <t>pixels</t>
  </si>
  <si>
    <t>CDR analysis configuration</t>
  </si>
  <si>
    <t>xiQ-S7 1280-pixel axis</t>
  </si>
  <si>
    <t>Average IFOV</t>
  </si>
  <si>
    <t>Total Received Power</t>
  </si>
  <si>
    <t>deg/pixel</t>
  </si>
  <si>
    <t>Calculation</t>
  </si>
  <si>
    <t>FOV / active pixels</t>
  </si>
  <si>
    <t>Configured exposure time</t>
  </si>
  <si>
    <t>Commanded design point</t>
  </si>
  <si>
    <t>xiAPI default exposure</t>
  </si>
  <si>
    <t>Settled spacecraft rate bound</t>
  </si>
  <si>
    <t>Design allocation</t>
  </si>
  <si>
    <t>ADCS-2 camera gate</t>
  </si>
  <si>
    <t>Cross polarization loss</t>
  </si>
  <si>
    <t>If ground antenna vs. flight antennas have same-hand circular or linear (0dB), linear to circular (-3dB) or LHCP to RHCP is often about -20dB or -30dB loss</t>
  </si>
  <si>
    <t>Orbital apparent-rate bound</t>
  </si>
  <si>
    <t>500 km geometric bound</t>
  </si>
  <si>
    <t>Orbital motion</t>
  </si>
  <si>
    <t>Link Margin Computation</t>
  </si>
  <si>
    <t>Settled LOS acceleration bound</t>
  </si>
  <si>
    <t>deg/s^2</t>
  </si>
  <si>
    <t>ADCS control allocation</t>
  </si>
  <si>
    <t>Predicted blur</t>
  </si>
  <si>
    <t>Received Eb/N0</t>
  </si>
  <si>
    <t xml:space="preserve">Eb/N0 = SNR - 10*log_10(Bit Rate / Bandwidth) </t>
  </si>
  <si>
    <t>Analytical image-motion bound</t>
  </si>
  <si>
    <t>Required Eb/N0</t>
  </si>
  <si>
    <t>Based upon various modulation schemes for a desired bit error rate. Search various modulations for their performance curves (e.g. https://en.wikipedia.org/wiki/Bit_error_rate) e.g. BPSK for 1e-6 BER is about 11dB</t>
  </si>
  <si>
    <t>Maximum exposure</t>
  </si>
  <si>
    <t>Link margin</t>
  </si>
  <si>
    <t>If green, link closes. If red, something needs to be tweaked</t>
  </si>
  <si>
    <t>Required link margin</t>
  </si>
  <si>
    <t>UNP Requirement</t>
  </si>
  <si>
    <t>&gt;= configured exposure</t>
  </si>
  <si>
    <t>Analytical image-motion limit</t>
  </si>
  <si>
    <t>Blur margin</t>
  </si>
  <si>
    <t>&gt;= 0</t>
  </si>
  <si>
    <t>Blur limit minus prediction</t>
  </si>
  <si>
    <t>Orbit Information &amp; Constants</t>
  </si>
  <si>
    <t>Elevation Angle</t>
  </si>
  <si>
    <t xml:space="preserve"> From Datasheet</t>
  </si>
  <si>
    <t>Radius of Earth</t>
  </si>
  <si>
    <t>From "Orbit Info" sheet</t>
  </si>
  <si>
    <r>
      <rPr>
        <rFont val="Calibri"/>
        <b/>
        <color theme="1"/>
        <sz val="11.0"/>
      </rPr>
      <t xml:space="preserve">Notes: </t>
    </r>
    <r>
      <rPr>
        <rFont val="Calibri"/>
        <color theme="1"/>
        <sz val="11.0"/>
      </rPr>
      <t>This downlink and the uplink analyses contain more information that the simplified budget on the previous tab. The purpose of this budget is to see if the link closes (exceeds margin) with the selected communication architecture.  Values that are bolded are likely ones you can find from datasheets.</t>
    </r>
  </si>
  <si>
    <t>Altitude of Ground Station</t>
  </si>
  <si>
    <r>
      <rPr>
        <rFont val="Calibri"/>
        <b/>
        <color theme="1"/>
        <sz val="11.0"/>
      </rPr>
      <t>From Leaf Space Antenna Datashee</t>
    </r>
    <r>
      <rPr>
        <rFont val="Calibri"/>
        <color theme="1"/>
        <sz val="11.0"/>
      </rPr>
      <t>t: Talkeetna, Alaska (picked closest station)</t>
    </r>
  </si>
  <si>
    <t>Latitude of Ground Station</t>
  </si>
  <si>
    <r>
      <rPr>
        <rFont val="Calibri"/>
        <b/>
        <sz val="11.0"/>
      </rPr>
      <t xml:space="preserve">From Leaf Space Antenna Datasheet: </t>
    </r>
    <r>
      <rPr>
        <rFont val="Calibri"/>
        <sz val="11.0"/>
      </rPr>
      <t>Talkeetna,</t>
    </r>
    <r>
      <rPr>
        <rFont val="Calibri"/>
        <color rgb="FF000000"/>
        <sz val="11.0"/>
      </rPr>
      <t xml:space="preserve"> Alaska (picked closest station)</t>
    </r>
  </si>
  <si>
    <t>Speed of Light</t>
  </si>
  <si>
    <t>Boltzman Constant</t>
  </si>
  <si>
    <t>dB (W/m/K)</t>
  </si>
  <si>
    <t>Transmitter Information - Spacecraft</t>
  </si>
  <si>
    <t>Transmitter power</t>
  </si>
  <si>
    <t>watts</t>
  </si>
  <si>
    <r>
      <rPr>
        <rFont val="Calibri"/>
        <color theme="1"/>
        <sz val="11.0"/>
      </rPr>
      <t>According to Endurosat S-Band Transceiver ICD section 4.2 titled "</t>
    </r>
    <r>
      <rPr>
        <rFont val="Calibri"/>
        <b/>
        <color theme="1"/>
        <sz val="11.0"/>
      </rPr>
      <t>RF Performance"</t>
    </r>
    <r>
      <rPr>
        <rFont val="Calibri"/>
        <color theme="1"/>
        <sz val="11.0"/>
      </rPr>
      <t>:
RF output power (dbm): 26 - 33 -------&gt; (W) 0.398 - 1.998 W
Assuming minimum output from above range</t>
    </r>
  </si>
  <si>
    <t>VSWR</t>
  </si>
  <si>
    <r>
      <rPr>
        <rFont val="Calibri"/>
        <color theme="1"/>
        <sz val="11.0"/>
      </rPr>
      <t xml:space="preserve">Virtual Standing Wave Ratio: Use either VSWR, or simply input the Return Loss, depending upon the value available
</t>
    </r>
    <r>
      <rPr>
        <rFont val="Calibri"/>
        <b/>
        <color theme="1"/>
        <sz val="11.0"/>
      </rPr>
      <t xml:space="preserve">From Endurosat: 
</t>
    </r>
    <r>
      <rPr>
        <rFont val="Calibri"/>
        <i/>
        <color theme="1"/>
        <sz val="11.0"/>
      </rPr>
      <t>- Return loss at 2.2 GHz: -15 dB - this is the figure to use for your link budget.
- VSWR at 2.2 GHz: 1.43 (corresponding to the return loss above)</t>
    </r>
  </si>
  <si>
    <t>Return Loss (value &lt; 0 dB)</t>
  </si>
  <si>
    <r>
      <rPr>
        <rFont val="Calibri"/>
        <color theme="1"/>
        <sz val="11.0"/>
      </rPr>
      <t xml:space="preserve">Portion of signal reflected back to the transmitter. Caused by impedance mismatches within the cables and cable connections. The more negative the less loss, the better. -9.542 dB is a VSWR of 2:1, considered ok but not ideal tuning, which is 1:1 = 10log_10( [(VSWR-1)/(VSWR+1)] ^2). A 1:1 ratio is perfect, return loss is " infinite" meaning no loss and perfect transmission occurs
</t>
    </r>
    <r>
      <rPr>
        <rFont val="Calibri"/>
        <b/>
        <color theme="1"/>
        <sz val="11.0"/>
      </rPr>
      <t>From Endurosat</t>
    </r>
    <r>
      <rPr>
        <rFont val="Calibri"/>
        <color theme="1"/>
        <sz val="11.0"/>
      </rPr>
      <t xml:space="preserve">: 
</t>
    </r>
    <r>
      <rPr>
        <rFont val="Calibri"/>
        <i/>
        <color theme="1"/>
        <sz val="11.0"/>
      </rPr>
      <t>"- Return loss at 2.2 GHz: -15 dB - this is the figure to use for your link budget.
- VSWR at 2.2 GHz: 1.43 (corresponding to the return loss above)"</t>
    </r>
  </si>
  <si>
    <t>Return Loss Power</t>
  </si>
  <si>
    <t>https://en.wikipedia.org/wiki/Return_loss</t>
  </si>
  <si>
    <t>Transmitter power - w/ return loss</t>
  </si>
  <si>
    <t>dBW</t>
  </si>
  <si>
    <t>dBm (milliwatt) = dBW (watt) + 30dB: there are 1000mW = 1W -&gt; 10*log10(1000) = 30</t>
  </si>
  <si>
    <t xml:space="preserve">Value from Endurosat S-Band Patch Antenna Hardware ICD Section 2:  2025 - 2290 MHz
Value from Endurosat S-Band Transceiver ICD Section 1: Tx: 2200
MHz to 2290 MHz, Rx:2025 MHz to 2110 MHz
</t>
  </si>
  <si>
    <t>wavelength = c/frequency</t>
  </si>
  <si>
    <t>May be radio limited but is also limited by frequency license policy. Generally UHF max allocation ≤ 100kHz, S-band max allocation ≤ 5 MHz.
Assuming 1 MHz for now.</t>
  </si>
  <si>
    <t>From Endurosat S-Band Wideband Patch Antenna ICD</t>
  </si>
  <si>
    <t>Transmit antenna beamwidth at -3dB</t>
  </si>
  <si>
    <t>Used for tracking, not in link budget calculations.
3dB point is the "half power" beamwidth.
According to Endurosat S-Band Patch Antenna ICD (SANTV6 Wideband Antenna)</t>
  </si>
  <si>
    <t>Pointing Error</t>
  </si>
  <si>
    <t>Angular difference between a satellite's actual orientation or antenna beam direction and its intended target direction.
For S-Band, this should be &lt;= 10
(Taken from Pointing budget)</t>
  </si>
  <si>
    <t>Antenna pointing loss - flight</t>
  </si>
  <si>
    <r>
      <rPr>
        <rFont val="Calibri"/>
        <b/>
        <sz val="11.0"/>
      </rPr>
      <t xml:space="preserve">Link Budget Design paper: </t>
    </r>
    <r>
      <rPr>
        <rFont val="Calibri"/>
        <b/>
        <color rgb="FF1155CC"/>
        <sz val="11.0"/>
        <u/>
      </rPr>
      <t>https://www.valispace.com/wp-content/uploads/2018/12/Link-Budget-Design.pdf</t>
    </r>
    <r>
      <rPr>
        <rFont val="Calibri"/>
        <b/>
        <sz val="11.0"/>
      </rPr>
      <t xml:space="preserve"> 
Formula for pointing loss</t>
    </r>
    <r>
      <rPr>
        <rFont val="Calibri"/>
        <sz val="11.0"/>
      </rPr>
      <t xml:space="preserve"> = 12 * ((pointing error / HPBW) ^ 2) 
</t>
    </r>
    <r>
      <rPr>
        <rFont val="Calibri"/>
        <b/>
        <sz val="11.0"/>
      </rPr>
      <t xml:space="preserve">From Endurosat: </t>
    </r>
    <r>
      <rPr>
        <rFont val="Calibri"/>
        <sz val="11.0"/>
      </rPr>
      <t>"</t>
    </r>
    <r>
      <rPr>
        <rFont val="Calibri"/>
        <i/>
        <sz val="11.0"/>
      </rPr>
      <t>For antenna pointing loss, the usual first-pass approach is 12 × (pointing error / HPBW)²</t>
    </r>
    <r>
      <rPr>
        <rFont val="Calibri"/>
        <sz val="11.0"/>
      </rPr>
      <t xml:space="preserve">"
</t>
    </r>
    <r>
      <rPr>
        <rFont val="Calibri"/>
        <b/>
        <sz val="11.0"/>
      </rPr>
      <t>Pointing Error (</t>
    </r>
    <r>
      <rPr>
        <rFont val="Calibri"/>
        <sz val="11.0"/>
      </rPr>
      <t xml:space="preserve">from Simulations + Pointing Budget): 9.0 degrees
</t>
    </r>
    <r>
      <rPr>
        <rFont val="Calibri"/>
        <b/>
        <sz val="11.0"/>
      </rPr>
      <t xml:space="preserve">HPBW: </t>
    </r>
    <r>
      <rPr>
        <rFont val="Calibri"/>
        <sz val="11.0"/>
      </rPr>
      <t xml:space="preserve">70 degrees
</t>
    </r>
  </si>
  <si>
    <t>Circuit Loss</t>
  </si>
  <si>
    <t>Early design rule of thumb about -1dB</t>
  </si>
  <si>
    <t>EIRP - dBm</t>
  </si>
  <si>
    <t>dBm = dBW + 30dB</t>
  </si>
  <si>
    <t>a</t>
  </si>
  <si>
    <t>Solving law of cosines for range assuming elevation angle is variable -&gt; rSat^2 = range^2 + rE^2 - 2*range*rE*cos(pi/2+El). Rearranged is: (1) range^2 - (2*rE*cos(pi/2+El)) range + (rE^2 - rSat^2) = 0
Requires quadratic equation to solve</t>
  </si>
  <si>
    <t>b</t>
  </si>
  <si>
    <t>c</t>
  </si>
  <si>
    <t xml:space="preserve">Range </t>
  </si>
  <si>
    <t>Manually enter or assumes range from elevation angle. Only requires the positive of the root of quadratic eqn (see B26-B30)</t>
  </si>
  <si>
    <t>Free space loss</t>
  </si>
  <si>
    <t>Atmospheric attenuation</t>
  </si>
  <si>
    <t>Using -1dB is generally conservative. ITU-R P.676-3 has significant complexity in computations. Recompute below values if going above S-band frequencies</t>
  </si>
  <si>
    <t>K - ITU-R value</t>
  </si>
  <si>
    <r>
      <rPr>
        <rFont val="Calibri"/>
        <sz val="11.0"/>
      </rPr>
      <t>Endurosat S-Band Antenna Hardware ICD Table 2.1: Wideband antenna Polarization: RHCP</t>
    </r>
    <r>
      <rPr>
        <rFont val="Calibri"/>
        <b/>
        <sz val="11.0"/>
      </rPr>
      <t xml:space="preserve">
Circular Polarization values: </t>
    </r>
    <r>
      <rPr>
        <rFont val="Calibri"/>
        <color rgb="FF1155CC"/>
        <sz val="11.0"/>
        <u/>
      </rPr>
      <t>https://www.etsi.org/deliver/etsi_tr/102000_102099/10203101/01.01.01_60/tr_10203101v010101p.pdf</t>
    </r>
    <r>
      <rPr>
        <rFont val="Calibri"/>
        <sz val="11.0"/>
      </rPr>
      <t xml:space="preserve"> (use 2 GHz values)
</t>
    </r>
    <r>
      <rPr>
        <rFont val="Calibri"/>
        <b/>
        <sz val="11.0"/>
      </rPr>
      <t xml:space="preserve">K + α formulas: </t>
    </r>
    <r>
      <rPr>
        <rFont val="Calibri"/>
        <b/>
        <color rgb="FF1155CC"/>
        <sz val="11.0"/>
        <u/>
      </rPr>
      <t>https://www.itu.int/dms_pubrec/itu-r/rec/p/r-rec-p.838-3-200503-i!!pdf-e.pdf</t>
    </r>
    <r>
      <rPr>
        <rFont val="Calibri"/>
        <sz val="11.0"/>
      </rPr>
      <t xml:space="preserve"> (page 3)
K formula: k = [kH + kV + (kH − kV)·cos²θ·cos(2τ)] / 2       (theta = elevation angle, t = 45 for circular polarization)
</t>
    </r>
  </si>
  <si>
    <t>alpha - ITU-R value</t>
  </si>
  <si>
    <r>
      <rPr>
        <rFont val="Calibri"/>
        <sz val="11.0"/>
      </rPr>
      <t xml:space="preserve">Endurosat S-Band Antenna Hardware ICD Table 2.1: Wideband antenna Polarization: RHCP
</t>
    </r>
    <r>
      <rPr>
        <rFont val="Calibri"/>
        <b/>
        <sz val="11.0"/>
      </rPr>
      <t>Circular Polarization values</t>
    </r>
    <r>
      <rPr>
        <rFont val="Calibri"/>
        <sz val="11.0"/>
      </rPr>
      <t xml:space="preserve">: </t>
    </r>
    <r>
      <rPr>
        <rFont val="Calibri"/>
        <color rgb="FF1155CC"/>
        <sz val="11.0"/>
        <u/>
      </rPr>
      <t>https://www.etsi.org/deliver/etsi_tr/102000_102099/10203101/01.01.01_60/tr_10203101v010101p.pdf</t>
    </r>
    <r>
      <rPr>
        <rFont val="Calibri"/>
        <sz val="11.0"/>
      </rPr>
      <t xml:space="preserve"> (use 2 GHz values)
</t>
    </r>
    <r>
      <rPr>
        <rFont val="Calibri"/>
        <b/>
        <sz val="11.0"/>
      </rPr>
      <t>K + α formulas</t>
    </r>
    <r>
      <rPr>
        <rFont val="Calibri"/>
        <sz val="11.0"/>
      </rPr>
      <t xml:space="preserve">: https://www.itu.int/dms_pubrec/itu-r/rec/p/r-rec-p.838-3-200503-i!!pdf-e.pdf (page 3)
</t>
    </r>
    <r>
      <rPr>
        <rFont val="Calibri"/>
        <b/>
        <sz val="11.0"/>
      </rPr>
      <t xml:space="preserve">α formula: </t>
    </r>
    <r>
      <rPr>
        <rFont val="Calibri"/>
        <sz val="11.0"/>
      </rPr>
      <t xml:space="preserve">α = [kH·αH + kV·αV + (kH·αH − kV·αV)·cos²θ·cos(2τ)] / (2k)       (theta = elevation angle, t = 45 for circular polarization)
</t>
    </r>
  </si>
  <si>
    <t>Rainfall rate for 99.9% weather</t>
  </si>
  <si>
    <t>mm/hr</t>
  </si>
  <si>
    <t>Seems like most regions of interest never exceed "Zone N" for 35. Value is conservative</t>
  </si>
  <si>
    <t>Gamma_R</t>
  </si>
  <si>
    <t>From Leaf Space Antenna Datasheet: Talkeetna, Alaska (picked closest station)</t>
  </si>
  <si>
    <t>dB/km</t>
  </si>
  <si>
    <t>gamma_R = K * R^alpha</t>
  </si>
  <si>
    <t>h_Rain (atm. Rain altitude)</t>
  </si>
  <si>
    <t>Athens is used for "best case" given ITU-R recommendation @ latitude. The max is in the southern hemisphere, used in worst case @ 71deg S</t>
  </si>
  <si>
    <r>
      <rPr>
        <rFont val="Calibri"/>
        <sz val="11.0"/>
      </rPr>
      <t>From Leaf Space Antenna Datasheet: Talkeetna,</t>
    </r>
    <r>
      <rPr>
        <rFont val="Calibri"/>
        <color rgb="FF000000"/>
        <sz val="11.0"/>
      </rPr>
      <t xml:space="preserve"> Alaska (picked closest station)</t>
    </r>
  </si>
  <si>
    <t>Distance through atmosphere</t>
  </si>
  <si>
    <t>(h_Rain - h_antenna)/sin(El). Bestcase using El. mask slant angle, worst case using 1 deg over horizon</t>
  </si>
  <si>
    <t>Rain attenuation (99.9%)</t>
  </si>
  <si>
    <t>ITU-R method P.839 (see B34-B39). 
This is the 99.9% estimate for atmospheric attenuation at, or below, ~S-band. Further, estimates should be made given higher bands</t>
  </si>
  <si>
    <t>Receiver Information - Ground</t>
  </si>
  <si>
    <t>meters</t>
  </si>
  <si>
    <t>Transmitter Information - Ground</t>
  </si>
  <si>
    <r>
      <rPr>
        <rFont val="Calibri"/>
        <color theme="1"/>
        <sz val="11.0"/>
      </rPr>
      <t xml:space="preserve">Leaf Space Datasheet: GAIA100 diameter = </t>
    </r>
    <r>
      <rPr>
        <rFont val="Calibri"/>
        <b/>
        <color theme="1"/>
        <sz val="11.0"/>
      </rPr>
      <t>3.7 m</t>
    </r>
  </si>
  <si>
    <t>Antenna efficiency</t>
  </si>
  <si>
    <r>
      <rPr>
        <rFont val="Calibri"/>
        <color theme="1"/>
        <sz val="11.0"/>
      </rPr>
      <t xml:space="preserve">Values are taken from Leaf Space Datasheet Section 5.1
</t>
    </r>
    <r>
      <rPr>
        <rFont val="Calibri"/>
        <b/>
        <color theme="1"/>
        <sz val="11.0"/>
      </rPr>
      <t xml:space="preserve">MATH: </t>
    </r>
    <r>
      <rPr>
        <rFont val="Calibri"/>
        <color theme="1"/>
        <sz val="11.0"/>
      </rPr>
      <t xml:space="preserve">EIRP (dBm or dBW) = Pt + Gt - Lt
Where:
Pt = Transmitter output power (in dBm or dBW for log form; watts for linear form)
Gt = Transmitting antenna gain (in dBi for log form; linear gain for linear form)
Lt = Losses between transmitter and antenna (cable, connector, etc., in dB) — only used in the log form
</t>
    </r>
    <r>
      <rPr>
        <rFont val="Calibri"/>
        <b/>
        <color theme="1"/>
        <sz val="11.0"/>
      </rPr>
      <t xml:space="preserve">Leaf Space Datasheet values:
</t>
    </r>
    <r>
      <rPr>
        <rFont val="Calibri"/>
        <color theme="1"/>
        <sz val="11.0"/>
      </rPr>
      <t xml:space="preserve">Pt = ???
Gt = 35.0
Lt = Assumed to be 0 dB (As it is likely accounted for inside of datasheet values)
EIRP = 50.0
-----------------
Pt = EIRP - Gt + Lt  ----&gt; Pt = 15 dbW
------------------
</t>
    </r>
    <r>
      <rPr>
        <rFont val="Calibri"/>
        <b/>
        <color theme="1"/>
        <sz val="11.0"/>
      </rPr>
      <t xml:space="preserve">dbW formula: </t>
    </r>
    <r>
      <rPr>
        <rFont val="Calibri"/>
        <color theme="1"/>
        <sz val="11.0"/>
      </rPr>
      <t xml:space="preserve">dbW=10 * log10​(Pout/Pref​​)
</t>
    </r>
    <r>
      <rPr>
        <rFont val="Calibri"/>
        <b/>
        <color theme="1"/>
        <sz val="11.0"/>
      </rPr>
      <t xml:space="preserve">Rewrite for Pout: </t>
    </r>
    <r>
      <rPr>
        <rFont val="Calibri"/>
        <color theme="1"/>
        <sz val="11.0"/>
      </rPr>
      <t>Pout​=Pref×(10^(dbW​/10))
Pref = 1 W
dbW = Pt (from previous equations)
Therefore, Pout = 10^(15 dbW / 10) = 31.6 W
Max input peak power is 15 dbW = 31.6 W
RF output power</t>
    </r>
  </si>
  <si>
    <t>Virtual Wave Standing Ratio: Use either VSWR, or simply input the Return Loss, depending upon the value available.
Assuming a VSWR ratio of 1.5 : 1 to be conservative</t>
  </si>
  <si>
    <t>10*log_10(antenna efficiency* (PI()*dish diameter/wavelength)^2)
Leaf Space datasheet GAIA100 (3.7m) Max Isotripic Gain (Downlink): 34.6 dBi</t>
  </si>
  <si>
    <t>Receive antenna beamwidth at -3dB</t>
  </si>
  <si>
    <t>Used for tracking, not in link budget calculations. Circular antenna, freq in GHz at 3dB down from peak gain. 3dB point is the "half power" beamwidth</t>
  </si>
  <si>
    <t>Antenna pointing loss - ground</t>
  </si>
  <si>
    <t>At 0dB, this assumes no pointing error, and thus is optimistic.
Here, -1dB is assumed that the ground antenna is accurately pointed to the spacecraft, likely within a tenth of a degree or so (given the gain and beamwidth computed)</t>
  </si>
  <si>
    <t>Radome Loss</t>
  </si>
  <si>
    <t>Leaf Space Ground Stations use radomes for all their antennas; ~ -3 dB loss</t>
  </si>
  <si>
    <t>Portion of signal reflected back to the transmitter. Caused by impedance mismatches within the cables and cable connections. The more negative the less loss, the better. -9.542 dB is a VSWR of 2:1, considered ok but not ideal tuning, which is 1:1 = 10log_10( [(VSWR-1)/(VSWR+1)] ^2). A 1:1 ratio is perfect, return loss is " infinite" meaning no loss and perfect transmission occurs</t>
  </si>
  <si>
    <t>Received Power, Pt</t>
  </si>
  <si>
    <t>A measure in relative terms of the power of the signal reflected by a discontinuity in a transmission line or optical fiber
https://en.wikipedia.org/wiki/Return_loss</t>
  </si>
  <si>
    <t>Received Power, Pt - dBm</t>
  </si>
  <si>
    <t>Operational frequency from Leaf Space Datasheet Section 5.1: 2025-2110 MHz</t>
  </si>
  <si>
    <t>Receiver Noise Figure</t>
  </si>
  <si>
    <t>Generic estimate. May be notably different; use info from data sheet.</t>
  </si>
  <si>
    <t>Noise Temperature Sky</t>
  </si>
  <si>
    <t>Generic estimate for the sky. May be notably different based on frequency and other emitters e.g. sun; use info from data sheet.</t>
  </si>
  <si>
    <t>Noise Temperature System</t>
  </si>
  <si>
    <r>
      <rPr>
        <rFont val="Calibri"/>
        <b/>
        <color theme="1"/>
        <sz val="11.0"/>
      </rPr>
      <t>Leaf Space Receiving System Noise Temperature for GAIA100 (from datasheet): 140.92K</t>
    </r>
    <r>
      <rPr>
        <rFont val="Calibri"/>
        <color theme="1"/>
        <sz val="11.0"/>
      </rPr>
      <t xml:space="preserve">
Equivalent Noise Temp = T_NF = T_ref*10^((NF/10)-1), T_ref = 290K, a commonly used reference value.
T_sys = T_NF + T_antenna</t>
    </r>
  </si>
  <si>
    <t>Noise Temperature System dB K</t>
  </si>
  <si>
    <t>dBK</t>
  </si>
  <si>
    <t>Assuming the same ground antenna as the Downlink budget</t>
  </si>
  <si>
    <t>Receive G/T</t>
  </si>
  <si>
    <t>dB/K</t>
  </si>
  <si>
    <t>Section 5.1 of GAIA100 Leaf Space Datasheet: 12.93 G/T K @ 10 degrees
Some commercial ground systems have this measured and the value can be direct input here w/o inputting the other Receiver Information specs</t>
  </si>
  <si>
    <t>N0</t>
  </si>
  <si>
    <t>dBW/Hz</t>
  </si>
  <si>
    <t>Note: Receiver Noise Figure might need to be subtracted from this number if the general N0 does not account for it.</t>
  </si>
  <si>
    <t>N0 - dBm/Hz</t>
  </si>
  <si>
    <t>Pt/N0</t>
  </si>
  <si>
    <t xml:space="preserve">10*log_10(antenna efficiency* (PI()*dish diameter/wavelength)^2)
Leaf Space datasheet GAIA100 (3.7m) Max Isotripic Gain (Uplink): 35.0 dBi
</t>
  </si>
  <si>
    <t>dBHz</t>
  </si>
  <si>
    <t>Cross-Polarization Loss</t>
  </si>
  <si>
    <t>If ground antenna vs. flight antennas have same-hand circular or linear (0dB), linear to circular (-3dB) or LHCP to RHCP is often about -20dB or -30dB loss.
Both the Endurosat S-Band transceiver and the Leaf Space GAIA100 3.7m antenna(s) are RHCP, so no Cross-Polarization Loss here</t>
  </si>
  <si>
    <t>Bit Rate</t>
  </si>
  <si>
    <t>Used for tracking, not in link budget calculations. Circular antenna, freq in GHz at 3dB down from peak gain. 3dB point is the "half power" beamwidth
From Leaf Space Ground Station datasheet section 5.1</t>
  </si>
  <si>
    <t>At 0dB, this assumes no pointing error, and thus is optimistic.
Here, -1dB is assumed that the ground antenna is accurately pointed to the spacecraft, likely within a half of a degree or so (given the gain and beamwidth computed)</t>
  </si>
  <si>
    <r>
      <rPr>
        <rFont val="Calibri"/>
        <color theme="1"/>
        <sz val="11.0"/>
      </rPr>
      <t xml:space="preserve">Using value inputted into the Data Budget. This is modulation dependent but: UHF is usually 9600bps or 19.2kbps. S-band is usually &lt; 1Mbps. X-band is usually &lt; 100Mbps.
Endurosat has stated that the default for our transceiver models is 50kbps and with FEC + HDLC, this is halved to ~25 Kbps. This is FAR more than enough:
</t>
    </r>
    <r>
      <rPr>
        <rFont val="Calibri"/>
        <i/>
        <color theme="1"/>
        <sz val="11.0"/>
      </rPr>
      <t xml:space="preserve">
</t>
    </r>
    <r>
      <rPr>
        <rFont val="Calibri"/>
        <color theme="1"/>
        <sz val="11.0"/>
      </rPr>
      <t xml:space="preserve">On using FEC + HDLC: </t>
    </r>
    <r>
      <rPr>
        <rFont val="Calibri"/>
        <i/>
        <color theme="1"/>
        <sz val="11.0"/>
      </rPr>
      <t>"Net/information rate: halved. The code is a rate-½ convolutional code, constraint length k=5, polynomials g0 = 25₈, g1 = 23₈, followed by zero-padding to a 16-bit multiple, every-other-bit XOR (the g0 branch is inverted), and a 4×4 interleaver." - Endurosat Support Team</t>
    </r>
  </si>
  <si>
    <t xml:space="preserve">Leaf Space Ground Stations use radomes for all their antennas; Approximately -3 dB loss
</t>
  </si>
  <si>
    <t>BIT RATE</t>
  </si>
  <si>
    <t>Assumes data rate is Mbps, if different, change scale factor here</t>
  </si>
  <si>
    <t>Eb/N0 Available</t>
  </si>
  <si>
    <t>Eb/N0 Required</t>
  </si>
  <si>
    <t xml:space="preserve">Based upon various modulation schemes for a desired bit error rate. Search various modulations for their performance curves (e.g. https://en.wikipedia.org/wiki/Bit_error_rate) 
We are using GFSK w/ FEC, assuming bit error rate of 1 * 10^-4, the performance curves give us 11 dB.
</t>
  </si>
  <si>
    <t>Receive System Implementation Loss</t>
  </si>
  <si>
    <t>For systems without Forward Error Corection, a 1-2dB is a reasonable conservative value. We are using FEC, but leaving a loss of -1 dB to cover any other missing loss we may miscalculated on</t>
  </si>
  <si>
    <t>LINK MARGIN</t>
  </si>
  <si>
    <t>Required LINK MARGIN</t>
  </si>
  <si>
    <t>Manually enter or assumes range from elevation angle. Only requires the positive of the root of quadratic eqn (see B30-B32)</t>
  </si>
  <si>
    <t>10log_10((4*pi*distance*frequency/speed of light)^2)</t>
  </si>
  <si>
    <t>Need to confirm this value
Using -1dB is generally conservative. ITU-R P.676-3 has significant complexity in computations. Recompute below values if going above S-band frequencies</t>
  </si>
  <si>
    <t>K - ITU-R value @ 1GHz</t>
  </si>
  <si>
    <r>
      <rPr>
        <rFont val="Calibri"/>
        <b/>
        <color theme="1"/>
        <sz val="11.0"/>
      </rPr>
      <t>Endurosat S-Band Antenna Hardware ICD Table 2.1</t>
    </r>
    <r>
      <rPr>
        <rFont val="Calibri"/>
        <color theme="1"/>
        <sz val="11.0"/>
      </rPr>
      <t xml:space="preserve">: Wideband antenna Polarization: RHCP
</t>
    </r>
    <r>
      <rPr>
        <rFont val="Calibri"/>
        <b/>
        <color theme="1"/>
        <sz val="11.0"/>
      </rPr>
      <t>Circular Polarization values</t>
    </r>
    <r>
      <rPr>
        <rFont val="Calibri"/>
        <color theme="1"/>
        <sz val="11.0"/>
      </rPr>
      <t xml:space="preserve">: https://www.etsi.org/deliver/etsi_tr/102000_102099/10203101/01.01.01_60/tr_10203101v010101p.pdf (use 2 GHz values)
</t>
    </r>
    <r>
      <rPr>
        <rFont val="Calibri"/>
        <b/>
        <color theme="1"/>
        <sz val="11.0"/>
      </rPr>
      <t>K + α formulas</t>
    </r>
    <r>
      <rPr>
        <rFont val="Calibri"/>
        <color theme="1"/>
        <sz val="11.0"/>
      </rPr>
      <t xml:space="preserve">: https://www.itu.int/dms_pubrec/itu-r/rec/p/r-rec-p.838-3-200503-i!!pdf-e.pdf (page 3)
</t>
    </r>
    <r>
      <rPr>
        <rFont val="Calibri"/>
        <b/>
        <color theme="1"/>
        <sz val="11.0"/>
      </rPr>
      <t xml:space="preserve">
K formula</t>
    </r>
    <r>
      <rPr>
        <rFont val="Calibri"/>
        <color theme="1"/>
        <sz val="11.0"/>
      </rPr>
      <t xml:space="preserve">: k = [kH + kV + (kH − kV)·cos²θ·cos(2τ)] / 2       (theta = elevation angle, t = 45 for circular polarization)
</t>
    </r>
  </si>
  <si>
    <t>alpha - ITU-R value @ 1GHz</t>
  </si>
  <si>
    <r>
      <rPr>
        <rFont val="Calibri"/>
        <b/>
        <color theme="1"/>
        <sz val="11.0"/>
      </rPr>
      <t>Endurosat S-Band Antenna Hardware ICD Table 2.1</t>
    </r>
    <r>
      <rPr>
        <rFont val="Calibri"/>
        <color theme="1"/>
        <sz val="11.0"/>
      </rPr>
      <t xml:space="preserve">: Wideband antenna Polarization: RHCP
</t>
    </r>
    <r>
      <rPr>
        <rFont val="Calibri"/>
        <b/>
        <color theme="1"/>
        <sz val="11.0"/>
      </rPr>
      <t>Circular Polarization values</t>
    </r>
    <r>
      <rPr>
        <rFont val="Calibri"/>
        <color theme="1"/>
        <sz val="11.0"/>
      </rPr>
      <t xml:space="preserve">: https://www.etsi.org/deliver/etsi_tr/102000_102099/10203101/01.01.01_60/tr_10203101v010101p.pdf (use 2 GHz values)
</t>
    </r>
    <r>
      <rPr>
        <rFont val="Calibri"/>
        <b/>
        <color theme="1"/>
        <sz val="11.0"/>
      </rPr>
      <t>K + α formula</t>
    </r>
    <r>
      <rPr>
        <rFont val="Calibri"/>
        <color theme="1"/>
        <sz val="11.0"/>
      </rPr>
      <t xml:space="preserve">s: https://www.itu.int/dms_pubrec/itu-r/rec/p/r-rec-p.838-3-200503-i!!pdf-e.pdf (page 3)
</t>
    </r>
    <r>
      <rPr>
        <rFont val="Calibri"/>
        <b/>
        <color theme="1"/>
        <sz val="11.0"/>
      </rPr>
      <t>α formula</t>
    </r>
    <r>
      <rPr>
        <rFont val="Calibri"/>
        <color theme="1"/>
        <sz val="11.0"/>
      </rPr>
      <t xml:space="preserve">: α = [kH·αH + kV·αV + (kH·αH − kV·αV)·cos²θ·cos(2τ)] / (2k)       (theta = elevation angle, t = 45 for circular polarization)
</t>
    </r>
  </si>
  <si>
    <t>ITU-R method P.839 (see B36-B41). 
This is the 99.9% estimate for atmospheric attenuation at, or below, ~S-band. Further, estimates should be made given higher bands</t>
  </si>
  <si>
    <t>Receiver Information - Spacecraft</t>
  </si>
  <si>
    <t>n/a</t>
  </si>
  <si>
    <t>Using the same as the transmit antenna, assuming it is the same duplex system</t>
  </si>
  <si>
    <t>Receive antenna beamwidth, -3dB</t>
  </si>
  <si>
    <t>Used for tracking, not in link budget calculations. 3dB is the "half power" beamwidth</t>
  </si>
  <si>
    <t>Value from downlink</t>
  </si>
  <si>
    <r>
      <rPr>
        <rFont val="Calibri"/>
        <b/>
        <color theme="1"/>
        <sz val="11.0"/>
      </rPr>
      <t>From Endurosat Team:</t>
    </r>
    <r>
      <rPr>
        <rFont val="Calibri"/>
        <color theme="1"/>
        <sz val="11.0"/>
      </rPr>
      <t xml:space="preserve">
</t>
    </r>
    <r>
      <rPr>
        <rFont val="Calibri"/>
        <color theme="1"/>
        <sz val="11.0"/>
      </rPr>
      <t>"we have NF around 5.5dB, we measure sensitivity as part of automated tests. We can provide this level as more meaningful for the datalink calculations."</t>
    </r>
  </si>
  <si>
    <t>Noise Temperature - Spacecraft Antenna</t>
  </si>
  <si>
    <r>
      <rPr>
        <rFont val="Calibri"/>
        <b/>
        <color theme="1"/>
        <sz val="11.0"/>
      </rPr>
      <t xml:space="preserve">From Endurosat Team:
</t>
    </r>
    <r>
      <rPr>
        <rFont val="Calibri"/>
        <color theme="1"/>
        <sz val="11.0"/>
      </rPr>
      <t xml:space="preserve">"On the Antenna Noise Temperature, that one isn't a fixed spec for the antenna itself. It depends on how much of the antenna's beam sees Earth versus cold space during your uplink pass, so it comes down to your mission's orbit and pointing geometry rather than our hardware. The 290 K currently in the sheet is the standard conservative assumption, so it's fine to keep as is unless you want to refine it with your own pointing data."
</t>
    </r>
    <r>
      <rPr>
        <rFont val="Calibri"/>
        <color theme="1"/>
        <sz val="11.0"/>
      </rPr>
      <t>Generic estimate for looking at Earth is 290 K. If the Earth takes up only a portion of the field of view, use a weighted between 290 K temp of earth with its percent of angular coverage of the antenna beam, vs the ~5 K temp of space (depending on frequency, could be much higher) with space’s angular coverage of the antenna beam. 
WAS: =B55*10^(B51/10)+290*(10^(B54/10)-10^(B51/10)) = T_antenna*10^(Lc/10)+T_ref*(10^(NF/10)-10^(Lc/10)), if T_antenna = T_ref, then this is just T_ref*10^(NF/10). Further, Pt already has Lc accounted for so this is likely double countd in the System Noise Temp</t>
    </r>
  </si>
  <si>
    <t>Equivalent Noise Temp = T_NF = T_ref*10^((NF/10)-1), T_ref = 290K, a commonly used reference value.
T_sys = T_NF + T_antenna</t>
  </si>
  <si>
    <t>(Not generally used for the uplink/spacecraft antenna, but still captured here)</t>
  </si>
  <si>
    <t>dBw/Hz</t>
  </si>
  <si>
    <t>Note: Receiver Noise Figure might need to be subtracted from this number if the general N0 does not account for it</t>
  </si>
  <si>
    <t xml:space="preserve">If ground antenna vs. flight antennas have same-hand circular or linear (0dB), linear to circular (-3dB) or LHCP to RHCP is often about -20dB or -30dB loss.
Both the Endurosat S-Band transceiver and the Leaf Space GAIA100 3.7m antenna(s) are RHCP, so no Cross-Polarization Loss here
</t>
  </si>
  <si>
    <t>Assuming a slower rate than in the Data Budget; uplink usually can be slower as there is less data. This is modulation dependent but: UHF is usually 9600bps or 19.2kbps. S-band is usually &lt; 1Mbps. X-band is usually &lt; 100Mbps.</t>
  </si>
  <si>
    <r>
      <rPr>
        <rFont val="Calibri"/>
        <sz val="11.0"/>
      </rPr>
      <t xml:space="preserve">Based upon various modulation schemes for a desired bit error rate. Search various modulations for their performance curves (e.g. </t>
    </r>
    <r>
      <rPr>
        <rFont val="Calibri"/>
        <color rgb="FF1155CC"/>
        <sz val="11.0"/>
      </rPr>
      <t>https://en.wikipedia.org/wiki/Bit_error_rate)</t>
    </r>
    <r>
      <rPr>
        <rFont val="Calibri"/>
        <sz val="11.0"/>
      </rPr>
      <t xml:space="preserve"> 
We are using GFSK w/ FEC, assuming bit error rate of 1 * 10^-4, the performance curves give us 11 dB.</t>
    </r>
  </si>
  <si>
    <t xml:space="preserve">For systems without Forward Error Corection, a 1-2dB is a reasonable conservative value. We are using FEC, but leaving a loss of -1 dB to cover any other missing loss we may miscalculated on
</t>
  </si>
  <si>
    <t>Power (W)</t>
  </si>
  <si>
    <t>Voltage (V)</t>
  </si>
  <si>
    <t>Qty</t>
  </si>
  <si>
    <t>Comments</t>
  </si>
  <si>
    <t>Total Power</t>
  </si>
  <si>
    <t>Max Current Draw on 3.3V Rail (A)</t>
  </si>
  <si>
    <t>Max Current Draw on 5V Rail (A)</t>
  </si>
  <si>
    <t>Max Current Draw on 12V Rail (A)</t>
  </si>
  <si>
    <t>OBC</t>
  </si>
  <si>
    <r>
      <rPr>
        <rFont val="Calibri"/>
        <sz val="11.0"/>
      </rPr>
      <t xml:space="preserve">5V. Used "loading webpage" as reference power draw: </t>
    </r>
    <r>
      <rPr>
        <rFont val="Calibri"/>
        <color rgb="FF1155CC"/>
        <sz val="11.0"/>
        <u/>
      </rPr>
      <t>https://docs.beagle.cc/boards/beaglebone/black/ch06.html</t>
    </r>
  </si>
  <si>
    <t>CDH PCB 5V ICs</t>
  </si>
  <si>
    <t>Component List</t>
  </si>
  <si>
    <t>CDH PCB 3.3V ICs</t>
  </si>
  <si>
    <t>--</t>
  </si>
  <si>
    <t>S-band Transceiver TX</t>
  </si>
  <si>
    <t>12V. See Endurosat datasheet</t>
  </si>
  <si>
    <t>LOST and FOUND Ximea MC031MG-SY</t>
  </si>
  <si>
    <r>
      <rPr>
        <rFont val="Calibri"/>
        <sz val="11.0"/>
      </rPr>
      <t xml:space="preserve">datasheet: </t>
    </r>
    <r>
      <rPr>
        <rFont val="Calibri"/>
        <color rgb="FF1155CC"/>
        <sz val="11.0"/>
        <u/>
      </rPr>
      <t>https://drive.google.com/file/d/1mGl4I6U7wi_vyL8xHMXE06V5LKyHxmv4/view?usp=drive_link</t>
    </r>
  </si>
  <si>
    <t>Sagitta Star Tracker</t>
  </si>
  <si>
    <r>
      <rPr>
        <rFont val="Calibri"/>
        <sz val="11.0"/>
      </rPr>
      <t xml:space="preserve">5V.  Datasheet: </t>
    </r>
    <r>
      <rPr>
        <rFont val="Calibri"/>
        <color rgb="FF1155CC"/>
        <sz val="11.0"/>
        <u/>
      </rPr>
      <t>https://www.arcsec.space/pdf/Sagitta%20Star%20tracker%20datasheet%20V2.1.pdf</t>
    </r>
  </si>
  <si>
    <t>GNSS Reciever</t>
  </si>
  <si>
    <r>
      <rPr>
        <rFont val="Calibri"/>
        <sz val="11.0"/>
      </rPr>
      <t xml:space="preserve">3.3V. SkyFox piNAV-NG datasheet: </t>
    </r>
    <r>
      <rPr>
        <rFont val="Calibri"/>
        <color rgb="FF1155CC"/>
        <sz val="11.0"/>
        <u/>
      </rPr>
      <t>https://drive.google.com/file/d/1Y395lgX6pX4NV7a7Ek2sopd0V_g3e81c/view</t>
    </r>
  </si>
  <si>
    <t>GNSS Antenna</t>
  </si>
  <si>
    <r>
      <rPr>
        <rFont val="Calibri"/>
        <sz val="11.0"/>
      </rPr>
      <t xml:space="preserve">3.3V. miniPATCH-L1 datasheet: </t>
    </r>
    <r>
      <rPr>
        <rFont val="Calibri"/>
        <color rgb="FF1155CC"/>
        <sz val="11.0"/>
        <u/>
      </rPr>
      <t>https://www.skyfoxlabs.com/product/21-minipatch-l1?category=1</t>
    </r>
  </si>
  <si>
    <t>Magnetorquers (CR0002)</t>
  </si>
  <si>
    <r>
      <rPr>
        <rFont val="Calibri"/>
        <sz val="11.0"/>
      </rPr>
      <t xml:space="preserve">5V. datasheet: </t>
    </r>
    <r>
      <rPr>
        <rFont val="Calibri"/>
        <color rgb="FF1155CC"/>
        <sz val="11.0"/>
        <u/>
      </rPr>
      <t>https://www.cubespace.co.za/products/magnetorquer</t>
    </r>
  </si>
  <si>
    <t>Magnetorquer (MT01)</t>
  </si>
  <si>
    <r>
      <rPr>
        <rFont val="Calibri"/>
        <sz val="11.0"/>
      </rPr>
      <t xml:space="preserve">5V. datasheet: </t>
    </r>
    <r>
      <rPr>
        <rFont val="Calibri"/>
        <color rgb="FF1155CC"/>
        <sz val="11.0"/>
        <u/>
      </rPr>
      <t>https://satsearch.co/products/exa-mt01-compact-magnetorquer</t>
    </r>
  </si>
  <si>
    <t>IMMU</t>
  </si>
  <si>
    <r>
      <rPr>
        <rFont val="Calibri"/>
        <sz val="11.0"/>
      </rPr>
      <t xml:space="preserve">5V. product brief: </t>
    </r>
    <r>
      <rPr>
        <rFont val="Calibri"/>
        <color rgb="FF1155CC"/>
        <sz val="11.0"/>
        <u/>
      </rPr>
      <t>https://www.vectornav.com/docs/default-source/product-brief/vn-100-product-brief.pdf?sfvrsn=a2a5ae5f_2</t>
    </r>
  </si>
  <si>
    <t>Payload PCB 5V ICs</t>
  </si>
  <si>
    <t>Payload PCB 3.3V ICs</t>
  </si>
  <si>
    <t>Power System</t>
  </si>
  <si>
    <t>Source: ~1W due to regulator + MPPT losses, 0.25 W (w/ 10% margin) for the rest of EPS</t>
  </si>
  <si>
    <t>Heaters</t>
  </si>
  <si>
    <t>12V. Assuming 1W/in^2, see comment link for derivation</t>
  </si>
  <si>
    <t>x</t>
  </si>
  <si>
    <t>Spacecraft Subsystem, Unit, Quantity and Power Consumption</t>
  </si>
  <si>
    <t>Power Consumption by Spacecraft Mode</t>
  </si>
  <si>
    <t>Component / Use Case</t>
  </si>
  <si>
    <t>Peak Power(W)</t>
  </si>
  <si>
    <t>Comment</t>
  </si>
  <si>
    <t>Total Power (W)</t>
  </si>
  <si>
    <t>Experiment</t>
  </si>
  <si>
    <t>Safe (Detumble)</t>
  </si>
  <si>
    <t>Duty Cycle</t>
  </si>
  <si>
    <t>Mode Power (W)</t>
  </si>
  <si>
    <t>All Components</t>
  </si>
  <si>
    <t>POWER GENERATION</t>
  </si>
  <si>
    <t>Generated Power Per Mode</t>
  </si>
  <si>
    <t>Array</t>
  </si>
  <si>
    <t>Series Cells/String</t>
  </si>
  <si>
    <t># of Strings</t>
  </si>
  <si>
    <r>
      <rPr>
        <rFont val="Calibri"/>
        <sz val="11.0"/>
      </rPr>
      <t xml:space="preserve">5V. Used "loading webpage" as reference power draw: </t>
    </r>
    <r>
      <rPr>
        <rFont val="Calibri"/>
        <color rgb="FF1155CC"/>
        <sz val="11.0"/>
        <u/>
      </rPr>
      <t>https://docs.beagle.cc/boards/beaglebone/black/ch06.html</t>
    </r>
  </si>
  <si>
    <t>Cell Voltage (V)</t>
  </si>
  <si>
    <t>Cell Current (A)</t>
  </si>
  <si>
    <t>Array Voltage (V)</t>
  </si>
  <si>
    <t>Array Current (A)</t>
  </si>
  <si>
    <t>Array Power (W)</t>
  </si>
  <si>
    <t xml:space="preserve">Axis </t>
  </si>
  <si>
    <t>Power Generated</t>
  </si>
  <si>
    <t>Mode Assumptions</t>
  </si>
  <si>
    <r>
      <rPr>
        <rFont val="Calibri"/>
        <b/>
        <color theme="1"/>
        <sz val="11.0"/>
      </rPr>
      <t>V</t>
    </r>
    <r>
      <rPr>
        <rFont val="Calibri"/>
        <b/>
        <color theme="1"/>
        <sz val="11.0"/>
        <vertAlign val="subscript"/>
      </rPr>
      <t>OC</t>
    </r>
  </si>
  <si>
    <r>
      <rPr>
        <rFont val="Calibri"/>
        <b/>
        <color theme="1"/>
        <sz val="11.0"/>
      </rPr>
      <t>V</t>
    </r>
    <r>
      <rPr>
        <rFont val="Calibri"/>
        <b/>
        <color theme="1"/>
        <sz val="11.0"/>
        <vertAlign val="subscript"/>
      </rPr>
      <t>MP</t>
    </r>
  </si>
  <si>
    <r>
      <rPr>
        <rFont val="Calibri"/>
        <b/>
        <color theme="1"/>
        <sz val="11.0"/>
      </rPr>
      <t>I</t>
    </r>
    <r>
      <rPr>
        <rFont val="Calibri"/>
        <b/>
        <color theme="1"/>
        <sz val="11.0"/>
        <vertAlign val="subscript"/>
      </rPr>
      <t>SC</t>
    </r>
  </si>
  <si>
    <r>
      <rPr>
        <rFont val="Calibri"/>
        <b/>
        <color theme="1"/>
        <sz val="11.0"/>
      </rPr>
      <t>I</t>
    </r>
    <r>
      <rPr>
        <rFont val="Calibri"/>
        <b/>
        <color theme="1"/>
        <sz val="11.0"/>
        <vertAlign val="subscript"/>
      </rPr>
      <t>MP</t>
    </r>
  </si>
  <si>
    <r>
      <rPr>
        <rFont val="Calibri"/>
        <b/>
        <color theme="1"/>
        <sz val="11.0"/>
      </rPr>
      <t>V</t>
    </r>
    <r>
      <rPr>
        <rFont val="Calibri"/>
        <b/>
        <color theme="1"/>
        <sz val="11.0"/>
        <vertAlign val="subscript"/>
      </rPr>
      <t>OC</t>
    </r>
  </si>
  <si>
    <r>
      <rPr>
        <rFont val="Calibri"/>
        <b/>
        <color theme="1"/>
        <sz val="11.0"/>
      </rPr>
      <t>V</t>
    </r>
    <r>
      <rPr>
        <rFont val="Calibri"/>
        <b/>
        <color theme="1"/>
        <sz val="11.0"/>
        <vertAlign val="subscript"/>
      </rPr>
      <t>MP</t>
    </r>
  </si>
  <si>
    <t>CDH PCB</t>
  </si>
  <si>
    <r>
      <rPr>
        <rFont val="Calibri"/>
        <b/>
        <color theme="1"/>
        <sz val="11.0"/>
      </rPr>
      <t>I</t>
    </r>
    <r>
      <rPr>
        <rFont val="Calibri"/>
        <b/>
        <color theme="1"/>
        <sz val="11.0"/>
        <vertAlign val="subscript"/>
      </rPr>
      <t>SC</t>
    </r>
  </si>
  <si>
    <r>
      <rPr>
        <rFont val="Calibri"/>
        <b/>
        <color theme="1"/>
        <sz val="11.0"/>
      </rPr>
      <t>I</t>
    </r>
    <r>
      <rPr>
        <rFont val="Calibri"/>
        <b/>
        <color theme="1"/>
        <sz val="11.0"/>
        <vertAlign val="subscript"/>
      </rPr>
      <t>MP</t>
    </r>
  </si>
  <si>
    <t>3.3V and 5V, integrated circuits power draw</t>
  </si>
  <si>
    <r>
      <rPr>
        <rFont val="Calibri"/>
        <b/>
        <color theme="1"/>
        <sz val="11.0"/>
      </rPr>
      <t>P</t>
    </r>
    <r>
      <rPr>
        <rFont val="Calibri"/>
        <b/>
        <color theme="1"/>
        <sz val="11.0"/>
        <vertAlign val="subscript"/>
      </rPr>
      <t>MP</t>
    </r>
  </si>
  <si>
    <t>Array 1</t>
  </si>
  <si>
    <t>+X</t>
  </si>
  <si>
    <t>Radio TX</t>
  </si>
  <si>
    <t>Radio RX</t>
  </si>
  <si>
    <t>Array 2</t>
  </si>
  <si>
    <t>-X</t>
  </si>
  <si>
    <t>HS-2 "Standby" mode assumes the spacecraft is sunpointing</t>
  </si>
  <si>
    <t>Array 3</t>
  </si>
  <si>
    <t>Y</t>
  </si>
  <si>
    <t>XIMEA xiC-MC031CG-SY</t>
  </si>
  <si>
    <r>
      <rPr>
        <rFont val="Calibri"/>
        <sz val="11.0"/>
      </rPr>
      <t xml:space="preserve">5V. Datasheet: </t>
    </r>
    <r>
      <rPr>
        <rFont val="Calibri"/>
        <color rgb="FF1155CC"/>
        <sz val="11.0"/>
        <u/>
      </rPr>
      <t>https://drive.google.com/file/d/1mGl4I6U7wi_vyL8xHMXE06V5LKyHxmv4/view?usp=share_link</t>
    </r>
  </si>
  <si>
    <t>HS-2 "Experiment" mode means the spacecraft is either capturing images or sunpointing. Per Basilisk simulations, we are able to get approximately 75% of peak power when in sunpointing</t>
  </si>
  <si>
    <t>Array 4</t>
  </si>
  <si>
    <t>-Y</t>
  </si>
  <si>
    <t>Saggitta Star Tracker</t>
  </si>
  <si>
    <t>This mode assumes the spacecraft is in a tumble. The power generated is then assumed to be a weighted average between generation of all sides of the spacecraft.</t>
  </si>
  <si>
    <t>https://www.arcsec.space/sagitta/</t>
  </si>
  <si>
    <t>Array 5</t>
  </si>
  <si>
    <t>+Z</t>
  </si>
  <si>
    <t>Array 6</t>
  </si>
  <si>
    <t>-Z</t>
  </si>
  <si>
    <t>GNSS Receivver</t>
  </si>
  <si>
    <t>Notes: 
-"Avg Regulator efficiency" is still unknown, whereas we have MPPT efficiency from an IC datasheet 
-Power generated during detumble is still a TBR &amp; needs more analysis</t>
  </si>
  <si>
    <r>
      <rPr>
        <rFont val="Calibri"/>
        <sz val="11.0"/>
      </rPr>
      <t xml:space="preserve">3.3V. SkyFox piNAV-NG datasheet: </t>
    </r>
    <r>
      <rPr>
        <rFont val="Calibri"/>
        <color rgb="FF1155CC"/>
        <sz val="11.0"/>
        <u/>
      </rPr>
      <t>https://drive.google.com/file/d/1Y395lgX6pX4NV7a7Ek2sopd0V_g3e81c/view</t>
    </r>
  </si>
  <si>
    <t>Totals</t>
  </si>
  <si>
    <t>GNSS Active Antenna</t>
  </si>
  <si>
    <r>
      <rPr>
        <rFont val="Calibri"/>
        <sz val="11.0"/>
      </rPr>
      <t xml:space="preserve">3.3V. miniPATCH-L1 datasheet: </t>
    </r>
    <r>
      <rPr>
        <rFont val="Calibri"/>
        <color rgb="FF1155CC"/>
        <sz val="11.0"/>
        <u/>
      </rPr>
      <t>https://www.skyfoxlabs.com/product/21-minipatch-l1?category=1</t>
    </r>
  </si>
  <si>
    <t>Total Peak Power (W)</t>
  </si>
  <si>
    <r>
      <rPr>
        <rFont val="Calibri"/>
        <sz val="11.0"/>
      </rPr>
      <t xml:space="preserve">5V. datasheet: </t>
    </r>
    <r>
      <rPr>
        <rFont val="Calibri"/>
        <color rgb="FF1155CC"/>
        <sz val="11.0"/>
        <u/>
      </rPr>
      <t>https://www.cubespace.co.za/products/magnetorquer</t>
    </r>
  </si>
  <si>
    <t>Power Regulation</t>
  </si>
  <si>
    <t>Storage (Battery)</t>
  </si>
  <si>
    <t>MPPT Efficiency</t>
  </si>
  <si>
    <r>
      <rPr>
        <rFont val="Calibri"/>
        <sz val="11.0"/>
      </rPr>
      <t xml:space="preserve">5V. datasheet: </t>
    </r>
    <r>
      <rPr>
        <rFont val="Calibri"/>
        <color rgb="FF1155CC"/>
        <sz val="11.0"/>
        <u/>
      </rPr>
      <t>https://satsearch.co/products/exa-mt01-compact-magnetorquer</t>
    </r>
  </si>
  <si>
    <t>Cell Capacity (Ah)</t>
  </si>
  <si>
    <t>Pack Voltage (V)</t>
  </si>
  <si>
    <t>Pack Capacity (Ah)</t>
  </si>
  <si>
    <t>Pack Power (Wh)</t>
  </si>
  <si>
    <r>
      <rPr>
        <rFont val="Calibri"/>
        <sz val="11.0"/>
      </rPr>
      <t xml:space="preserve">5V. product brief: </t>
    </r>
    <r>
      <rPr>
        <rFont val="Calibri"/>
        <color rgb="FF1155CC"/>
        <sz val="11.0"/>
        <u/>
      </rPr>
      <t>https://www.vectornav.com/docs/default-source/product-brief/vn-100-product-brief.pdf?sfvrsn=a2a5ae5f_2</t>
    </r>
  </si>
  <si>
    <t>Average Regulator Efficiency</t>
  </si>
  <si>
    <t>Payload PCB</t>
  </si>
  <si>
    <t>Total Power System Efficiency</t>
  </si>
  <si>
    <t>ADCS PCB</t>
  </si>
  <si>
    <t>5V and 12V, integrated circuits power draw</t>
  </si>
  <si>
    <t>POWER</t>
  </si>
  <si>
    <t>EPS PDS PCB</t>
  </si>
  <si>
    <t>3.3V, 5V, and 12V integrated circuit power draw</t>
  </si>
  <si>
    <t>EPS BMS PCB</t>
  </si>
  <si>
    <t>Panel Voltages, integrated circuit power draw</t>
  </si>
  <si>
    <t>Datasheets:</t>
  </si>
  <si>
    <t>Battery:</t>
  </si>
  <si>
    <t>https://files.batteryjunction.com/frontend/files/samsung/datasheet/SAMSUNG-35E-18650-3000-FLAT-Datasheet.pdf</t>
  </si>
  <si>
    <t>MPPT IC:</t>
  </si>
  <si>
    <t>https://www.ti.com/lit/ds/symlink/bq25756e.pdf?ts=1758530501435&amp;ref_url=https%253A%252F%252Fwww.ti.com%252Fproduct%252FBQ25756E</t>
  </si>
  <si>
    <t>Panels:</t>
  </si>
  <si>
    <t>2ndSpace Drop-03X and Core-03 Arrays (under NDA)</t>
  </si>
  <si>
    <t xml:space="preserve">Total Mode Power (W) </t>
  </si>
  <si>
    <r>
      <rPr>
        <rFont val="Calibri"/>
        <b/>
        <color theme="1"/>
        <sz val="11.0"/>
      </rPr>
      <t xml:space="preserve">Notes: </t>
    </r>
    <r>
      <rPr>
        <rFont val="Calibri"/>
        <b val="0"/>
        <color theme="1"/>
        <sz val="11.0"/>
      </rPr>
      <t>The purpose of this budget is to review the power draw of the satellite in each system mode. There are other sheets within this workbook that relate to power generation as well as an energy budget. This sheet does not take into consideration the power draw spikes while turning different subsystems ON. Additional analysis will be needed to futher understand each spacecraft subsystem power draws.</t>
    </r>
    <r>
      <rPr>
        <rFont val="Calibri"/>
        <b/>
        <color theme="1"/>
        <sz val="11.0"/>
      </rPr>
      <t xml:space="preserve">
This sheet assumes some user-defined time-average power draws with the Duty Cycle. This will provide decent time-average power consumptions </t>
    </r>
    <r>
      <rPr>
        <rFont val="Calibri"/>
        <b/>
        <color rgb="FFFF0000"/>
        <sz val="11.0"/>
      </rPr>
      <t>but will NOT be appropriate for instantaneous power draws</t>
    </r>
    <r>
      <rPr>
        <rFont val="Calibri"/>
        <b/>
        <color theme="1"/>
        <sz val="11.0"/>
      </rPr>
      <t xml:space="preserve"> minute-by-minute you may be using in the Energy Balance tab. Make sure you utilize the Duty Cycle correctly.</t>
    </r>
  </si>
  <si>
    <r>
      <rPr>
        <rFont val="Calibri"/>
        <b/>
        <color theme="1"/>
        <sz val="11.0"/>
      </rPr>
      <t>Notes:</t>
    </r>
    <r>
      <rPr>
        <rFont val="Calibri"/>
        <color theme="1"/>
        <sz val="11.0"/>
      </rPr>
      <t xml:space="preserve"> For power purposes, HS-2 has three modes designated as Safe, Charge, and Experiment - a fourth "mode" is designated for satellite detumble. The power budget above shows when subsystem components are ON or OFF and how much power is drawn per mode. 
For HS-2, the following assumptions were made per system mode. Safe mode is intended to be a power safe mode where all subsystems are not actively draining the battery. Standby mode is where the spacecraft will nominally operate with solar panels pointing at the Sun. Experiment mode is where the payload components would be turned ON and images would be taken.</t>
    </r>
  </si>
  <si>
    <t>10% margin for COTS data from datasheet, this is conservative and could be changed to 5%</t>
  </si>
  <si>
    <t>THERMAL BUDGET</t>
  </si>
  <si>
    <t>Hardware Component</t>
  </si>
  <si>
    <t>Low Operating Temp (°C)</t>
  </si>
  <si>
    <t>High Operating Temp (°C)</t>
  </si>
  <si>
    <t>Low Survival Temp (°C)</t>
  </si>
  <si>
    <t>High Survival Temp (°C)</t>
  </si>
  <si>
    <t>Heat Generated (Watts)</t>
  </si>
  <si>
    <t>Definitions</t>
  </si>
  <si>
    <t xml:space="preserve">Power regulators </t>
  </si>
  <si>
    <t>TBD</t>
  </si>
  <si>
    <t>Operating temperature:</t>
  </si>
  <si>
    <t>The temperature at which a unit will successfully function and meet all specifications.</t>
  </si>
  <si>
    <t xml:space="preserve">Solar cells </t>
  </si>
  <si>
    <t>Batteries (Samsung 35e) (Charge)</t>
  </si>
  <si>
    <t>Survival temperature:</t>
  </si>
  <si>
    <t>The temperature, if exceeded, at which the unit will suffer permanent damage.</t>
  </si>
  <si>
    <t>Batteries (Samsung 35e) (Discharge)</t>
  </si>
  <si>
    <t>Solar panels (TBR)</t>
  </si>
  <si>
    <t>Compact Magnetorquer (Ring)</t>
  </si>
  <si>
    <r>
      <rPr>
        <rFont val="Arial"/>
        <color rgb="FF0A2C8D"/>
        <sz val="11.0"/>
        <u/>
      </rPr>
      <t>Magnetorquer Rod</t>
    </r>
    <r>
      <rPr>
        <rFont val="Arial"/>
        <color rgb="FF000000"/>
        <sz val="11.0"/>
      </rPr>
      <t xml:space="preserve"> (x2)</t>
    </r>
  </si>
  <si>
    <t>Magnetorquer PCB</t>
  </si>
  <si>
    <t>Sun Sensor</t>
  </si>
  <si>
    <t>Flight Computer</t>
  </si>
  <si>
    <r>
      <rPr>
        <rFont val="Arial"/>
        <sz val="11.0"/>
      </rPr>
      <t xml:space="preserve">CDH computer: </t>
    </r>
    <r>
      <rPr>
        <rFont val="Arial"/>
        <color rgb="FF1155CC"/>
        <sz val="11.0"/>
        <u/>
      </rPr>
      <t>BeagleBone Black</t>
    </r>
  </si>
  <si>
    <t>USB ports</t>
  </si>
  <si>
    <t>COTS GNSS/GPS</t>
  </si>
  <si>
    <t>Sagitta Star tracker</t>
  </si>
  <si>
    <t>Ximea FOUND/LOST Camera</t>
  </si>
  <si>
    <t>GNSS antenna (predicted)</t>
  </si>
  <si>
    <t>Communications</t>
  </si>
  <si>
    <t>Endurosat/Radio</t>
  </si>
  <si>
    <t>Comms Antenna (x2)</t>
  </si>
  <si>
    <t>Thermal sensors (type K thermocouples)</t>
  </si>
  <si>
    <t>Kapton heaters</t>
  </si>
  <si>
    <t>ENERGY BALANCE</t>
  </si>
  <si>
    <t>Amplifiers (for thermocouples)</t>
  </si>
  <si>
    <t>Thermal coating (TBD)</t>
  </si>
  <si>
    <t>Power Draw (W)</t>
  </si>
  <si>
    <t>Power Generated (W)</t>
  </si>
  <si>
    <t>Mode Power Status (W)</t>
  </si>
  <si>
    <t>Net Energy per Orbit (Wh)</t>
  </si>
  <si>
    <t>MODE SWITCHING</t>
  </si>
  <si>
    <t>Orbit Number</t>
  </si>
  <si>
    <t>In Mode?</t>
  </si>
  <si>
    <t>Check</t>
  </si>
  <si>
    <t>Power</t>
  </si>
  <si>
    <t>Energy</t>
  </si>
  <si>
    <t>Battery</t>
  </si>
  <si>
    <t>MASS BUDGET</t>
  </si>
  <si>
    <t>Material</t>
  </si>
  <si>
    <t>Quantity</t>
  </si>
  <si>
    <t>Mass (kg)</t>
  </si>
  <si>
    <t>Total Mass (kg)</t>
  </si>
  <si>
    <t>Structure</t>
  </si>
  <si>
    <t>Primary Structure</t>
  </si>
  <si>
    <t>Aluminum T6 6061</t>
  </si>
  <si>
    <t>Sum</t>
  </si>
  <si>
    <t>Gen (W)</t>
  </si>
  <si>
    <t>Draw (W)</t>
  </si>
  <si>
    <t>(Wh)</t>
  </si>
  <si>
    <t>GranSystem 3U CubeSat Structure</t>
  </si>
  <si>
    <t>Secondary Structure (Threated Rails)</t>
  </si>
  <si>
    <t>Stainless Steel</t>
  </si>
  <si>
    <t>3U M3</t>
  </si>
  <si>
    <t xml:space="preserve">    Mounting Brackets</t>
  </si>
  <si>
    <t xml:space="preserve">    Custom Reinforcement Brackets</t>
  </si>
  <si>
    <t>Aluminum T6 6062</t>
  </si>
  <si>
    <t xml:space="preserve">    Fasteners</t>
  </si>
  <si>
    <t>Start (min)</t>
  </si>
  <si>
    <t>End (min)</t>
  </si>
  <si>
    <t>M3</t>
  </si>
  <si>
    <t xml:space="preserve">    Harness</t>
  </si>
  <si>
    <t>For cameras and star tracker</t>
  </si>
  <si>
    <t xml:space="preserve">    Spacers</t>
  </si>
  <si>
    <t>Lightweight Aluminum</t>
  </si>
  <si>
    <t>Battery Pack</t>
  </si>
  <si>
    <t>Aluminum 6061-T6</t>
  </si>
  <si>
    <t>A</t>
  </si>
  <si>
    <t>PCBs</t>
  </si>
  <si>
    <t>FR-4</t>
  </si>
  <si>
    <t>PC-104 assumption</t>
  </si>
  <si>
    <t>Battery Cells</t>
  </si>
  <si>
    <t>30% graphite, 20% aluminum, 15% Nickel, 10% Copper, 10% stainless steel, 5% Maganese, 5% Cobalt, 5% Lithium</t>
  </si>
  <si>
    <t>Solar Panel Core</t>
  </si>
  <si>
    <t>2nd Space one wing configuration</t>
  </si>
  <si>
    <t>Solar Panel Core 2 Wings</t>
  </si>
  <si>
    <t>Total estimate 0.250kg</t>
  </si>
  <si>
    <t>Magnetorquer Rods</t>
  </si>
  <si>
    <t>Heat-treated ferrous core</t>
  </si>
  <si>
    <t>E</t>
  </si>
  <si>
    <t>Cubespace CR0002</t>
  </si>
  <si>
    <t>Air Core Magnetorquer</t>
  </si>
  <si>
    <t>Pre-evacuated enamel copper wire</t>
  </si>
  <si>
    <t>EXA MT01 Compact</t>
  </si>
  <si>
    <t>IMU</t>
  </si>
  <si>
    <t>VectorNav VN-100 Rugged</t>
  </si>
  <si>
    <t>PCB</t>
  </si>
  <si>
    <t>COM</t>
  </si>
  <si>
    <t>Transceiver</t>
  </si>
  <si>
    <t>Exterior: Aluminum 6061 T651</t>
  </si>
  <si>
    <t>Endurosat S-band Transceiver</t>
  </si>
  <si>
    <t>Splitter</t>
  </si>
  <si>
    <t>EN AW-6082</t>
  </si>
  <si>
    <t>Endurosat S-band Splitter</t>
  </si>
  <si>
    <t xml:space="preserve">Antenna </t>
  </si>
  <si>
    <t>Metal</t>
  </si>
  <si>
    <t>Patch S-Band Wideband Antenna for SANTV6</t>
  </si>
  <si>
    <t>Fasteners/nuts/washers</t>
  </si>
  <si>
    <t>FOUND Camera</t>
  </si>
  <si>
    <t>Aluminum</t>
  </si>
  <si>
    <t>Ximea XiQ-S7 (MQ013MG-E2-S7)</t>
  </si>
  <si>
    <t>LOST Camera</t>
  </si>
  <si>
    <t>Star Tracker</t>
  </si>
  <si>
    <t>Aluminum 6063</t>
  </si>
  <si>
    <t>Sagitta</t>
  </si>
  <si>
    <t>Found lense</t>
  </si>
  <si>
    <t>NMV 12WA</t>
  </si>
  <si>
    <t>Lost lense</t>
  </si>
  <si>
    <t>NMV 4WA</t>
  </si>
  <si>
    <t>Epoxy</t>
  </si>
  <si>
    <t>Mini patch skyfox</t>
  </si>
  <si>
    <t xml:space="preserve">GNSS </t>
  </si>
  <si>
    <t>Skyfox</t>
  </si>
  <si>
    <t>Kapton Heaters</t>
  </si>
  <si>
    <t>Polymide and PTFE</t>
  </si>
  <si>
    <t>Negligible mass</t>
  </si>
  <si>
    <t>Amps</t>
  </si>
  <si>
    <t>TSSOP-14</t>
  </si>
  <si>
    <t>Sensors</t>
  </si>
  <si>
    <t>Copper/Constantan</t>
  </si>
  <si>
    <t>CDH Computer</t>
  </si>
  <si>
    <t>1</t>
  </si>
  <si>
    <t>Variables</t>
  </si>
  <si>
    <t>0.04</t>
  </si>
  <si>
    <t>Beaglebone Black TBR</t>
  </si>
  <si>
    <t>Total</t>
  </si>
  <si>
    <t>Total + 25%</t>
  </si>
  <si>
    <r>
      <rPr>
        <rFont val="Calibri"/>
        <color theme="1"/>
        <sz val="11.0"/>
      </rPr>
      <t xml:space="preserve"> </t>
    </r>
    <r>
      <rPr>
        <rFont val="Calibri"/>
        <b/>
        <color theme="1"/>
        <sz val="11.0"/>
      </rPr>
      <t>Max Allowable</t>
    </r>
  </si>
  <si>
    <t>Max battery capacity</t>
  </si>
  <si>
    <t>Wh</t>
  </si>
  <si>
    <t>Eclipse</t>
  </si>
  <si>
    <t>Note: This is just an illustrative example, refer to CONOPS for a more realistic mode schedule</t>
  </si>
  <si>
    <t xml:space="preserve">      </t>
  </si>
  <si>
    <t xml:space="preserve">Check Sum </t>
  </si>
  <si>
    <r>
      <rPr>
        <rFont val="Calibri"/>
        <b/>
        <color theme="1"/>
        <sz val="11.0"/>
      </rPr>
      <t>Notes:</t>
    </r>
    <r>
      <rPr>
        <rFont val="Calibri"/>
        <color theme="1"/>
        <sz val="11.0"/>
      </rPr>
      <t xml:space="preserve"> This sheet accounts for spacecraft mode switching throughout all orbits in one day. The </t>
    </r>
    <r>
      <rPr>
        <rFont val="Calibri"/>
        <b/>
        <color theme="1"/>
        <sz val="11.0"/>
      </rPr>
      <t>mode power status</t>
    </r>
    <r>
      <rPr>
        <rFont val="Calibri"/>
        <color theme="1"/>
        <sz val="11.0"/>
      </rPr>
      <t xml:space="preserve"> listed above assumes full sunlight and does not include the time the spacecraft is in eclipse. This is why it is important for users to complete the energy balance in addition to calculating the power draw and generation of the spacecraft. The energy balance captures the battery capacity throughout the day based on where the spacecraft is in orbit and which mode is active. It can be adjusted to match CONOPS and worst-case scenarios. 
</t>
    </r>
  </si>
  <si>
    <t xml:space="preserve">   </t>
  </si>
  <si>
    <r>
      <rPr>
        <rFont val="Calibri"/>
        <b/>
        <color theme="1"/>
        <sz val="11.0"/>
      </rPr>
      <t xml:space="preserve">Notes: </t>
    </r>
    <r>
      <rPr>
        <rFont val="Calibri"/>
        <color theme="1"/>
        <sz val="11.0"/>
      </rPr>
      <t>The purpose of this budget is to see if the downlink over margin closes with the selected communication architecture. For ShipSat, an S-band radio was used and it was determined that closed. Adjust the parameters to fit your mission.</t>
    </r>
  </si>
  <si>
    <t>S-Band</t>
  </si>
</sst>
</file>

<file path=xl/styles.xml><?xml version="1.0" encoding="utf-8"?>
<styleSheet xmlns="http://schemas.openxmlformats.org/spreadsheetml/2006/main" xmlns:x14ac="http://schemas.microsoft.com/office/spreadsheetml/2009/9/ac" xmlns:mc="http://schemas.openxmlformats.org/markup-compatibility/2006">
  <numFmts count="19">
    <numFmt numFmtId="164" formatCode="_(* #,##0_);_(* \(#,##0\);_(* \-??_);_(@_)"/>
    <numFmt numFmtId="165" formatCode="0.0%"/>
    <numFmt numFmtId="166" formatCode="0.0000000000"/>
    <numFmt numFmtId="167" formatCode="_(* #,##0.0_);_(* \(#,##0.0\);_(* \-??.0_);_(@_)"/>
    <numFmt numFmtId="168" formatCode="0.000"/>
    <numFmt numFmtId="169" formatCode="_(* #,##0.000_);_(* \(#,##0.000\);_(* \-??.000_);_(@_)"/>
    <numFmt numFmtId="170" formatCode="0.000000000000"/>
    <numFmt numFmtId="171" formatCode="_(* #,##0.00_);_(* \(#,##0.00\);_(* \-??.00_);_(@_)"/>
    <numFmt numFmtId="172" formatCode="_(* #,##0.00_);_(* \(#,##0.00\);_(* \-??_);_(@_)"/>
    <numFmt numFmtId="173" formatCode="0.0000000"/>
    <numFmt numFmtId="174" formatCode="_(* #,##0.00_);_(* \(#,##0.00\);_(* &quot;-&quot;??_);_(@_)"/>
    <numFmt numFmtId="175" formatCode="#,##0.000"/>
    <numFmt numFmtId="176" formatCode="0.000000"/>
    <numFmt numFmtId="177" formatCode="0.0000%"/>
    <numFmt numFmtId="178" formatCode="0.0"/>
    <numFmt numFmtId="179" formatCode="0.000000000"/>
    <numFmt numFmtId="180" formatCode="0.00000"/>
    <numFmt numFmtId="181" formatCode="0.0000"/>
    <numFmt numFmtId="182" formatCode="0.0000000000000"/>
  </numFmts>
  <fonts count="51">
    <font>
      <sz val="11.0"/>
      <color theme="1"/>
      <name val="Arial"/>
      <scheme val="minor"/>
    </font>
    <font>
      <sz val="11.0"/>
      <color theme="7"/>
      <name val="Calibri"/>
    </font>
    <font>
      <b/>
      <sz val="11.0"/>
      <color theme="1"/>
      <name val="Calibri"/>
    </font>
    <font>
      <sz val="11.0"/>
      <color theme="1"/>
      <name val="Calibri"/>
    </font>
    <font/>
    <font>
      <sz val="11.0"/>
      <color theme="1"/>
      <name val="Arial"/>
    </font>
    <font>
      <b/>
      <sz val="11.0"/>
      <color rgb="FF000000"/>
      <name val="Calibri"/>
    </font>
    <font>
      <b/>
      <sz val="28.0"/>
      <color theme="7"/>
      <name val="Libre Franklin"/>
    </font>
    <font>
      <sz val="11.0"/>
      <color theme="7"/>
      <name val="Libre Franklin"/>
    </font>
    <font>
      <sz val="11.0"/>
      <color rgb="FF000000"/>
      <name val="Calibri"/>
    </font>
    <font>
      <sz val="11.0"/>
      <color theme="7"/>
      <name val="Arial"/>
    </font>
    <font>
      <i/>
      <sz val="11.0"/>
      <color theme="1"/>
      <name val="Calibri"/>
    </font>
    <font>
      <b/>
      <sz val="11.0"/>
      <color rgb="FF006100"/>
      <name val="Calibri"/>
    </font>
    <font>
      <sz val="13.0"/>
      <color rgb="FFFFFFFF"/>
      <name val="Calibri"/>
    </font>
    <font>
      <sz val="11.0"/>
      <color rgb="FF404040"/>
      <name val="Calibri"/>
    </font>
    <font>
      <b/>
      <sz val="11.0"/>
      <color rgb="FFFFFFFF"/>
      <name val="Calibri"/>
    </font>
    <font>
      <sz val="15.0"/>
      <color rgb="FFFFFFFF"/>
      <name val="Calibri"/>
    </font>
    <font>
      <sz val="11.0"/>
      <color theme="1"/>
      <name val="Carlito"/>
    </font>
    <font>
      <sz val="12.0"/>
      <color rgb="FFFFFFFF"/>
      <name val="Calibri"/>
    </font>
    <font>
      <sz val="11.0"/>
      <color rgb="FFFFFFFF"/>
      <name val="Calibri"/>
    </font>
    <font>
      <i/>
      <sz val="9.0"/>
      <color rgb="FF4A5568"/>
      <name val="Arial"/>
    </font>
    <font>
      <sz val="9.0"/>
      <color theme="1"/>
      <name val="Calibri"/>
    </font>
    <font>
      <b/>
      <sz val="14.0"/>
      <color rgb="FFFFFFFF"/>
      <name val="Calibri"/>
    </font>
    <font>
      <b/>
      <sz val="9.0"/>
      <color rgb="FFFFFFFF"/>
      <name val="Calibri"/>
    </font>
    <font>
      <b/>
      <sz val="9.0"/>
      <color theme="1"/>
      <name val="Calibri"/>
    </font>
    <font>
      <i/>
      <u/>
      <sz val="9.0"/>
      <color rgb="FF0000FF"/>
      <name val="Calibri"/>
    </font>
    <font>
      <i/>
      <sz val="8.0"/>
      <color rgb="FF7F6000"/>
      <name val="Calibri"/>
    </font>
    <font>
      <b/>
      <sz val="11.0"/>
      <color rgb="FFFFFFFF"/>
      <name val="Arial"/>
    </font>
    <font>
      <sz val="11.0"/>
      <color rgb="FF1F1F1F"/>
      <name val="Arial"/>
    </font>
    <font>
      <b/>
      <sz val="9.0"/>
      <color rgb="FF1F1F1F"/>
      <name val="Arial"/>
    </font>
    <font>
      <u/>
      <sz val="11.0"/>
      <color theme="10"/>
      <name val="Calibri"/>
    </font>
    <font>
      <u/>
      <sz val="11.0"/>
      <color rgb="FF0000FF"/>
      <name val="Calibri"/>
    </font>
    <font>
      <u/>
      <sz val="11.0"/>
      <color rgb="FF0000FF"/>
      <name val="Calibri"/>
    </font>
    <font>
      <u/>
      <sz val="11.0"/>
      <color rgb="FF0000FF"/>
      <name val="Calibri"/>
    </font>
    <font>
      <sz val="11.0"/>
      <color rgb="FF1F1F1F"/>
      <name val="Calibri"/>
    </font>
    <font>
      <u/>
      <sz val="11.0"/>
      <color rgb="FF0000FF"/>
      <name val="Calibri"/>
    </font>
    <font>
      <u/>
      <sz val="11.0"/>
      <color rgb="FF0000FF"/>
      <name val="Calibri"/>
    </font>
    <font>
      <u/>
      <sz val="11.0"/>
      <color rgb="FF0000FF"/>
      <name val="Calibri"/>
    </font>
    <font>
      <b/>
      <sz val="11.0"/>
      <color theme="1"/>
      <name val="Arial"/>
    </font>
    <font>
      <u/>
      <sz val="11.0"/>
      <color rgb="FF0000FF"/>
      <name val="Calibri"/>
    </font>
    <font>
      <sz val="11.0"/>
      <color rgb="FF273455"/>
      <name val="Calibri"/>
    </font>
    <font>
      <sz val="10.0"/>
      <color theme="1"/>
      <name val="Calibri"/>
    </font>
    <font>
      <sz val="12.0"/>
      <color rgb="FF000000"/>
      <name val="-webkit-standard"/>
    </font>
    <font>
      <u/>
      <sz val="11.0"/>
      <color rgb="FF0A2C8D"/>
      <name val="Arial"/>
    </font>
    <font>
      <b/>
      <sz val="11.0"/>
      <color rgb="FF00B0F0"/>
      <name val="Calibri"/>
    </font>
    <font>
      <sz val="8.0"/>
      <color theme="1"/>
      <name val="Calibri"/>
    </font>
    <font>
      <sz val="14.0"/>
      <color rgb="FF000000"/>
      <name val="Arial"/>
    </font>
    <font>
      <u/>
      <sz val="11.0"/>
      <color rgb="FF0000FF"/>
      <name val="Arial"/>
    </font>
    <font>
      <u/>
      <sz val="11.0"/>
      <color rgb="FF0000FF"/>
      <name val="Arial"/>
    </font>
    <font>
      <b/>
      <sz val="15.0"/>
      <color theme="1"/>
      <name val="Calibri"/>
    </font>
    <font>
      <sz val="11.0"/>
      <color rgb="FF00CC66"/>
      <name val="Calibri"/>
    </font>
  </fonts>
  <fills count="30">
    <fill>
      <patternFill patternType="none"/>
    </fill>
    <fill>
      <patternFill patternType="lightGray"/>
    </fill>
    <fill>
      <patternFill patternType="solid">
        <fgColor rgb="FFD9D9D9"/>
        <bgColor rgb="FFD9D9D9"/>
      </patternFill>
    </fill>
    <fill>
      <patternFill patternType="solid">
        <fgColor rgb="FFD8D8D8"/>
        <bgColor rgb="FFD8D8D8"/>
      </patternFill>
    </fill>
    <fill>
      <patternFill patternType="solid">
        <fgColor rgb="FFDADADA"/>
        <bgColor rgb="FFDADADA"/>
      </patternFill>
    </fill>
    <fill>
      <patternFill patternType="solid">
        <fgColor rgb="FFF3F3F3"/>
        <bgColor rgb="FFF3F3F3"/>
      </patternFill>
    </fill>
    <fill>
      <patternFill patternType="solid">
        <fgColor rgb="FFD3DBEB"/>
        <bgColor rgb="FFD3DBEB"/>
      </patternFill>
    </fill>
    <fill>
      <patternFill patternType="solid">
        <fgColor rgb="FFD5A6BD"/>
        <bgColor rgb="FFD5A6BD"/>
      </patternFill>
    </fill>
    <fill>
      <patternFill patternType="solid">
        <fgColor rgb="FFCAD2E6"/>
        <bgColor rgb="FFCAD2E6"/>
      </patternFill>
    </fill>
    <fill>
      <patternFill patternType="solid">
        <fgColor rgb="FFD3DBEC"/>
        <bgColor rgb="FFD3DBEC"/>
      </patternFill>
    </fill>
    <fill>
      <patternFill patternType="solid">
        <fgColor rgb="FFFFFFFF"/>
        <bgColor rgb="FFFFFFFF"/>
      </patternFill>
    </fill>
    <fill>
      <patternFill patternType="solid">
        <fgColor rgb="FFD3DCEB"/>
        <bgColor rgb="FFD3DCEB"/>
      </patternFill>
    </fill>
    <fill>
      <patternFill patternType="solid">
        <fgColor rgb="FFC6EFCE"/>
        <bgColor rgb="FFC6EFCE"/>
      </patternFill>
    </fill>
    <fill>
      <patternFill patternType="solid">
        <fgColor rgb="FF1F4E78"/>
        <bgColor rgb="FF1F4E78"/>
      </patternFill>
    </fill>
    <fill>
      <patternFill patternType="solid">
        <fgColor rgb="FFD9EAF7"/>
        <bgColor rgb="FFD9EAF7"/>
      </patternFill>
    </fill>
    <fill>
      <patternFill patternType="solid">
        <fgColor rgb="FFFFF2CC"/>
        <bgColor rgb="FFFFF2CC"/>
      </patternFill>
    </fill>
    <fill>
      <patternFill patternType="solid">
        <fgColor rgb="FFD9E2F3"/>
        <bgColor rgb="FFD9E2F3"/>
      </patternFill>
    </fill>
    <fill>
      <patternFill patternType="solid">
        <fgColor rgb="FFDDEBF7"/>
        <bgColor rgb="FFDDEBF7"/>
      </patternFill>
    </fill>
    <fill>
      <patternFill patternType="solid">
        <fgColor rgb="FFE4DFEC"/>
        <bgColor rgb="FFE4DFEC"/>
      </patternFill>
    </fill>
    <fill>
      <patternFill patternType="solid">
        <fgColor rgb="FFE2F0D9"/>
        <bgColor rgb="FFE2F0D9"/>
      </patternFill>
    </fill>
    <fill>
      <patternFill patternType="solid">
        <fgColor rgb="FFFCE4D6"/>
        <bgColor rgb="FFFCE4D6"/>
      </patternFill>
    </fill>
    <fill>
      <patternFill patternType="solid">
        <fgColor rgb="FFEFEFEF"/>
        <bgColor rgb="FFEFEFEF"/>
      </patternFill>
    </fill>
    <fill>
      <patternFill patternType="solid">
        <fgColor rgb="FFF2F2F2"/>
        <bgColor rgb="FFF2F2F2"/>
      </patternFill>
    </fill>
    <fill>
      <patternFill patternType="solid">
        <fgColor rgb="FFE7E6E6"/>
        <bgColor rgb="FFE7E6E6"/>
      </patternFill>
    </fill>
    <fill>
      <patternFill patternType="solid">
        <fgColor rgb="FFEAF3F8"/>
        <bgColor rgb="FFEAF3F8"/>
      </patternFill>
    </fill>
    <fill>
      <patternFill patternType="solid">
        <fgColor rgb="FF00FF00"/>
        <bgColor rgb="FF00FF00"/>
      </patternFill>
    </fill>
    <fill>
      <patternFill patternType="solid">
        <fgColor theme="0"/>
        <bgColor theme="0"/>
      </patternFill>
    </fill>
    <fill>
      <patternFill patternType="solid">
        <fgColor rgb="FF00B050"/>
        <bgColor rgb="FF00B050"/>
      </patternFill>
    </fill>
    <fill>
      <patternFill patternType="solid">
        <fgColor rgb="FF7F7F7F"/>
        <bgColor rgb="FF7F7F7F"/>
      </patternFill>
    </fill>
    <fill>
      <patternFill patternType="solid">
        <fgColor rgb="FFF4CCCC"/>
        <bgColor rgb="FFF4CCCC"/>
      </patternFill>
    </fill>
  </fills>
  <borders count="219">
    <border/>
    <border>
      <bottom style="thick">
        <color theme="5"/>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thin">
        <color rgb="FF000000"/>
      </right>
      <top style="thin">
        <color rgb="FF000000"/>
      </top>
      <bottom style="thin">
        <color rgb="FF000000"/>
      </bottom>
    </border>
    <border>
      <right style="medium">
        <color rgb="FF000000"/>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right/>
      <top/>
      <bottom/>
    </border>
    <border>
      <left/>
      <right/>
      <top style="thick">
        <color theme="5"/>
      </top>
      <bottom/>
    </border>
    <border>
      <left/>
      <top/>
    </border>
    <border>
      <top/>
    </border>
    <border>
      <right/>
      <top/>
    </border>
    <border>
      <left/>
      <bottom/>
    </border>
    <border>
      <bottom/>
    </border>
    <border>
      <left style="medium">
        <color rgb="FF000000"/>
      </left>
      <right style="thin">
        <color rgb="FF000000"/>
      </right>
      <top style="medium">
        <color rgb="FF000000"/>
      </top>
      <bottom style="thin">
        <color rgb="FF000000"/>
      </bottom>
    </border>
    <border>
      <right/>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medium">
        <color rgb="FF000000"/>
      </right>
    </border>
    <border>
      <left style="medium">
        <color rgb="FF000000"/>
      </left>
      <right style="thin">
        <color rgb="FF000000"/>
      </right>
      <top style="thin">
        <color rgb="FF000000"/>
      </top>
      <bottom style="thin">
        <color rgb="FF000000"/>
      </bottom>
    </border>
    <border>
      <left/>
    </border>
    <border>
      <left style="thin">
        <color rgb="FF000000"/>
      </left>
      <right style="thin">
        <color rgb="FF000000"/>
      </right>
      <top/>
      <bottom style="thin">
        <color rgb="FF000000"/>
      </bottom>
    </border>
    <border>
      <left style="thin">
        <color rgb="FF000000"/>
      </left>
      <right style="medium">
        <color rgb="FF000000"/>
      </right>
      <bottom style="thin">
        <color rgb="FF000000"/>
      </bottom>
    </border>
    <border>
      <right/>
    </border>
    <border>
      <left style="medium">
        <color rgb="FF000000"/>
      </left>
      <right style="medium">
        <color rgb="FF000000"/>
      </right>
      <top/>
      <bottom style="medium">
        <color rgb="FF000000"/>
      </bottom>
    </border>
    <border>
      <left style="medium">
        <color rgb="FF000000"/>
      </left>
      <right style="medium">
        <color rgb="FF000000"/>
      </right>
      <bottom style="thin">
        <color rgb="FF000000"/>
      </bottom>
    </border>
    <border>
      <left style="medium">
        <color rgb="FF000000"/>
      </left>
      <right style="thin">
        <color rgb="FF000000"/>
      </right>
      <bottom style="medium">
        <color rgb="FF000000"/>
      </bottom>
    </border>
    <border>
      <left style="medium">
        <color rgb="FF000000"/>
      </left>
      <right style="medium">
        <color rgb="FF000000"/>
      </right>
      <top style="thin">
        <color rgb="FF000000"/>
      </top>
      <bottom style="medium">
        <color rgb="FF000000"/>
      </bottom>
    </border>
    <border>
      <left style="thin">
        <color rgb="FF000000"/>
      </left>
      <right style="thin">
        <color rgb="FF000000"/>
      </right>
      <top/>
      <bottom style="medium">
        <color rgb="FF000000"/>
      </bottom>
    </border>
    <border>
      <left style="thin">
        <color rgb="FF000000"/>
      </left>
      <right style="medium">
        <color rgb="FF000000"/>
      </right>
      <bottom style="medium">
        <color rgb="FF000000"/>
      </bottom>
    </border>
    <border>
      <left/>
      <top/>
      <bottom/>
    </border>
    <border>
      <top/>
      <bottom/>
    </border>
    <border>
      <right/>
      <top/>
      <bottom/>
    </border>
    <border>
      <left/>
      <top/>
      <bottom style="thick">
        <color theme="5"/>
      </bottom>
    </border>
    <border>
      <top/>
      <bottom style="thick">
        <color theme="5"/>
      </bottom>
    </border>
    <border>
      <right/>
      <top/>
      <bottom style="thick">
        <color theme="5"/>
      </bottom>
    </border>
    <border>
      <top style="thick">
        <color theme="5"/>
      </top>
    </border>
    <border>
      <left style="thin">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medium">
        <color rgb="FF000000"/>
      </left>
    </border>
    <border>
      <right style="medium">
        <color rgb="FF000000"/>
      </right>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medium">
        <color rgb="FF000000"/>
      </left>
      <top/>
      <bottom style="medium">
        <color rgb="FF000000"/>
      </bottom>
    </border>
    <border>
      <top/>
      <bottom style="medium">
        <color rgb="FF000000"/>
      </bottom>
    </border>
    <border>
      <right style="medium">
        <color rgb="FF000000"/>
      </right>
      <top/>
      <bottom style="medium">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medium">
        <color rgb="FF000000"/>
      </top>
    </border>
    <border>
      <left style="medium">
        <color rgb="FF000000"/>
      </left>
      <right style="thin">
        <color rgb="FF000000"/>
      </right>
    </border>
    <border>
      <left style="medium">
        <color rgb="FF000000"/>
      </left>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top style="thin">
        <color rgb="FF000000"/>
      </top>
      <bottom/>
    </border>
    <border>
      <left style="medium">
        <color rgb="FF000000"/>
      </left>
      <right style="thin">
        <color rgb="FF000000"/>
      </right>
      <top style="thin">
        <color rgb="FF000000"/>
      </top>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style="thin">
        <color rgb="FF000000"/>
      </right>
      <bottom style="thin">
        <color rgb="FF000000"/>
      </bottom>
    </border>
    <border>
      <left style="medium">
        <color rgb="FF000000"/>
      </left>
      <top style="medium">
        <color rgb="FF000000"/>
      </top>
    </border>
    <border>
      <top style="medium">
        <color rgb="FF000000"/>
      </top>
    </border>
    <border>
      <right style="medium">
        <color rgb="FF000000"/>
      </right>
      <top style="medium">
        <color rgb="FF000000"/>
      </top>
    </border>
    <border>
      <left style="thin">
        <color rgb="FF000000"/>
      </left>
      <right style="medium">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D9D9D9"/>
      </left>
      <right style="thin">
        <color rgb="FFD9D9D9"/>
      </right>
      <top style="thin">
        <color rgb="FFD9D9D9"/>
      </top>
      <bottom style="thin">
        <color rgb="FFD9D9D9"/>
      </bottom>
    </border>
    <border>
      <left style="thin">
        <color rgb="FFD9D9D9"/>
      </left>
      <right style="thin">
        <color rgb="FFD9D9D9"/>
      </right>
      <top style="thin">
        <color rgb="FFD9D9D9"/>
      </top>
    </border>
    <border>
      <left style="thin">
        <color rgb="FFEFEFEF"/>
      </left>
      <right style="thin">
        <color rgb="FFEFEFEF"/>
      </right>
      <top style="thin">
        <color rgb="FFEFEFEF"/>
      </top>
      <bottom style="thin">
        <color rgb="FFEFEFEF"/>
      </bottom>
    </border>
    <border>
      <left style="thin">
        <color rgb="FFD9D9D9"/>
      </left>
      <top style="thin">
        <color rgb="FFD9D9D9"/>
      </top>
      <bottom style="thin">
        <color rgb="FFD9D9D9"/>
      </bottom>
    </border>
    <border>
      <top style="thin">
        <color rgb="FFD9D9D9"/>
      </top>
      <bottom style="thin">
        <color rgb="FFD9D9D9"/>
      </bottom>
    </border>
    <border>
      <right style="thin">
        <color rgb="FFD9D9D9"/>
      </right>
      <top style="thin">
        <color rgb="FFD9D9D9"/>
      </top>
      <bottom style="thin">
        <color rgb="FFD9D9D9"/>
      </bottom>
    </border>
    <border>
      <left style="thin">
        <color rgb="FFE7E6E6"/>
      </left>
      <right style="thin">
        <color rgb="FFE7E6E6"/>
      </right>
      <top style="thin">
        <color rgb="FFE7E6E6"/>
      </top>
      <bottom style="thin">
        <color rgb="FFE7E6E6"/>
      </bottom>
    </border>
    <border>
      <left style="medium">
        <color rgb="FF1F4E78"/>
      </left>
      <top style="medium">
        <color rgb="FF1F4E78"/>
      </top>
      <bottom style="medium">
        <color rgb="FF000000"/>
      </bottom>
    </border>
    <border>
      <top style="medium">
        <color rgb="FF1F4E78"/>
      </top>
      <bottom style="medium">
        <color rgb="FF000000"/>
      </bottom>
    </border>
    <border>
      <right style="medium">
        <color rgb="FF000000"/>
      </right>
      <top style="medium">
        <color rgb="FF1F4E78"/>
      </top>
      <bottom style="medium">
        <color rgb="FF000000"/>
      </bottom>
    </border>
    <border>
      <left style="thin">
        <color rgb="FF7F8C8D"/>
      </left>
      <top style="thin">
        <color rgb="FF7F8C8D"/>
      </top>
      <bottom style="thin">
        <color rgb="FF7F8C8D"/>
      </bottom>
    </border>
    <border>
      <top style="thin">
        <color rgb="FF7F8C8D"/>
      </top>
      <bottom style="thin">
        <color rgb="FF7F8C8D"/>
      </bottom>
    </border>
    <border>
      <right style="thin">
        <color rgb="FF7F8C8D"/>
      </right>
      <top style="thin">
        <color rgb="FF7F8C8D"/>
      </top>
      <bottom style="thin">
        <color rgb="FF7F8C8D"/>
      </bottom>
    </border>
    <border>
      <left style="thin">
        <color rgb="FF7F8C8D"/>
      </left>
      <right style="thin">
        <color rgb="FF7F8C8D"/>
      </right>
      <top style="thin">
        <color rgb="FF7F8C8D"/>
      </top>
      <bottom style="thin">
        <color rgb="FF7F8C8D"/>
      </bottom>
    </border>
    <border>
      <left style="medium">
        <color rgb="FF1F4E78"/>
      </left>
      <right style="medium">
        <color rgb="FF1F4E78"/>
      </right>
      <top style="medium">
        <color rgb="FF1F4E78"/>
      </top>
      <bottom style="medium">
        <color rgb="FF1F4E78"/>
      </bottom>
    </border>
    <border>
      <left style="thin">
        <color rgb="FF7F8C8D"/>
      </left>
      <top style="thin">
        <color rgb="FF7F8C8D"/>
      </top>
      <bottom style="medium">
        <color rgb="FF000000"/>
      </bottom>
    </border>
    <border>
      <right style="thin">
        <color rgb="FF7F8C8D"/>
      </right>
      <top style="thin">
        <color rgb="FF7F8C8D"/>
      </top>
      <bottom style="medium">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left style="medium">
        <color rgb="FF000000"/>
      </left>
      <right style="medium">
        <color rgb="FF000000"/>
      </right>
      <top style="medium">
        <color rgb="FF000000"/>
      </top>
      <bottom/>
    </border>
    <border>
      <left style="thin">
        <color rgb="FF000000"/>
      </left>
      <right style="thin">
        <color rgb="FF000000"/>
      </right>
      <top style="medium">
        <color rgb="FF000000"/>
      </top>
    </border>
    <border>
      <left style="thin">
        <color rgb="FF000000"/>
      </left>
      <right style="medium">
        <color rgb="FF000000"/>
      </right>
      <top style="medium">
        <color rgb="FF000000"/>
      </top>
    </border>
    <border>
      <left style="thin">
        <color rgb="FF7F8C8D"/>
      </left>
      <right/>
      <top style="thin">
        <color rgb="FF7F8C8D"/>
      </top>
      <bottom style="thin">
        <color rgb="FF7F8C8D"/>
      </bottom>
    </border>
    <border>
      <left style="medium">
        <color rgb="FF000000"/>
      </left>
      <top style="medium">
        <color rgb="FF000000"/>
      </top>
      <bottom style="thin">
        <color rgb="FF000000"/>
      </bottom>
    </border>
    <border>
      <left/>
      <right/>
      <top style="thin">
        <color rgb="FF7F8C8D"/>
      </top>
      <bottom style="thin">
        <color rgb="FF7F8C8D"/>
      </bottom>
    </border>
    <border>
      <right style="medium">
        <color rgb="FF000000"/>
      </right>
      <top style="medium">
        <color rgb="FF000000"/>
      </top>
      <bottom style="thin">
        <color rgb="FF000000"/>
      </bottom>
    </border>
    <border>
      <left style="medium">
        <color rgb="FF000000"/>
      </left>
      <right style="medium">
        <color rgb="FF000000"/>
      </right>
      <top style="medium">
        <color rgb="FF000000"/>
      </top>
    </border>
    <border>
      <left/>
      <right style="thin">
        <color rgb="FF7F8C8D"/>
      </right>
      <top style="thin">
        <color rgb="FF7F8C8D"/>
      </top>
      <bottom style="thin">
        <color rgb="FF7F8C8D"/>
      </bottom>
    </border>
    <border>
      <top style="medium">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border>
    <border>
      <left style="thin">
        <color rgb="FF000000"/>
      </left>
      <right style="thin">
        <color rgb="FF000000"/>
      </right>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medium">
        <color rgb="FF000000"/>
      </left>
      <right style="medium">
        <color rgb="FF000000"/>
      </right>
      <top/>
      <bottom/>
    </border>
    <border>
      <left style="thin">
        <color rgb="FFE7E6E6"/>
      </left>
      <right style="thin">
        <color rgb="FFE7E6E6"/>
      </right>
      <top style="thin">
        <color rgb="FFE7E6E6"/>
      </top>
    </border>
    <border>
      <left style="thin">
        <color rgb="FFE7E6E6"/>
      </left>
      <right style="thin">
        <color rgb="FFE7E6E6"/>
      </right>
      <top style="thin">
        <color rgb="FFE7E6E6"/>
      </top>
      <bottom/>
    </border>
    <border>
      <left style="thin">
        <color rgb="FFA5A5A5"/>
      </left>
      <right style="thin">
        <color rgb="FFA5A5A5"/>
      </right>
      <top style="thin">
        <color rgb="FFA5A5A5"/>
      </top>
      <bottom style="thin">
        <color rgb="FFA5A5A5"/>
      </bottom>
    </border>
    <border>
      <left style="thin">
        <color rgb="FFA5A5A5"/>
      </left>
      <right style="thin">
        <color rgb="FFA5A5A5"/>
      </right>
      <top style="thin">
        <color rgb="FFA5A5A5"/>
      </top>
    </border>
    <border>
      <left/>
      <top/>
      <bottom style="medium">
        <color rgb="FF000000"/>
      </bottom>
    </border>
    <border>
      <right/>
      <top/>
      <bottom style="medium">
        <color rgb="FF000000"/>
      </bottom>
    </border>
    <border>
      <left style="medium">
        <color rgb="FF000000"/>
      </left>
      <right style="medium">
        <color rgb="FF000000"/>
      </right>
      <bottom style="medium">
        <color rgb="FF000000"/>
      </bottom>
    </border>
    <border>
      <left style="medium">
        <color rgb="FF000000"/>
      </left>
      <right style="thin">
        <color rgb="FFA5A5A5"/>
      </right>
      <top style="thin">
        <color rgb="FF000000"/>
      </top>
      <bottom style="medium">
        <color rgb="FF000000"/>
      </bottom>
    </border>
    <border>
      <left style="thin">
        <color rgb="FFA5A5A5"/>
      </left>
      <right style="medium">
        <color rgb="FF000000"/>
      </right>
      <top style="thin">
        <color rgb="FF000000"/>
      </top>
      <bottom style="medium">
        <color rgb="FF000000"/>
      </bottom>
    </border>
    <border>
      <right/>
      <top style="medium">
        <color rgb="FF000000"/>
      </top>
      <bottom style="medium">
        <color rgb="FF000000"/>
      </bottom>
    </border>
    <border>
      <left/>
      <right/>
      <top style="medium">
        <color rgb="FF000000"/>
      </top>
      <bottom/>
    </border>
    <border>
      <left/>
      <right style="medium">
        <color rgb="FF000000"/>
      </right>
      <top style="medium">
        <color rgb="FF000000"/>
      </top>
      <bottom/>
    </border>
    <border>
      <left style="medium">
        <color rgb="FF000000"/>
      </left>
      <right style="thin">
        <color rgb="FFA5A5A5"/>
      </right>
      <top style="medium">
        <color rgb="FF000000"/>
      </top>
      <bottom style="thin">
        <color rgb="FFA5A5A5"/>
      </bottom>
    </border>
    <border>
      <left style="thin">
        <color rgb="FFA5A5A5"/>
      </left>
      <right style="thin">
        <color rgb="FFA5A5A5"/>
      </right>
      <top style="medium">
        <color rgb="FF000000"/>
      </top>
      <bottom style="thin">
        <color rgb="FFA5A5A5"/>
      </bottom>
    </border>
    <border>
      <left style="medium">
        <color rgb="FF000000"/>
      </left>
      <right style="thin">
        <color rgb="FFA5A5A5"/>
      </right>
      <top style="medium">
        <color rgb="FF000000"/>
      </top>
    </border>
    <border>
      <left style="thin">
        <color rgb="FFA5A5A5"/>
      </left>
      <right style="medium">
        <color rgb="FF000000"/>
      </right>
      <top style="medium">
        <color rgb="FF000000"/>
      </top>
    </border>
    <border>
      <right style="double">
        <color rgb="FFA5A5A5"/>
      </right>
      <top style="medium">
        <color rgb="FF000000"/>
      </top>
    </border>
    <border>
      <left style="double">
        <color rgb="FFA5A5A5"/>
      </left>
      <right style="medium">
        <color rgb="FF000000"/>
      </right>
      <top style="medium">
        <color rgb="FF000000"/>
      </top>
    </border>
    <border>
      <left style="thin">
        <color rgb="FFA5A5A5"/>
      </left>
      <right style="medium">
        <color rgb="FF000000"/>
      </right>
      <top style="thin">
        <color rgb="FFA5A5A5"/>
      </top>
      <bottom style="thin">
        <color rgb="FFA5A5A5"/>
      </bottom>
    </border>
    <border>
      <left/>
      <right style="thin">
        <color rgb="FFA5A5A5"/>
      </right>
      <top style="medium">
        <color rgb="FF000000"/>
      </top>
      <bottom style="thin">
        <color rgb="FFA5A5A5"/>
      </bottom>
    </border>
    <border>
      <left style="medium">
        <color rgb="FF000000"/>
      </left>
      <right style="thin">
        <color rgb="FFA5A5A5"/>
      </right>
      <bottom style="medium">
        <color rgb="FF000000"/>
      </bottom>
    </border>
    <border>
      <left style="thin">
        <color rgb="FFA5A5A5"/>
      </left>
      <right style="medium">
        <color rgb="FF000000"/>
      </right>
      <bottom style="medium">
        <color rgb="FF000000"/>
      </bottom>
    </border>
    <border>
      <left style="thin">
        <color rgb="FFA5A5A5"/>
      </left>
      <right style="medium">
        <color rgb="FF000000"/>
      </right>
      <top style="medium">
        <color rgb="FF000000"/>
      </top>
      <bottom style="thin">
        <color rgb="FFA5A5A5"/>
      </bottom>
    </border>
    <border>
      <left style="thin">
        <color rgb="FFA5A5A5"/>
      </left>
      <right style="medium">
        <color rgb="FF000000"/>
      </right>
      <top style="thin">
        <color rgb="FFA5A5A5"/>
      </top>
    </border>
    <border>
      <right style="double">
        <color rgb="FFA5A5A5"/>
      </right>
      <bottom style="medium">
        <color rgb="FF000000"/>
      </bottom>
    </border>
    <border>
      <left style="medium">
        <color rgb="FF000000"/>
      </left>
      <right style="thin">
        <color rgb="FFA5A5A5"/>
      </right>
    </border>
    <border>
      <left style="thin">
        <color rgb="FFA5A5A5"/>
      </left>
      <right style="thin">
        <color rgb="FFA5A5A5"/>
      </right>
      <top/>
      <bottom/>
    </border>
    <border>
      <left style="thin">
        <color rgb="FFA5A5A5"/>
      </left>
      <right style="thin">
        <color rgb="FFA5A5A5"/>
      </right>
    </border>
    <border>
      <left style="double">
        <color rgb="FFA5A5A5"/>
      </left>
      <right style="medium">
        <color rgb="FF000000"/>
      </right>
      <bottom style="medium">
        <color rgb="FF000000"/>
      </bottom>
    </border>
    <border>
      <left/>
      <right style="thin">
        <color rgb="FFA5A5A5"/>
      </right>
      <top/>
      <bottom/>
    </border>
    <border>
      <left style="thin">
        <color rgb="FFA5A5A5"/>
      </left>
      <right style="medium">
        <color rgb="FF000000"/>
      </right>
    </border>
    <border>
      <left style="medium">
        <color rgb="FF000000"/>
      </left>
      <right style="thin">
        <color rgb="FFA5A5A5"/>
      </right>
      <top/>
      <bottom/>
    </border>
    <border>
      <left style="medium">
        <color rgb="FF000000"/>
      </left>
      <right style="thin">
        <color rgb="FFA5A5A5"/>
      </right>
      <top style="thin">
        <color rgb="FFA5A5A5"/>
      </top>
    </border>
    <border>
      <left style="thin">
        <color rgb="FFA5A5A5"/>
      </left>
      <right style="thin">
        <color rgb="FFA5A5A5"/>
      </right>
      <top style="thin">
        <color rgb="FFA5A5A5"/>
      </top>
      <bottom/>
    </border>
    <border>
      <left style="thin">
        <color rgb="FFA5A5A5"/>
      </left>
      <right/>
      <top style="medium">
        <color rgb="FF000000"/>
      </top>
      <bottom style="thin">
        <color rgb="FFA5A5A5"/>
      </bottom>
    </border>
    <border>
      <left style="thin">
        <color rgb="FF434343"/>
      </left>
      <right style="thin">
        <color rgb="FF434343"/>
      </right>
      <top style="thin">
        <color rgb="FF434343"/>
      </top>
      <bottom style="thin">
        <color rgb="FF434343"/>
      </bottom>
    </border>
    <border>
      <left style="thin">
        <color rgb="FFA5A5A5"/>
      </left>
      <right style="medium">
        <color rgb="FF000000"/>
      </right>
      <top style="thin">
        <color rgb="FFA5A5A5"/>
      </top>
      <bottom style="medium">
        <color rgb="FF000000"/>
      </bottom>
    </border>
    <border>
      <left/>
      <right style="thin">
        <color rgb="FFA5A5A5"/>
      </right>
      <top style="thin">
        <color rgb="FFA5A5A5"/>
      </top>
      <bottom/>
    </border>
    <border>
      <right style="thin">
        <color rgb="FFA5A5A5"/>
      </right>
      <top style="medium">
        <color rgb="FF000000"/>
      </top>
      <bottom style="thin">
        <color rgb="FFA5A5A5"/>
      </bottom>
    </border>
    <border>
      <left style="medium">
        <color rgb="FF000000"/>
      </left>
      <right style="thin">
        <color rgb="FFA5A5A5"/>
      </right>
      <top style="thin">
        <color rgb="FFA5A5A5"/>
      </top>
      <bottom/>
    </border>
    <border>
      <left style="thin">
        <color rgb="FFA5A5A5"/>
      </left>
      <right style="double">
        <color rgb="FF000000"/>
      </right>
      <top style="medium">
        <color rgb="FF000000"/>
      </top>
      <bottom style="thin">
        <color rgb="FFA5A5A5"/>
      </bottom>
    </border>
    <border>
      <right style="thin">
        <color rgb="FFA5A5A5"/>
      </right>
      <top style="thin">
        <color rgb="FFA5A5A5"/>
      </top>
      <bottom style="thin">
        <color rgb="FFA5A5A5"/>
      </bottom>
    </border>
    <border>
      <left style="medium">
        <color rgb="FF000000"/>
      </left>
      <right/>
      <top style="medium">
        <color rgb="FF000000"/>
      </top>
      <bottom style="thin">
        <color rgb="FFA5A5A5"/>
      </bottom>
    </border>
    <border>
      <left style="medium">
        <color rgb="FF000000"/>
      </left>
      <top style="medium">
        <color rgb="FF000000"/>
      </top>
      <bottom style="thin">
        <color rgb="FFA5A5A5"/>
      </bottom>
    </border>
    <border>
      <left style="thin">
        <color rgb="FFA5A5A5"/>
      </left>
      <right style="medium">
        <color rgb="FF000000"/>
      </right>
      <bottom style="thin">
        <color rgb="FFA5A5A5"/>
      </bottom>
    </border>
    <border>
      <right style="medium">
        <color rgb="FF000000"/>
      </right>
      <top style="medium">
        <color rgb="FF000000"/>
      </top>
      <bottom style="thin">
        <color rgb="FFA5A5A5"/>
      </bottom>
    </border>
    <border>
      <left/>
      <right/>
      <top style="medium">
        <color rgb="FF000000"/>
      </top>
      <bottom style="thin">
        <color rgb="FFA5A5A5"/>
      </bottom>
    </border>
    <border>
      <left style="thin">
        <color rgb="FFA5A5A5"/>
      </left>
      <top style="medium">
        <color rgb="FF000000"/>
      </top>
      <bottom style="thin">
        <color rgb="FFA5A5A5"/>
      </bottom>
    </border>
    <border>
      <left style="medium">
        <color rgb="FF000000"/>
      </left>
      <right style="medium">
        <color rgb="FF000000"/>
      </right>
      <top style="medium">
        <color rgb="FF000000"/>
      </top>
      <bottom style="thin">
        <color rgb="FF000000"/>
      </bottom>
    </border>
    <border>
      <left style="medium">
        <color rgb="FF000000"/>
      </left>
      <right style="thin">
        <color rgb="FFA5A5A5"/>
      </right>
      <top style="thin">
        <color rgb="FFA5A5A5"/>
      </top>
      <bottom style="thin">
        <color rgb="FFA5A5A5"/>
      </bottom>
    </border>
    <border>
      <left style="thin">
        <color rgb="FFA5A5A5"/>
      </left>
      <right/>
      <top style="thin">
        <color rgb="FFA5A5A5"/>
      </top>
      <bottom style="thin">
        <color rgb="FFA5A5A5"/>
      </bottom>
    </border>
    <border>
      <left/>
      <right style="thin">
        <color rgb="FFA5A5A5"/>
      </right>
      <top style="thin">
        <color rgb="FFA5A5A5"/>
      </top>
      <bottom style="thin">
        <color rgb="FFA5A5A5"/>
      </bottom>
    </border>
    <border>
      <left style="thin">
        <color rgb="FFA5A5A5"/>
      </left>
      <right style="double">
        <color rgb="FF000000"/>
      </right>
      <top style="thin">
        <color rgb="FFA5A5A5"/>
      </top>
      <bottom style="thin">
        <color rgb="FFA5A5A5"/>
      </bottom>
    </border>
    <border>
      <left style="medium">
        <color rgb="FF000000"/>
      </left>
      <right/>
      <top style="thin">
        <color rgb="FFA5A5A5"/>
      </top>
      <bottom style="thin">
        <color rgb="FFA5A5A5"/>
      </bottom>
    </border>
    <border>
      <left style="thin">
        <color rgb="FFA5A5A5"/>
      </left>
      <top style="thin">
        <color rgb="FFA5A5A5"/>
      </top>
      <bottom style="thin">
        <color rgb="FFA5A5A5"/>
      </bottom>
    </border>
    <border>
      <left style="medium">
        <color rgb="FF000000"/>
      </left>
      <top style="thin">
        <color rgb="FFA5A5A5"/>
      </top>
      <bottom style="thin">
        <color rgb="FFA5A5A5"/>
      </bottom>
    </border>
    <border>
      <right style="medium">
        <color rgb="FF000000"/>
      </right>
      <top style="thin">
        <color rgb="FFA5A5A5"/>
      </top>
      <bottom style="thin">
        <color rgb="FFA5A5A5"/>
      </bottom>
    </border>
    <border>
      <left/>
      <right/>
      <top style="thin">
        <color rgb="FFA5A5A5"/>
      </top>
      <bottom style="thin">
        <color rgb="FFA5A5A5"/>
      </bottom>
    </border>
    <border>
      <left style="medium">
        <color rgb="FF000000"/>
      </left>
      <right style="thin">
        <color rgb="FFA5A5A5"/>
      </right>
      <top style="thin">
        <color rgb="FFA5A5A5"/>
      </top>
      <bottom style="medium">
        <color rgb="FF000000"/>
      </bottom>
    </border>
    <border>
      <left style="medium">
        <color rgb="FF000000"/>
      </left>
      <right style="medium">
        <color rgb="FF000000"/>
      </right>
      <top style="thin">
        <color rgb="FF000000"/>
      </top>
      <bottom style="thin">
        <color rgb="FF000000"/>
      </bottom>
    </border>
    <border>
      <left style="thin">
        <color rgb="FFA5A5A5"/>
      </left>
      <right style="thin">
        <color rgb="FFA5A5A5"/>
      </right>
      <top style="thin">
        <color rgb="FFA5A5A5"/>
      </top>
      <bottom style="medium">
        <color rgb="FF000000"/>
      </bottom>
    </border>
    <border>
      <left/>
      <right style="thin">
        <color rgb="FFA5A5A5"/>
      </right>
      <top style="thin">
        <color rgb="FFA5A5A5"/>
      </top>
      <bottom style="medium">
        <color rgb="FF000000"/>
      </bottom>
    </border>
    <border>
      <left style="thin">
        <color rgb="FFA5A5A5"/>
      </left>
      <top style="thin">
        <color rgb="FFA5A5A5"/>
      </top>
      <bottom style="medium">
        <color rgb="FF000000"/>
      </bottom>
    </border>
    <border>
      <right style="thin">
        <color rgb="FFA5A5A5"/>
      </right>
      <bottom style="thin">
        <color rgb="FFA5A5A5"/>
      </bottom>
    </border>
    <border>
      <left style="thin">
        <color rgb="FFA5A5A5"/>
      </left>
      <right style="thin">
        <color rgb="FFA5A5A5"/>
      </right>
      <top/>
      <bottom style="thin">
        <color rgb="FFA5A5A5"/>
      </bottom>
    </border>
    <border>
      <left style="thin">
        <color rgb="FF000000"/>
      </left>
      <right style="thin">
        <color rgb="FFA5A5A5"/>
      </right>
      <top style="thin">
        <color rgb="FFA5A5A5"/>
      </top>
      <bottom style="thin">
        <color rgb="FFA5A5A5"/>
      </bottom>
    </border>
    <border>
      <left style="thin">
        <color rgb="FFA5A5A5"/>
      </left>
      <right style="thin">
        <color rgb="FF000000"/>
      </right>
      <top style="thin">
        <color rgb="FFA5A5A5"/>
      </top>
      <bottom style="thin">
        <color rgb="FFA5A5A5"/>
      </bottom>
    </border>
    <border>
      <left/>
      <right style="thin">
        <color rgb="FFA5A5A5"/>
      </right>
      <top/>
      <bottom style="thin">
        <color rgb="FFA5A5A5"/>
      </bottom>
    </border>
    <border>
      <left style="medium">
        <color rgb="FF000000"/>
      </left>
      <top style="thin">
        <color rgb="FFA5A5A5"/>
      </top>
      <bottom style="medium">
        <color rgb="FF000000"/>
      </bottom>
    </border>
    <border>
      <right style="medium">
        <color rgb="FF000000"/>
      </right>
      <top style="thin">
        <color rgb="FFA5A5A5"/>
      </top>
      <bottom style="medium">
        <color rgb="FF000000"/>
      </bottom>
    </border>
    <border>
      <left style="medium">
        <color rgb="FF000000"/>
      </left>
      <right style="thin">
        <color rgb="FFA5A5A5"/>
      </right>
      <top/>
      <bottom style="thin">
        <color rgb="FFA5A5A5"/>
      </bottom>
    </border>
    <border>
      <left/>
      <right/>
      <top style="thin">
        <color rgb="FFA5A5A5"/>
      </top>
      <bottom style="medium">
        <color rgb="FF000000"/>
      </bottom>
    </border>
    <border>
      <left style="thin">
        <color rgb="FFA5A5A5"/>
      </left>
      <right/>
      <top style="thin">
        <color rgb="FFA5A5A5"/>
      </top>
      <bottom style="medium">
        <color rgb="FF000000"/>
      </bottom>
    </border>
    <border>
      <left style="thin">
        <color rgb="FF000000"/>
      </left>
      <right style="thin">
        <color rgb="FFA5A5A5"/>
      </right>
      <top style="thin">
        <color rgb="FFA5A5A5"/>
      </top>
      <bottom style="thin">
        <color rgb="FF000000"/>
      </bottom>
    </border>
    <border>
      <left style="thin">
        <color rgb="FFA5A5A5"/>
      </left>
      <right style="thin">
        <color rgb="FF000000"/>
      </right>
      <top style="thin">
        <color rgb="FFA5A5A5"/>
      </top>
      <bottom style="thin">
        <color rgb="FF000000"/>
      </bottom>
    </border>
    <border>
      <left style="thin">
        <color rgb="FFA5A5A5"/>
      </left>
      <right style="double">
        <color rgb="FF000000"/>
      </right>
      <top style="medium">
        <color rgb="FF000000"/>
      </top>
      <bottom style="medium">
        <color rgb="FF000000"/>
      </bottom>
    </border>
    <border>
      <right style="thin">
        <color rgb="FFA5A5A5"/>
      </right>
      <top style="thin">
        <color rgb="FFA5A5A5"/>
      </top>
    </border>
    <border>
      <left style="medium">
        <color rgb="FF000000"/>
      </left>
      <right style="medium">
        <color rgb="FF000000"/>
      </right>
      <top style="medium">
        <color rgb="FF000000"/>
      </top>
      <bottom style="thin">
        <color rgb="FFA5A5A5"/>
      </bottom>
    </border>
    <border>
      <left/>
      <right style="medium">
        <color rgb="FF000000"/>
      </right>
      <top style="medium">
        <color rgb="FF000000"/>
      </top>
      <bottom style="thin">
        <color rgb="FFA5A5A5"/>
      </bottom>
    </border>
    <border>
      <left style="medium">
        <color rgb="FF000000"/>
      </left>
      <right style="double">
        <color rgb="FF000000"/>
      </right>
      <top style="medium">
        <color rgb="FF000000"/>
      </top>
    </border>
    <border>
      <left style="double">
        <color rgb="FF000000"/>
      </left>
      <right style="medium">
        <color rgb="FF000000"/>
      </right>
      <top style="medium">
        <color rgb="FF000000"/>
      </top>
    </border>
    <border>
      <left style="medium">
        <color rgb="FF000000"/>
      </left>
      <right style="medium">
        <color rgb="FF000000"/>
      </right>
      <top style="thin">
        <color rgb="FFA5A5A5"/>
      </top>
      <bottom style="medium">
        <color rgb="FF000000"/>
      </bottom>
    </border>
    <border>
      <left/>
      <right style="medium">
        <color rgb="FF000000"/>
      </right>
      <top style="thin">
        <color rgb="FFA5A5A5"/>
      </top>
      <bottom style="medium">
        <color rgb="FF000000"/>
      </bottom>
    </border>
    <border>
      <left style="medium">
        <color rgb="FF000000"/>
      </left>
      <right style="double">
        <color rgb="FF000000"/>
      </right>
      <bottom style="medium">
        <color rgb="FF000000"/>
      </bottom>
    </border>
    <border>
      <left style="double">
        <color rgb="FF000000"/>
      </left>
      <right style="medium">
        <color rgb="FF000000"/>
      </right>
      <bottom style="medium">
        <color rgb="FF000000"/>
      </bottom>
    </border>
    <border>
      <left style="medium">
        <color rgb="FF000000"/>
      </left>
      <right style="double">
        <color rgb="FF000000"/>
      </right>
      <top style="medium">
        <color rgb="FF000000"/>
      </top>
      <bottom style="medium">
        <color rgb="FF000000"/>
      </bottom>
    </border>
    <border>
      <left/>
      <right style="medium">
        <color rgb="FF000000"/>
      </right>
      <top style="medium">
        <color rgb="FF000000"/>
      </top>
      <bottom style="medium">
        <color rgb="FF000000"/>
      </bottom>
    </border>
    <border>
      <right style="thin">
        <color rgb="FFA5A5A5"/>
      </right>
    </border>
    <border>
      <right style="thin">
        <color rgb="FFA5A5A5"/>
      </right>
      <top style="thin">
        <color rgb="FFA5A5A5"/>
      </top>
      <bottom style="medium">
        <color rgb="FF000000"/>
      </bottom>
    </border>
    <border>
      <left style="medium">
        <color rgb="FF000000"/>
      </left>
      <right/>
      <top/>
      <bottom style="medium">
        <color rgb="FF000000"/>
      </bottom>
    </border>
    <border>
      <left/>
      <right/>
      <top style="medium">
        <color rgb="FF000000"/>
      </top>
      <bottom style="medium">
        <color rgb="FF000000"/>
      </bottom>
    </border>
    <border>
      <left/>
      <right/>
      <top/>
      <bottom style="medium">
        <color rgb="FF000000"/>
      </bottom>
    </border>
    <border>
      <left/>
      <right style="medium">
        <color rgb="FF000000"/>
      </right>
      <top/>
      <bottom style="medium">
        <color rgb="FF000000"/>
      </bottom>
    </border>
    <border>
      <left style="thin">
        <color rgb="FF000000"/>
      </left>
      <right/>
      <top style="thin">
        <color rgb="FF000000"/>
      </top>
      <bottom style="thin">
        <color rgb="FF000000"/>
      </bottom>
    </border>
    <border>
      <left/>
      <right/>
      <top style="thin">
        <color rgb="FF000000"/>
      </top>
      <bottom style="thin">
        <color rgb="FF000000"/>
      </bottom>
    </border>
    <border>
      <left/>
      <top style="thin">
        <color rgb="FF000000"/>
      </top>
      <bottom style="thin">
        <color rgb="FF000000"/>
      </bottom>
    </border>
    <border>
      <right/>
      <top style="thin">
        <color rgb="FF000000"/>
      </top>
      <bottom style="thin">
        <color rgb="FF000000"/>
      </bottom>
    </border>
    <border>
      <left/>
      <right style="thin">
        <color rgb="FF000000"/>
      </right>
      <top style="thin">
        <color rgb="FF000000"/>
      </top>
      <bottom style="thin">
        <color rgb="FF000000"/>
      </bottom>
    </border>
    <border>
      <right style="thin">
        <color rgb="FF000000"/>
      </right>
      <top/>
      <bottom/>
    </border>
    <border>
      <left style="thin">
        <color rgb="FF000000"/>
      </left>
      <top style="medium">
        <color rgb="FF000000"/>
      </top>
      <bottom style="thin">
        <color rgb="FF000000"/>
      </bottom>
    </border>
    <border>
      <right style="thin">
        <color rgb="FF000000"/>
      </right>
      <top style="medium">
        <color rgb="FF000000"/>
      </top>
      <bottom style="thin">
        <color rgb="FF000000"/>
      </bottom>
    </border>
    <border>
      <left style="medium">
        <color rgb="FF000000"/>
      </left>
      <top style="thin">
        <color rgb="FF000000"/>
      </top>
      <bottom style="thin">
        <color rgb="FF000000"/>
      </bottom>
    </border>
    <border>
      <right style="medium">
        <color rgb="FF000000"/>
      </right>
      <bottom style="thin">
        <color rgb="FF000000"/>
      </bottom>
    </border>
    <border>
      <left style="medium">
        <color rgb="FF000000"/>
      </left>
      <top/>
      <bottom style="thin">
        <color rgb="FF000000"/>
      </bottom>
    </border>
    <border>
      <top/>
      <bottom style="thin">
        <color rgb="FF000000"/>
      </bottom>
    </border>
    <border>
      <left style="medium">
        <color rgb="FF000000"/>
      </left>
      <right style="thin">
        <color rgb="FF000000"/>
      </right>
      <top style="thin">
        <color rgb="FF000000"/>
      </top>
      <bottom style="double">
        <color rgb="FF000000"/>
      </bottom>
    </border>
    <border>
      <right style="medium">
        <color rgb="FF000000"/>
      </right>
      <top/>
      <bottom style="thin">
        <color rgb="FF000000"/>
      </bottom>
    </border>
    <border>
      <left style="thin">
        <color rgb="FF000000"/>
      </left>
      <right style="thin">
        <color rgb="FF000000"/>
      </right>
      <top style="thin">
        <color rgb="FF000000"/>
      </top>
      <bottom style="double">
        <color rgb="FF000000"/>
      </bottom>
    </border>
    <border>
      <left style="thin">
        <color rgb="FF000000"/>
      </left>
      <right style="medium">
        <color rgb="FF000000"/>
      </right>
      <top style="thin">
        <color rgb="FF000000"/>
      </top>
      <bottom style="double">
        <color rgb="FF000000"/>
      </bottom>
    </border>
    <border>
      <left/>
      <right style="medium">
        <color rgb="FF000000"/>
      </right>
      <top/>
      <bottom/>
    </border>
    <border>
      <left style="thin">
        <color rgb="FF000000"/>
      </left>
      <right style="medium">
        <color rgb="FF000000"/>
      </right>
      <top style="thin">
        <color rgb="FF000000"/>
      </top>
      <bottom/>
    </border>
  </borders>
  <cellStyleXfs count="1">
    <xf borderId="0" fillId="0" fontId="0" numFmtId="0" applyAlignment="1" applyFont="1"/>
  </cellStyleXfs>
  <cellXfs count="738">
    <xf borderId="0" fillId="0" fontId="0" numFmtId="0" xfId="0" applyAlignment="1" applyFont="1">
      <alignment readingOrder="0" shrinkToFit="0" vertical="bottom" wrapText="0"/>
    </xf>
    <xf borderId="1" fillId="0" fontId="1" numFmtId="0" xfId="0" applyBorder="1" applyFont="1"/>
    <xf borderId="2" fillId="2" fontId="2" numFmtId="0" xfId="0" applyBorder="1" applyFill="1" applyFont="1"/>
    <xf borderId="3" fillId="3" fontId="2" numFmtId="0" xfId="0" applyAlignment="1" applyBorder="1" applyFill="1" applyFont="1">
      <alignment horizontal="center"/>
    </xf>
    <xf borderId="0" fillId="0" fontId="3" numFmtId="0" xfId="0" applyFont="1"/>
    <xf borderId="4" fillId="0" fontId="4" numFmtId="0" xfId="0" applyBorder="1" applyFont="1"/>
    <xf borderId="0" fillId="0" fontId="1" numFmtId="0" xfId="0" applyFont="1"/>
    <xf borderId="5" fillId="3" fontId="2" numFmtId="0" xfId="0" applyAlignment="1" applyBorder="1" applyFill="1" applyFont="1">
      <alignment horizontal="center"/>
    </xf>
    <xf borderId="6" fillId="0" fontId="4" numFmtId="0" xfId="0" applyBorder="1" applyFont="1"/>
    <xf borderId="7" fillId="0" fontId="4" numFmtId="0" xfId="0" applyBorder="1" applyFont="1"/>
    <xf borderId="8" fillId="0" fontId="4" numFmtId="0" xfId="0" applyBorder="1" applyFont="1"/>
    <xf borderId="0" fillId="0" fontId="5" numFmtId="0" xfId="0" applyFont="1"/>
    <xf borderId="9" fillId="4" fontId="6" numFmtId="0" xfId="0" applyAlignment="1" applyBorder="1" applyFill="1" applyFont="1">
      <alignment horizontal="center" readingOrder="1" shrinkToFit="0" vertical="center" wrapText="1"/>
    </xf>
    <xf borderId="2" fillId="0" fontId="3" numFmtId="0" xfId="0" applyBorder="1" applyFont="1"/>
    <xf borderId="10" fillId="3" fontId="7" numFmtId="0" xfId="0" applyBorder="1" applyFill="1" applyFont="1"/>
    <xf borderId="3" fillId="3" fontId="2" numFmtId="0" xfId="0" applyAlignment="1" applyBorder="1" applyFill="1" applyFont="1">
      <alignment horizontal="center" shrinkToFit="0" wrapText="1"/>
    </xf>
    <xf borderId="11" fillId="3" fontId="7" numFmtId="0" xfId="0" applyBorder="1" applyFill="1" applyFont="1"/>
    <xf borderId="2" fillId="4" fontId="2" numFmtId="0" xfId="0" applyAlignment="1" applyBorder="1" applyFill="1" applyFont="1">
      <alignment horizontal="center" shrinkToFit="0" wrapText="1"/>
    </xf>
    <xf borderId="2" fillId="0" fontId="3" numFmtId="2" xfId="0" applyBorder="1" applyFont="1" applyNumberFormat="1"/>
    <xf borderId="10" fillId="3" fontId="8" numFmtId="0" xfId="0" applyAlignment="1" applyBorder="1" applyFill="1" applyFont="1">
      <alignment shrinkToFit="0" vertical="top" wrapText="1"/>
    </xf>
    <xf borderId="2" fillId="0" fontId="2" numFmtId="0" xfId="0" applyAlignment="1" applyBorder="1" applyFont="1">
      <alignment horizontal="center" shrinkToFit="0" wrapText="1"/>
    </xf>
    <xf borderId="12" fillId="3" fontId="1" numFmtId="0" xfId="0" applyAlignment="1" applyBorder="1" applyFill="1" applyFont="1">
      <alignment horizontal="left" shrinkToFit="0" vertical="top" wrapText="1"/>
    </xf>
    <xf borderId="13" fillId="0" fontId="4" numFmtId="0" xfId="0" applyBorder="1" applyFont="1"/>
    <xf borderId="14" fillId="0" fontId="4" numFmtId="0" xfId="0" applyBorder="1" applyFont="1"/>
    <xf borderId="15" fillId="0" fontId="4" numFmtId="0" xfId="0" applyBorder="1" applyFont="1"/>
    <xf borderId="3" fillId="5" fontId="2" numFmtId="0" xfId="0" applyAlignment="1" applyBorder="1" applyFill="1" applyFont="1">
      <alignment horizontal="center"/>
    </xf>
    <xf borderId="16" fillId="0" fontId="4" numFmtId="0" xfId="0" applyBorder="1" applyFont="1"/>
    <xf borderId="2" fillId="3" fontId="2" numFmtId="0" xfId="0" applyAlignment="1" applyBorder="1" applyFill="1" applyFont="1">
      <alignment horizontal="center"/>
    </xf>
    <xf borderId="2" fillId="3" fontId="2" numFmtId="0" xfId="0" applyAlignment="1" applyBorder="1" applyFill="1" applyFont="1">
      <alignment horizontal="center" shrinkToFit="0" wrapText="1"/>
    </xf>
    <xf borderId="17" fillId="0" fontId="2" numFmtId="0" xfId="0" applyAlignment="1" applyBorder="1" applyFont="1">
      <alignment horizontal="left" shrinkToFit="0" vertical="center" wrapText="1"/>
    </xf>
    <xf borderId="18" fillId="0" fontId="4" numFmtId="0" xfId="0" applyBorder="1" applyFont="1"/>
    <xf borderId="19" fillId="6" fontId="3" numFmtId="0" xfId="0" applyAlignment="1" applyBorder="1" applyFill="1" applyFont="1">
      <alignment horizontal="right" shrinkToFit="0" vertical="center" wrapText="1"/>
    </xf>
    <xf borderId="2" fillId="0" fontId="3" numFmtId="0" xfId="0" applyAlignment="1" applyBorder="1" applyFont="1">
      <alignment shrinkToFit="0" wrapText="1"/>
    </xf>
    <xf borderId="20" fillId="0" fontId="3" numFmtId="0" xfId="0" applyAlignment="1" applyBorder="1" applyFont="1">
      <alignment horizontal="right" shrinkToFit="0" vertical="center" wrapText="1"/>
    </xf>
    <xf borderId="0" fillId="0" fontId="3" numFmtId="0" xfId="0" applyAlignment="1" applyFont="1">
      <alignment vertical="top"/>
    </xf>
    <xf borderId="10" fillId="7" fontId="5" numFmtId="0" xfId="0" applyBorder="1" applyFill="1" applyFont="1"/>
    <xf borderId="21" fillId="0" fontId="9" numFmtId="0" xfId="0" applyAlignment="1" applyBorder="1" applyFont="1">
      <alignment horizontal="center" readingOrder="1" shrinkToFit="0" vertical="center" wrapText="1"/>
    </xf>
    <xf borderId="2" fillId="6" fontId="3" numFmtId="1" xfId="0" applyAlignment="1" applyBorder="1" applyFill="1" applyFont="1" applyNumberFormat="1">
      <alignment horizontal="right" shrinkToFit="0" wrapText="1"/>
    </xf>
    <xf borderId="2" fillId="6" fontId="3" numFmtId="0" xfId="0" applyAlignment="1" applyBorder="1" applyFill="1" applyFont="1">
      <alignment horizontal="center"/>
    </xf>
    <xf borderId="2" fillId="6" fontId="3" numFmtId="0" xfId="0" applyAlignment="1" applyBorder="1" applyFill="1" applyFont="1">
      <alignment horizontal="right"/>
    </xf>
    <xf borderId="10" fillId="3" fontId="1" numFmtId="0" xfId="0" applyAlignment="1" applyBorder="1" applyFill="1" applyFont="1">
      <alignment shrinkToFit="0" vertical="top" wrapText="1"/>
    </xf>
    <xf borderId="2" fillId="0" fontId="3" numFmtId="0" xfId="0" applyAlignment="1" applyBorder="1" applyFont="1">
      <alignment shrinkToFit="0" vertical="top" wrapText="1"/>
    </xf>
    <xf borderId="22" fillId="0" fontId="2" numFmtId="0" xfId="0" applyAlignment="1" applyBorder="1" applyFont="1">
      <alignment horizontal="left" shrinkToFit="0" vertical="center" wrapText="1"/>
    </xf>
    <xf borderId="23" fillId="0" fontId="4" numFmtId="0" xfId="0" applyBorder="1" applyFont="1"/>
    <xf borderId="24" fillId="8" fontId="3" numFmtId="0" xfId="0" applyAlignment="1" applyBorder="1" applyFill="1" applyFont="1">
      <alignment horizontal="right" shrinkToFit="0" vertical="center" wrapText="1"/>
    </xf>
    <xf borderId="2" fillId="0" fontId="3" numFmtId="0" xfId="0" applyAlignment="1" applyBorder="1" applyFont="1">
      <alignment horizontal="right"/>
    </xf>
    <xf borderId="25" fillId="0" fontId="3" numFmtId="0" xfId="0" applyAlignment="1" applyBorder="1" applyFont="1">
      <alignment horizontal="right" shrinkToFit="0" vertical="center" wrapText="1"/>
    </xf>
    <xf borderId="26" fillId="0" fontId="4" numFmtId="0" xfId="0" applyBorder="1" applyFont="1"/>
    <xf borderId="27" fillId="9" fontId="9" numFmtId="0" xfId="0" applyAlignment="1" applyBorder="1" applyFill="1" applyFont="1">
      <alignment horizontal="center" readingOrder="1" shrinkToFit="0" vertical="center" wrapText="1"/>
    </xf>
    <xf borderId="2" fillId="0" fontId="3" numFmtId="164" xfId="0" applyAlignment="1" applyBorder="1" applyFont="1" applyNumberFormat="1">
      <alignment horizontal="right"/>
    </xf>
    <xf borderId="28" fillId="0" fontId="9" numFmtId="0" xfId="0" applyAlignment="1" applyBorder="1" applyFont="1">
      <alignment horizontal="center" readingOrder="1" shrinkToFit="0" vertical="center" wrapText="1"/>
    </xf>
    <xf borderId="10" fillId="3" fontId="10" numFmtId="0" xfId="0" applyBorder="1" applyFill="1" applyFont="1"/>
    <xf borderId="0" fillId="0" fontId="3" numFmtId="2" xfId="0" applyFont="1" applyNumberFormat="1"/>
    <xf borderId="29" fillId="0" fontId="2" numFmtId="0" xfId="0" applyAlignment="1" applyBorder="1" applyFont="1">
      <alignment horizontal="left" shrinkToFit="0" vertical="center" wrapText="1"/>
    </xf>
    <xf borderId="30" fillId="9" fontId="9" numFmtId="0" xfId="0" applyAlignment="1" applyBorder="1" applyFill="1" applyFont="1">
      <alignment horizontal="center" readingOrder="1" shrinkToFit="0" vertical="center" wrapText="1"/>
    </xf>
    <xf borderId="31" fillId="8" fontId="3" numFmtId="0" xfId="0" applyAlignment="1" applyBorder="1" applyFill="1" applyFont="1">
      <alignment horizontal="right" shrinkToFit="0" vertical="center" wrapText="1"/>
    </xf>
    <xf borderId="10" fillId="3" fontId="1" numFmtId="0" xfId="0" applyBorder="1" applyFill="1" applyFont="1"/>
    <xf borderId="32" fillId="0" fontId="3" numFmtId="0" xfId="0" applyAlignment="1" applyBorder="1" applyFont="1">
      <alignment horizontal="right" shrinkToFit="0" vertical="center" wrapText="1"/>
    </xf>
    <xf borderId="10" fillId="3" fontId="1" numFmtId="0" xfId="0" applyAlignment="1" applyBorder="1" applyFill="1" applyFont="1">
      <alignment horizontal="left" shrinkToFit="0" vertical="top" wrapText="1"/>
    </xf>
    <xf borderId="2" fillId="0" fontId="3" numFmtId="1" xfId="0" applyAlignment="1" applyBorder="1" applyFont="1" applyNumberFormat="1">
      <alignment horizontal="right"/>
    </xf>
    <xf borderId="33" fillId="3" fontId="1" numFmtId="0" xfId="0" applyAlignment="1" applyBorder="1" applyFill="1" applyFont="1">
      <alignment horizontal="center" shrinkToFit="0" vertical="top" wrapText="1"/>
    </xf>
    <xf borderId="34" fillId="0" fontId="4" numFmtId="0" xfId="0" applyBorder="1" applyFont="1"/>
    <xf borderId="35" fillId="0" fontId="4" numFmtId="0" xfId="0" applyBorder="1" applyFont="1"/>
    <xf borderId="2" fillId="6" fontId="3" numFmtId="1" xfId="0" applyAlignment="1" applyBorder="1" applyFill="1" applyFont="1" applyNumberFormat="1">
      <alignment horizontal="right"/>
    </xf>
    <xf borderId="36" fillId="3" fontId="1" numFmtId="0" xfId="0" applyAlignment="1" applyBorder="1" applyFill="1" applyFont="1">
      <alignment horizontal="center" shrinkToFit="0" wrapText="1"/>
    </xf>
    <xf borderId="37" fillId="0" fontId="4" numFmtId="0" xfId="0" applyBorder="1" applyFont="1"/>
    <xf borderId="38" fillId="0" fontId="4" numFmtId="0" xfId="0" applyBorder="1" applyFont="1"/>
    <xf borderId="39" fillId="0" fontId="1" numFmtId="0" xfId="0" applyBorder="1" applyFont="1"/>
    <xf borderId="2" fillId="9" fontId="3" numFmtId="0" xfId="0" applyAlignment="1" applyBorder="1" applyFill="1" applyFont="1">
      <alignment shrinkToFit="0" wrapText="1"/>
    </xf>
    <xf borderId="2" fillId="0" fontId="3" numFmtId="165" xfId="0" applyAlignment="1" applyBorder="1" applyFont="1" applyNumberFormat="1">
      <alignment horizontal="right" shrinkToFit="0" wrapText="1"/>
    </xf>
    <xf borderId="2" fillId="0" fontId="3" numFmtId="1" xfId="0" applyAlignment="1" applyBorder="1" applyFont="1" applyNumberFormat="1">
      <alignment shrinkToFit="0" wrapText="1"/>
    </xf>
    <xf borderId="2" fillId="10" fontId="3" numFmtId="0" xfId="0" applyAlignment="1" applyBorder="1" applyFill="1" applyFont="1">
      <alignment horizontal="right" shrinkToFit="0" wrapText="1"/>
    </xf>
    <xf borderId="2" fillId="0" fontId="3" numFmtId="3" xfId="0" applyAlignment="1" applyBorder="1" applyFont="1" applyNumberFormat="1">
      <alignment horizontal="right" shrinkToFit="0" wrapText="1"/>
    </xf>
    <xf borderId="0" fillId="0" fontId="5" numFmtId="3" xfId="0" applyFont="1" applyNumberFormat="1"/>
    <xf borderId="2" fillId="6" fontId="3" numFmtId="9" xfId="0" applyAlignment="1" applyBorder="1" applyFill="1" applyFont="1" applyNumberFormat="1">
      <alignment horizontal="right"/>
    </xf>
    <xf borderId="2" fillId="6" fontId="3" numFmtId="0" xfId="0" applyAlignment="1" applyBorder="1" applyFill="1" applyFont="1">
      <alignment horizontal="right" shrinkToFit="0" wrapText="1"/>
    </xf>
    <xf borderId="40" fillId="3" fontId="2" numFmtId="0" xfId="0" applyAlignment="1" applyBorder="1" applyFill="1" applyFont="1">
      <alignment horizontal="center"/>
    </xf>
    <xf borderId="41" fillId="0" fontId="4" numFmtId="0" xfId="0" applyBorder="1" applyFont="1"/>
    <xf borderId="42" fillId="0" fontId="4" numFmtId="0" xfId="0" applyBorder="1" applyFont="1"/>
    <xf borderId="2" fillId="11" fontId="3" numFmtId="3" xfId="0" applyAlignment="1" applyBorder="1" applyFill="1" applyFont="1" applyNumberFormat="1">
      <alignment horizontal="right" shrinkToFit="0" wrapText="1"/>
    </xf>
    <xf borderId="43" fillId="0" fontId="3" numFmtId="0" xfId="0" applyAlignment="1" applyBorder="1" applyFont="1">
      <alignment shrinkToFit="0" vertical="top" wrapText="1"/>
    </xf>
    <xf borderId="44" fillId="0" fontId="4" numFmtId="0" xfId="0" applyBorder="1" applyFont="1"/>
    <xf borderId="2" fillId="0" fontId="3" numFmtId="164" xfId="0" applyAlignment="1" applyBorder="1" applyFont="1" applyNumberFormat="1">
      <alignment shrinkToFit="0" wrapText="1"/>
    </xf>
    <xf borderId="5" fillId="0" fontId="3" numFmtId="0" xfId="0" applyAlignment="1" applyBorder="1" applyFont="1">
      <alignment shrinkToFit="0" vertical="top" wrapText="1"/>
    </xf>
    <xf borderId="2" fillId="6" fontId="3" numFmtId="164" xfId="0" applyAlignment="1" applyBorder="1" applyFill="1" applyFont="1" applyNumberFormat="1">
      <alignment horizontal="right"/>
    </xf>
    <xf borderId="45" fillId="0" fontId="3" numFmtId="0" xfId="0" applyAlignment="1" applyBorder="1" applyFont="1">
      <alignment shrinkToFit="0" vertical="top" wrapText="1"/>
    </xf>
    <xf borderId="46" fillId="0" fontId="4" numFmtId="0" xfId="0" applyBorder="1" applyFont="1"/>
    <xf borderId="2" fillId="0" fontId="3" numFmtId="9" xfId="0" applyAlignment="1" applyBorder="1" applyFont="1" applyNumberFormat="1">
      <alignment shrinkToFit="0" wrapText="1"/>
    </xf>
    <xf borderId="47" fillId="0" fontId="4" numFmtId="0" xfId="0" applyBorder="1" applyFont="1"/>
    <xf borderId="2" fillId="6" fontId="3" numFmtId="9" xfId="0" applyAlignment="1" applyBorder="1" applyFill="1" applyFont="1" applyNumberFormat="1">
      <alignment horizontal="right" shrinkToFit="0" wrapText="1"/>
    </xf>
    <xf borderId="2" fillId="10" fontId="5" numFmtId="9" xfId="0" applyBorder="1" applyFill="1" applyFont="1" applyNumberFormat="1"/>
    <xf borderId="2" fillId="0" fontId="2" numFmtId="0" xfId="0" applyAlignment="1" applyBorder="1" applyFont="1">
      <alignment shrinkToFit="0" wrapText="1"/>
    </xf>
    <xf borderId="2" fillId="0" fontId="2" numFmtId="164" xfId="0" applyAlignment="1" applyBorder="1" applyFont="1" applyNumberFormat="1">
      <alignment horizontal="right"/>
    </xf>
    <xf borderId="2" fillId="0" fontId="2" numFmtId="0" xfId="0" applyBorder="1" applyFont="1"/>
    <xf borderId="2" fillId="6" fontId="3" numFmtId="166" xfId="0" applyAlignment="1" applyBorder="1" applyFill="1" applyFont="1" applyNumberFormat="1">
      <alignment horizontal="right"/>
    </xf>
    <xf borderId="48" fillId="3" fontId="2" numFmtId="0" xfId="0" applyAlignment="1" applyBorder="1" applyFill="1" applyFont="1">
      <alignment horizontal="center"/>
    </xf>
    <xf borderId="49" fillId="0" fontId="4" numFmtId="0" xfId="0" applyBorder="1" applyFont="1"/>
    <xf borderId="50" fillId="0" fontId="4" numFmtId="0" xfId="0" applyBorder="1" applyFont="1"/>
    <xf borderId="17" fillId="0" fontId="2" numFmtId="0" xfId="0" applyBorder="1" applyFont="1"/>
    <xf borderId="19" fillId="0" fontId="3" numFmtId="0" xfId="0" applyBorder="1" applyFont="1"/>
    <xf borderId="20" fillId="0" fontId="3" numFmtId="0" xfId="0" applyAlignment="1" applyBorder="1" applyFont="1">
      <alignment horizontal="right"/>
    </xf>
    <xf borderId="2" fillId="0" fontId="3" numFmtId="167" xfId="0" applyAlignment="1" applyBorder="1" applyFont="1" applyNumberFormat="1">
      <alignment horizontal="right"/>
    </xf>
    <xf borderId="22" fillId="0" fontId="2" numFmtId="0" xfId="0" applyBorder="1" applyFont="1"/>
    <xf borderId="2" fillId="0" fontId="3" numFmtId="168" xfId="0" applyBorder="1" applyFont="1" applyNumberFormat="1"/>
    <xf borderId="51" fillId="0" fontId="3" numFmtId="0" xfId="0" applyAlignment="1" applyBorder="1" applyFont="1">
      <alignment horizontal="right"/>
    </xf>
    <xf borderId="2" fillId="0" fontId="3" numFmtId="169" xfId="0" applyAlignment="1" applyBorder="1" applyFont="1" applyNumberFormat="1">
      <alignment horizontal="right"/>
    </xf>
    <xf borderId="52" fillId="0" fontId="2" numFmtId="0" xfId="0" applyAlignment="1" applyBorder="1" applyFont="1">
      <alignment horizontal="center" shrinkToFit="0" vertical="center" wrapText="1"/>
    </xf>
    <xf borderId="2" fillId="6" fontId="3" numFmtId="170" xfId="0" applyAlignment="1" applyBorder="1" applyFill="1" applyFont="1" applyNumberFormat="1">
      <alignment horizontal="right"/>
    </xf>
    <xf borderId="0" fillId="0" fontId="5" numFmtId="171" xfId="0" applyFont="1" applyNumberFormat="1"/>
    <xf borderId="19" fillId="0" fontId="3" numFmtId="2" xfId="0" applyAlignment="1" applyBorder="1" applyFont="1" applyNumberFormat="1">
      <alignment horizontal="right" shrinkToFit="0" vertical="center" wrapText="1"/>
    </xf>
    <xf borderId="0" fillId="0" fontId="5" numFmtId="168" xfId="0" applyFont="1" applyNumberFormat="1"/>
    <xf borderId="53" fillId="0" fontId="4" numFmtId="0" xfId="0" applyBorder="1" applyFont="1"/>
    <xf borderId="2" fillId="0" fontId="3" numFmtId="2" xfId="0" applyAlignment="1" applyBorder="1" applyFont="1" applyNumberFormat="1">
      <alignment horizontal="right" shrinkToFit="0" wrapText="1"/>
    </xf>
    <xf borderId="51" fillId="0" fontId="3" numFmtId="0" xfId="0" applyAlignment="1" applyBorder="1" applyFont="1">
      <alignment horizontal="right" shrinkToFit="0" wrapText="1"/>
    </xf>
    <xf borderId="54" fillId="0" fontId="4" numFmtId="0" xfId="0" applyBorder="1" applyFont="1"/>
    <xf borderId="2" fillId="0" fontId="3" numFmtId="168" xfId="0" applyAlignment="1" applyBorder="1" applyFont="1" applyNumberFormat="1">
      <alignment horizontal="right" shrinkToFit="0" wrapText="1"/>
    </xf>
    <xf borderId="22" fillId="0" fontId="2" numFmtId="0" xfId="0" applyAlignment="1" applyBorder="1" applyFont="1">
      <alignment horizontal="center" shrinkToFit="0" vertical="center" wrapText="1"/>
    </xf>
    <xf borderId="2" fillId="0" fontId="3" numFmtId="2" xfId="0" applyAlignment="1" applyBorder="1" applyFont="1" applyNumberFormat="1">
      <alignment horizontal="right" shrinkToFit="0" vertical="center" wrapText="1"/>
    </xf>
    <xf borderId="51" fillId="0" fontId="3" numFmtId="0" xfId="0" applyAlignment="1" applyBorder="1" applyFont="1">
      <alignment horizontal="right" shrinkToFit="0" vertical="center" wrapText="1"/>
    </xf>
    <xf borderId="0" fillId="0" fontId="5" numFmtId="172" xfId="0" applyFont="1" applyNumberFormat="1"/>
    <xf borderId="2" fillId="0" fontId="3" numFmtId="173" xfId="0" applyAlignment="1" applyBorder="1" applyFont="1" applyNumberFormat="1">
      <alignment horizontal="right" shrinkToFit="0" vertical="center" wrapText="1"/>
    </xf>
    <xf borderId="55" fillId="0" fontId="3" numFmtId="0" xfId="0" applyBorder="1" applyFont="1"/>
    <xf borderId="55" fillId="0" fontId="3" numFmtId="0" xfId="0" applyAlignment="1" applyBorder="1" applyFont="1">
      <alignment shrinkToFit="0" wrapText="1"/>
    </xf>
    <xf borderId="56" fillId="6" fontId="3" numFmtId="3" xfId="0" applyAlignment="1" applyBorder="1" applyFill="1" applyFont="1" applyNumberFormat="1">
      <alignment horizontal="right"/>
    </xf>
    <xf borderId="56" fillId="6" fontId="3" numFmtId="0" xfId="0" applyBorder="1" applyFill="1" applyFont="1"/>
    <xf borderId="56" fillId="6" fontId="3" numFmtId="0" xfId="0" applyAlignment="1" applyBorder="1" applyFill="1" applyFont="1">
      <alignment horizontal="right"/>
    </xf>
    <xf borderId="55" fillId="0" fontId="3" numFmtId="0" xfId="0" applyAlignment="1" applyBorder="1" applyFont="1">
      <alignment horizontal="right"/>
    </xf>
    <xf borderId="55" fillId="0" fontId="3" numFmtId="164" xfId="0" applyAlignment="1" applyBorder="1" applyFont="1" applyNumberFormat="1">
      <alignment horizontal="right"/>
    </xf>
    <xf borderId="57" fillId="0" fontId="2" numFmtId="0" xfId="0" applyAlignment="1" applyBorder="1" applyFont="1">
      <alignment horizontal="center" shrinkToFit="0" vertical="center" wrapText="1"/>
    </xf>
    <xf borderId="2" fillId="0" fontId="3" numFmtId="1" xfId="0" applyAlignment="1" applyBorder="1" applyFont="1" applyNumberFormat="1">
      <alignment horizontal="right" shrinkToFit="0" vertical="center" wrapText="1"/>
    </xf>
    <xf borderId="55" fillId="0" fontId="3" numFmtId="165" xfId="0" applyAlignment="1" applyBorder="1" applyFont="1" applyNumberFormat="1">
      <alignment horizontal="right" shrinkToFit="0" wrapText="1"/>
    </xf>
    <xf borderId="2" fillId="6" fontId="11" numFmtId="164" xfId="0" applyAlignment="1" applyBorder="1" applyFill="1" applyFont="1" applyNumberFormat="1">
      <alignment horizontal="right" shrinkToFit="0" wrapText="1"/>
    </xf>
    <xf borderId="5" fillId="0" fontId="2" numFmtId="0" xfId="0" applyBorder="1" applyFont="1"/>
    <xf borderId="9" fillId="0" fontId="2" numFmtId="164" xfId="0" applyAlignment="1" applyBorder="1" applyFont="1" applyNumberFormat="1">
      <alignment horizontal="right"/>
    </xf>
    <xf borderId="9" fillId="0" fontId="2" numFmtId="165" xfId="0" applyAlignment="1" applyBorder="1" applyFont="1" applyNumberFormat="1">
      <alignment horizontal="right" shrinkToFit="0" wrapText="1"/>
    </xf>
    <xf borderId="2" fillId="0" fontId="3" numFmtId="9" xfId="0" applyAlignment="1" applyBorder="1" applyFont="1" applyNumberFormat="1">
      <alignment horizontal="right" shrinkToFit="0" vertical="center" wrapText="1"/>
    </xf>
    <xf borderId="0" fillId="0" fontId="5" numFmtId="164" xfId="0" applyFont="1" applyNumberFormat="1"/>
    <xf borderId="0" fillId="0" fontId="5" numFmtId="165" xfId="0" applyFont="1" applyNumberFormat="1"/>
    <xf borderId="29" fillId="0" fontId="4" numFmtId="0" xfId="0" applyBorder="1" applyFont="1"/>
    <xf borderId="58" fillId="0" fontId="3" numFmtId="2" xfId="0" applyAlignment="1" applyBorder="1" applyFont="1" applyNumberFormat="1">
      <alignment horizontal="right" shrinkToFit="0" vertical="center" wrapText="1"/>
    </xf>
    <xf borderId="59" fillId="0" fontId="3" numFmtId="0" xfId="0" applyAlignment="1" applyBorder="1" applyFont="1">
      <alignment horizontal="right" shrinkToFit="0" vertical="center" wrapText="1"/>
    </xf>
    <xf borderId="54" fillId="0" fontId="2" numFmtId="0" xfId="0" applyAlignment="1" applyBorder="1" applyFont="1">
      <alignment horizontal="center" shrinkToFit="0" wrapText="1"/>
    </xf>
    <xf borderId="60" fillId="0" fontId="2" numFmtId="0" xfId="0" applyAlignment="1" applyBorder="1" applyFont="1">
      <alignment horizontal="center" shrinkToFit="0" wrapText="1"/>
    </xf>
    <xf borderId="60" fillId="0" fontId="2" numFmtId="1" xfId="0" applyAlignment="1" applyBorder="1" applyFont="1" applyNumberFormat="1">
      <alignment horizontal="center" shrinkToFit="0" wrapText="1"/>
    </xf>
    <xf borderId="25" fillId="0" fontId="2" numFmtId="164" xfId="0" applyAlignment="1" applyBorder="1" applyFont="1" applyNumberFormat="1">
      <alignment horizontal="center" shrinkToFit="0" wrapText="1"/>
    </xf>
    <xf borderId="22" fillId="0" fontId="3" numFmtId="0" xfId="0" applyBorder="1" applyFont="1"/>
    <xf borderId="61" fillId="0" fontId="3" numFmtId="0" xfId="0" applyAlignment="1" applyBorder="1" applyFont="1">
      <alignment horizontal="left" shrinkToFit="0" vertical="top" wrapText="1"/>
    </xf>
    <xf borderId="62" fillId="0" fontId="4" numFmtId="0" xfId="0" applyBorder="1" applyFont="1"/>
    <xf borderId="63" fillId="0" fontId="4" numFmtId="0" xfId="0" applyBorder="1" applyFont="1"/>
    <xf borderId="0" fillId="0" fontId="11" numFmtId="0" xfId="0" applyFont="1"/>
    <xf borderId="51" fillId="0" fontId="3" numFmtId="164" xfId="0" applyAlignment="1" applyBorder="1" applyFont="1" applyNumberFormat="1">
      <alignment horizontal="right"/>
    </xf>
    <xf borderId="43" fillId="0" fontId="4" numFmtId="0" xfId="0" applyBorder="1" applyFont="1"/>
    <xf borderId="2" fillId="0" fontId="3" numFmtId="164" xfId="0" applyBorder="1" applyFont="1" applyNumberFormat="1"/>
    <xf borderId="45" fillId="0" fontId="4" numFmtId="0" xfId="0" applyBorder="1" applyFont="1"/>
    <xf borderId="2" fillId="6" fontId="3" numFmtId="2" xfId="0" applyAlignment="1" applyBorder="1" applyFill="1" applyFont="1" applyNumberFormat="1">
      <alignment horizontal="right"/>
    </xf>
    <xf borderId="2" fillId="12" fontId="12" numFmtId="164" xfId="0" applyBorder="1" applyFill="1" applyFont="1" applyNumberFormat="1"/>
    <xf borderId="2" fillId="12" fontId="12" numFmtId="167" xfId="0" applyAlignment="1" applyBorder="1" applyFill="1" applyFont="1" applyNumberFormat="1">
      <alignment horizontal="right"/>
    </xf>
    <xf borderId="2" fillId="12" fontId="12" numFmtId="164" xfId="0" applyAlignment="1" applyBorder="1" applyFill="1" applyFont="1" applyNumberFormat="1">
      <alignment horizontal="right"/>
    </xf>
    <xf borderId="2" fillId="0" fontId="2" numFmtId="167" xfId="0" applyBorder="1" applyFont="1" applyNumberFormat="1"/>
    <xf borderId="2" fillId="0" fontId="2" numFmtId="167" xfId="0" applyAlignment="1" applyBorder="1" applyFont="1" applyNumberFormat="1">
      <alignment horizontal="right"/>
    </xf>
    <xf borderId="57" fillId="0" fontId="3" numFmtId="0" xfId="0" applyBorder="1" applyFont="1"/>
    <xf borderId="55" fillId="0" fontId="3" numFmtId="172" xfId="0" applyBorder="1" applyFont="1" applyNumberFormat="1"/>
    <xf borderId="56" fillId="6" fontId="3" numFmtId="1" xfId="0" applyAlignment="1" applyBorder="1" applyFill="1" applyFont="1" applyNumberFormat="1">
      <alignment horizontal="right"/>
    </xf>
    <xf borderId="56" fillId="6" fontId="3" numFmtId="0" xfId="0" applyAlignment="1" applyBorder="1" applyFill="1" applyFont="1">
      <alignment horizontal="center"/>
    </xf>
    <xf borderId="58" fillId="6" fontId="3" numFmtId="0" xfId="0" applyAlignment="1" applyBorder="1" applyFill="1" applyFont="1">
      <alignment horizontal="right"/>
    </xf>
    <xf borderId="56" fillId="6" fontId="11" numFmtId="1" xfId="0" applyAlignment="1" applyBorder="1" applyFill="1" applyFont="1" applyNumberFormat="1">
      <alignment horizontal="right"/>
    </xf>
    <xf borderId="64" fillId="0" fontId="3" numFmtId="164" xfId="0" applyAlignment="1" applyBorder="1" applyFont="1" applyNumberFormat="1">
      <alignment horizontal="right"/>
    </xf>
    <xf borderId="3" fillId="0" fontId="2" numFmtId="0" xfId="0" applyBorder="1" applyFont="1"/>
    <xf borderId="3" fillId="0" fontId="5" numFmtId="0" xfId="0" applyBorder="1" applyFont="1"/>
    <xf borderId="4" fillId="0" fontId="5" numFmtId="0" xfId="0" applyBorder="1" applyFont="1"/>
    <xf borderId="7" fillId="0" fontId="5" numFmtId="0" xfId="0" applyBorder="1" applyFont="1"/>
    <xf borderId="8" fillId="0" fontId="2" numFmtId="164" xfId="0" applyAlignment="1" applyBorder="1" applyFont="1" applyNumberFormat="1">
      <alignment horizontal="center"/>
    </xf>
    <xf borderId="65" fillId="0" fontId="3" numFmtId="0" xfId="0" applyAlignment="1" applyBorder="1" applyFont="1">
      <alignment shrinkToFit="0" wrapText="1"/>
    </xf>
    <xf borderId="66" fillId="0" fontId="4" numFmtId="0" xfId="0" applyBorder="1" applyFont="1"/>
    <xf borderId="67" fillId="0" fontId="4" numFmtId="0" xfId="0" applyBorder="1" applyFont="1"/>
    <xf borderId="3" fillId="0" fontId="3" numFmtId="0" xfId="0" applyAlignment="1" applyBorder="1" applyFont="1">
      <alignment shrinkToFit="0" wrapText="1"/>
    </xf>
    <xf borderId="3" fillId="0" fontId="3" numFmtId="0" xfId="0" applyAlignment="1" applyBorder="1" applyFont="1">
      <alignment readingOrder="0" shrinkToFit="0" wrapText="1"/>
    </xf>
    <xf borderId="68" fillId="0" fontId="3" numFmtId="0" xfId="0" applyAlignment="1" applyBorder="1" applyFont="1">
      <alignment shrinkToFit="0" wrapText="1"/>
    </xf>
    <xf borderId="69" fillId="0" fontId="4" numFmtId="0" xfId="0" applyBorder="1" applyFont="1"/>
    <xf borderId="70" fillId="0" fontId="4" numFmtId="0" xfId="0" applyBorder="1" applyFont="1"/>
    <xf borderId="5" fillId="0" fontId="3" numFmtId="0" xfId="0" applyAlignment="1" applyBorder="1" applyFont="1">
      <alignment shrinkToFit="0" wrapText="1"/>
    </xf>
    <xf borderId="0" fillId="0" fontId="5" numFmtId="174" xfId="0" applyFont="1" applyNumberFormat="1"/>
    <xf borderId="0" fillId="0" fontId="5" numFmtId="1" xfId="0" applyFont="1" applyNumberFormat="1"/>
    <xf borderId="33" fillId="13" fontId="13" numFmtId="0" xfId="0" applyBorder="1" applyFill="1" applyFont="1"/>
    <xf borderId="33" fillId="10" fontId="14" numFmtId="0" xfId="0" applyAlignment="1" applyBorder="1" applyFill="1" applyFont="1">
      <alignment shrinkToFit="0" wrapText="1"/>
    </xf>
    <xf borderId="33" fillId="13" fontId="15" numFmtId="1" xfId="0" applyBorder="1" applyFill="1" applyFont="1" applyNumberFormat="1"/>
    <xf borderId="33" fillId="13" fontId="16" numFmtId="0" xfId="0" applyBorder="1" applyFill="1" applyFont="1"/>
    <xf borderId="33" fillId="13" fontId="15" numFmtId="0" xfId="0" applyBorder="1" applyFill="1" applyFont="1"/>
    <xf borderId="71" fillId="14" fontId="2" numFmtId="1" xfId="0" applyBorder="1" applyFill="1" applyFont="1" applyNumberFormat="1"/>
    <xf borderId="0" fillId="0" fontId="17" numFmtId="0" xfId="0" applyFont="1"/>
    <xf borderId="71" fillId="14" fontId="2" numFmtId="0" xfId="0" applyBorder="1" applyFill="1" applyFont="1"/>
    <xf borderId="71" fillId="0" fontId="3" numFmtId="1" xfId="0" applyBorder="1" applyFont="1" applyNumberFormat="1"/>
    <xf borderId="0" fillId="0" fontId="9" numFmtId="0" xfId="0" applyFont="1"/>
    <xf borderId="33" fillId="10" fontId="17" numFmtId="0" xfId="0" applyBorder="1" applyFill="1" applyFont="1"/>
    <xf borderId="71" fillId="15" fontId="3" numFmtId="175" xfId="0" applyAlignment="1" applyBorder="1" applyFill="1" applyFont="1" applyNumberFormat="1">
      <alignment horizontal="right"/>
    </xf>
    <xf borderId="71" fillId="0" fontId="3" numFmtId="1" xfId="0" applyAlignment="1" applyBorder="1" applyFont="1" applyNumberFormat="1">
      <alignment shrinkToFit="0" wrapText="1"/>
    </xf>
    <xf borderId="33" fillId="13" fontId="18" numFmtId="0" xfId="0" applyBorder="1" applyFill="1" applyFont="1"/>
    <xf borderId="71" fillId="0" fontId="3" numFmtId="175" xfId="0" applyAlignment="1" applyBorder="1" applyFont="1" applyNumberFormat="1">
      <alignment horizontal="right"/>
    </xf>
    <xf borderId="71" fillId="13" fontId="19" numFmtId="0" xfId="0" applyAlignment="1" applyBorder="1" applyFill="1" applyFont="1">
      <alignment shrinkToFit="0" wrapText="1"/>
    </xf>
    <xf borderId="71" fillId="0" fontId="3" numFmtId="0" xfId="0" applyBorder="1" applyFont="1"/>
    <xf borderId="71" fillId="15" fontId="3" numFmtId="1" xfId="0" applyAlignment="1" applyBorder="1" applyFill="1" applyFont="1" applyNumberFormat="1">
      <alignment horizontal="right"/>
    </xf>
    <xf borderId="71" fillId="0" fontId="3" numFmtId="1" xfId="0" applyAlignment="1" applyBorder="1" applyFont="1" applyNumberFormat="1">
      <alignment horizontal="right"/>
    </xf>
    <xf borderId="71" fillId="16" fontId="5" numFmtId="0" xfId="0" applyBorder="1" applyFill="1" applyFont="1"/>
    <xf borderId="71" fillId="13" fontId="19" numFmtId="164" xfId="0" applyAlignment="1" applyBorder="1" applyFill="1" applyFont="1" applyNumberFormat="1">
      <alignment shrinkToFit="0" wrapText="1"/>
    </xf>
    <xf borderId="71" fillId="0" fontId="3" numFmtId="165" xfId="0" applyAlignment="1" applyBorder="1" applyFont="1" applyNumberFormat="1">
      <alignment horizontal="right"/>
    </xf>
    <xf borderId="71" fillId="15" fontId="3" numFmtId="3" xfId="0" applyAlignment="1" applyBorder="1" applyFill="1" applyFont="1" applyNumberFormat="1">
      <alignment horizontal="right"/>
    </xf>
    <xf borderId="71" fillId="17" fontId="5" numFmtId="0" xfId="0" applyBorder="1" applyFill="1" applyFont="1"/>
    <xf borderId="71" fillId="15" fontId="3" numFmtId="176" xfId="0" applyAlignment="1" applyBorder="1" applyFill="1" applyFont="1" applyNumberFormat="1">
      <alignment horizontal="right"/>
    </xf>
    <xf borderId="71" fillId="0" fontId="3" numFmtId="176" xfId="0" applyAlignment="1" applyBorder="1" applyFont="1" applyNumberFormat="1">
      <alignment horizontal="right"/>
    </xf>
    <xf borderId="71" fillId="18" fontId="5" numFmtId="0" xfId="0" applyBorder="1" applyFill="1" applyFont="1"/>
    <xf borderId="71" fillId="0" fontId="3" numFmtId="168" xfId="0" applyBorder="1" applyFont="1" applyNumberFormat="1"/>
    <xf borderId="71" fillId="0" fontId="3" numFmtId="177" xfId="0" applyAlignment="1" applyBorder="1" applyFont="1" applyNumberFormat="1">
      <alignment horizontal="right"/>
    </xf>
    <xf borderId="71" fillId="19" fontId="5" numFmtId="0" xfId="0" applyBorder="1" applyFill="1" applyFont="1"/>
    <xf borderId="71" fillId="0" fontId="3" numFmtId="172" xfId="0" applyBorder="1" applyFont="1" applyNumberFormat="1"/>
    <xf borderId="71" fillId="0" fontId="3" numFmtId="178" xfId="0" applyBorder="1" applyFont="1" applyNumberFormat="1"/>
    <xf borderId="71" fillId="20" fontId="5" numFmtId="0" xfId="0" applyBorder="1" applyFill="1" applyFont="1"/>
    <xf borderId="72" fillId="0" fontId="3" numFmtId="1" xfId="0" applyBorder="1" applyFont="1" applyNumberFormat="1"/>
    <xf borderId="72" fillId="0" fontId="3" numFmtId="1" xfId="0" applyAlignment="1" applyBorder="1" applyFont="1" applyNumberFormat="1">
      <alignment horizontal="right"/>
    </xf>
    <xf borderId="72" fillId="0" fontId="3" numFmtId="1" xfId="0" applyAlignment="1" applyBorder="1" applyFont="1" applyNumberFormat="1">
      <alignment shrinkToFit="0" wrapText="1"/>
    </xf>
    <xf borderId="71" fillId="15" fontId="5" numFmtId="0" xfId="0" applyBorder="1" applyFill="1" applyFont="1"/>
    <xf borderId="73" fillId="0" fontId="3" numFmtId="1" xfId="0" applyBorder="1" applyFont="1" applyNumberFormat="1"/>
    <xf borderId="73" fillId="0" fontId="3" numFmtId="168" xfId="0" applyAlignment="1" applyBorder="1" applyFont="1" applyNumberFormat="1">
      <alignment horizontal="right"/>
    </xf>
    <xf borderId="73" fillId="0" fontId="3" numFmtId="1" xfId="0" applyAlignment="1" applyBorder="1" applyFont="1" applyNumberFormat="1">
      <alignment shrinkToFit="0" wrapText="1"/>
    </xf>
    <xf borderId="74" fillId="13" fontId="15" numFmtId="0" xfId="0" applyBorder="1" applyFill="1" applyFont="1"/>
    <xf borderId="75" fillId="0" fontId="4" numFmtId="0" xfId="0" applyBorder="1" applyFont="1"/>
    <xf borderId="76" fillId="0" fontId="4" numFmtId="0" xfId="0" applyBorder="1" applyFont="1"/>
    <xf borderId="0" fillId="0" fontId="3" numFmtId="1" xfId="0" applyFont="1" applyNumberFormat="1"/>
    <xf borderId="0" fillId="0" fontId="3" numFmtId="1" xfId="0" applyAlignment="1" applyFont="1" applyNumberFormat="1">
      <alignment horizontal="right"/>
    </xf>
    <xf borderId="33" fillId="21" fontId="20" numFmtId="1" xfId="0" applyBorder="1" applyFill="1" applyFont="1" applyNumberFormat="1"/>
    <xf borderId="10" fillId="21" fontId="20" numFmtId="1" xfId="0" applyBorder="1" applyFill="1" applyFont="1" applyNumberFormat="1"/>
    <xf borderId="10" fillId="21" fontId="5" numFmtId="1" xfId="0" applyBorder="1" applyFill="1" applyFont="1" applyNumberFormat="1"/>
    <xf borderId="10" fillId="21" fontId="3" numFmtId="1" xfId="0" applyBorder="1" applyFill="1" applyFont="1" applyNumberFormat="1"/>
    <xf borderId="77" fillId="13" fontId="15" numFmtId="1" xfId="0" applyAlignment="1" applyBorder="1" applyFill="1" applyFont="1" applyNumberFormat="1">
      <alignment shrinkToFit="0" wrapText="1"/>
    </xf>
    <xf borderId="77" fillId="0" fontId="5" numFmtId="1" xfId="0" applyBorder="1" applyFont="1" applyNumberFormat="1"/>
    <xf borderId="77" fillId="0" fontId="3" numFmtId="1" xfId="0" applyAlignment="1" applyBorder="1" applyFont="1" applyNumberFormat="1">
      <alignment horizontal="right"/>
    </xf>
    <xf borderId="77" fillId="16" fontId="3" numFmtId="1" xfId="0" applyBorder="1" applyFill="1" applyFont="1" applyNumberFormat="1"/>
    <xf borderId="77" fillId="0" fontId="3" numFmtId="175" xfId="0" applyAlignment="1" applyBorder="1" applyFont="1" applyNumberFormat="1">
      <alignment horizontal="right"/>
    </xf>
    <xf borderId="33" fillId="22" fontId="21" numFmtId="0" xfId="0" applyAlignment="1" applyBorder="1" applyFill="1" applyFont="1">
      <alignment shrinkToFit="0" wrapText="1"/>
    </xf>
    <xf borderId="77" fillId="0" fontId="3" numFmtId="165" xfId="0" applyAlignment="1" applyBorder="1" applyFont="1" applyNumberFormat="1">
      <alignment horizontal="right"/>
    </xf>
    <xf borderId="71" fillId="13" fontId="17" numFmtId="0" xfId="0" applyBorder="1" applyFill="1" applyFont="1"/>
    <xf borderId="77" fillId="0" fontId="3" numFmtId="1" xfId="0" applyAlignment="1" applyBorder="1" applyFont="1" applyNumberFormat="1">
      <alignment shrinkToFit="0" wrapText="1"/>
    </xf>
    <xf borderId="71" fillId="0" fontId="17" numFmtId="0" xfId="0" applyBorder="1" applyFont="1"/>
    <xf borderId="71" fillId="0" fontId="3" numFmtId="2" xfId="0" applyAlignment="1" applyBorder="1" applyFont="1" applyNumberFormat="1">
      <alignment horizontal="right"/>
    </xf>
    <xf borderId="77" fillId="17" fontId="3" numFmtId="1" xfId="0" applyBorder="1" applyFill="1" applyFont="1" applyNumberFormat="1"/>
    <xf borderId="71" fillId="0" fontId="17" numFmtId="3" xfId="0" applyBorder="1" applyFont="1" applyNumberFormat="1"/>
    <xf borderId="71" fillId="0" fontId="17" numFmtId="176" xfId="0" applyBorder="1" applyFont="1" applyNumberFormat="1"/>
    <xf borderId="71" fillId="0" fontId="17" numFmtId="177" xfId="0" applyBorder="1" applyFont="1" applyNumberFormat="1"/>
    <xf borderId="71" fillId="14" fontId="17" numFmtId="0" xfId="0" applyBorder="1" applyFill="1" applyFont="1"/>
    <xf borderId="71" fillId="14" fontId="17" numFmtId="176" xfId="0" applyBorder="1" applyFill="1" applyFont="1" applyNumberFormat="1"/>
    <xf borderId="71" fillId="14" fontId="2" numFmtId="168" xfId="0" applyAlignment="1" applyBorder="1" applyFill="1" applyFont="1" applyNumberFormat="1">
      <alignment horizontal="right"/>
    </xf>
    <xf borderId="71" fillId="14" fontId="2" numFmtId="177" xfId="0" applyAlignment="1" applyBorder="1" applyFill="1" applyFont="1" applyNumberFormat="1">
      <alignment horizontal="right"/>
    </xf>
    <xf borderId="71" fillId="15" fontId="2" numFmtId="0" xfId="0" applyBorder="1" applyFill="1" applyFont="1"/>
    <xf borderId="71" fillId="15" fontId="17" numFmtId="0" xfId="0" applyBorder="1" applyFill="1" applyFont="1"/>
    <xf borderId="71" fillId="15" fontId="17" numFmtId="176" xfId="0" applyBorder="1" applyFill="1" applyFont="1" applyNumberFormat="1"/>
    <xf borderId="71" fillId="15" fontId="2" numFmtId="168" xfId="0" applyAlignment="1" applyBorder="1" applyFill="1" applyFont="1" applyNumberFormat="1">
      <alignment horizontal="right"/>
    </xf>
    <xf borderId="77" fillId="15" fontId="3" numFmtId="1" xfId="0" applyBorder="1" applyFill="1" applyFont="1" applyNumberFormat="1"/>
    <xf borderId="71" fillId="15" fontId="2" numFmtId="177" xfId="0" applyAlignment="1" applyBorder="1" applyFill="1" applyFont="1" applyNumberFormat="1">
      <alignment horizontal="right"/>
    </xf>
    <xf borderId="77" fillId="18" fontId="3" numFmtId="1" xfId="0" applyBorder="1" applyFill="1" applyFont="1" applyNumberFormat="1"/>
    <xf borderId="78" fillId="13" fontId="22" numFmtId="0" xfId="0" applyAlignment="1" applyBorder="1" applyFill="1" applyFont="1">
      <alignment horizontal="center"/>
    </xf>
    <xf borderId="79" fillId="0" fontId="4" numFmtId="0" xfId="0" applyBorder="1" applyFont="1"/>
    <xf borderId="80" fillId="0" fontId="4" numFmtId="0" xfId="0" applyBorder="1" applyFont="1"/>
    <xf borderId="81" fillId="13" fontId="23" numFmtId="0" xfId="0" applyAlignment="1" applyBorder="1" applyFill="1" applyFont="1">
      <alignment horizontal="center"/>
    </xf>
    <xf borderId="82" fillId="0" fontId="4" numFmtId="0" xfId="0" applyBorder="1" applyFont="1"/>
    <xf borderId="83" fillId="0" fontId="4" numFmtId="0" xfId="0" applyBorder="1" applyFont="1"/>
    <xf borderId="84" fillId="23" fontId="24" numFmtId="0" xfId="0" applyAlignment="1" applyBorder="1" applyFill="1" applyFont="1">
      <alignment horizontal="center"/>
    </xf>
    <xf borderId="84" fillId="24" fontId="3" numFmtId="0" xfId="0" applyBorder="1" applyFill="1" applyFont="1"/>
    <xf borderId="84" fillId="10" fontId="3" numFmtId="0" xfId="0" applyBorder="1" applyFill="1" applyFont="1"/>
    <xf borderId="84" fillId="24" fontId="3" numFmtId="0" xfId="0" applyAlignment="1" applyBorder="1" applyFill="1" applyFont="1">
      <alignment horizontal="right"/>
    </xf>
    <xf borderId="84" fillId="20" fontId="3" numFmtId="0" xfId="0" applyAlignment="1" applyBorder="1" applyFill="1" applyFont="1">
      <alignment horizontal="right"/>
    </xf>
    <xf borderId="84" fillId="24" fontId="3" numFmtId="2" xfId="0" applyAlignment="1" applyBorder="1" applyFill="1" applyFont="1" applyNumberFormat="1">
      <alignment horizontal="right"/>
    </xf>
    <xf borderId="84" fillId="15" fontId="3" numFmtId="0" xfId="0" applyAlignment="1" applyBorder="1" applyFill="1" applyFont="1">
      <alignment horizontal="right"/>
    </xf>
    <xf borderId="84" fillId="15" fontId="3" numFmtId="2" xfId="0" applyAlignment="1" applyBorder="1" applyFill="1" applyFont="1" applyNumberFormat="1">
      <alignment horizontal="right"/>
    </xf>
    <xf borderId="84" fillId="15" fontId="3" numFmtId="2" xfId="0" applyBorder="1" applyFill="1" applyFont="1" applyNumberFormat="1"/>
    <xf borderId="84" fillId="24" fontId="3" numFmtId="176" xfId="0" applyAlignment="1" applyBorder="1" applyFill="1" applyFont="1" applyNumberFormat="1">
      <alignment horizontal="right"/>
    </xf>
    <xf borderId="84" fillId="15" fontId="3" numFmtId="176" xfId="0" applyAlignment="1" applyBorder="1" applyFill="1" applyFont="1" applyNumberFormat="1">
      <alignment horizontal="right"/>
    </xf>
    <xf borderId="84" fillId="25" fontId="3" numFmtId="0" xfId="0" applyBorder="1" applyFill="1" applyFont="1"/>
    <xf borderId="84" fillId="15" fontId="3" numFmtId="0" xfId="0" applyBorder="1" applyFill="1" applyFont="1"/>
    <xf borderId="84" fillId="10" fontId="3" numFmtId="0" xfId="0" applyAlignment="1" applyBorder="1" applyFill="1" applyFont="1">
      <alignment horizontal="right"/>
    </xf>
    <xf borderId="84" fillId="19" fontId="3" numFmtId="0" xfId="0" applyBorder="1" applyFill="1" applyFont="1"/>
    <xf borderId="84" fillId="19" fontId="3" numFmtId="0" xfId="0" applyAlignment="1" applyBorder="1" applyFill="1" applyFont="1">
      <alignment horizontal="right"/>
    </xf>
    <xf borderId="84" fillId="19" fontId="3" numFmtId="176" xfId="0" applyAlignment="1" applyBorder="1" applyFill="1" applyFont="1" applyNumberFormat="1">
      <alignment horizontal="right"/>
    </xf>
    <xf borderId="84" fillId="19" fontId="3" numFmtId="2" xfId="0" applyAlignment="1" applyBorder="1" applyFill="1" applyFont="1" applyNumberFormat="1">
      <alignment horizontal="right"/>
    </xf>
    <xf borderId="85" fillId="13" fontId="15" numFmtId="0" xfId="0" applyBorder="1" applyFill="1" applyFont="1"/>
    <xf borderId="85" fillId="13" fontId="3" numFmtId="0" xfId="0" applyBorder="1" applyFill="1" applyFont="1"/>
    <xf borderId="85" fillId="13" fontId="15" numFmtId="0" xfId="0" applyAlignment="1" applyBorder="1" applyFill="1" applyFont="1">
      <alignment horizontal="right"/>
    </xf>
    <xf borderId="85" fillId="13" fontId="15" numFmtId="176" xfId="0" applyAlignment="1" applyBorder="1" applyFill="1" applyFont="1" applyNumberFormat="1">
      <alignment horizontal="right"/>
    </xf>
    <xf borderId="85" fillId="13" fontId="15" numFmtId="2" xfId="0" applyAlignment="1" applyBorder="1" applyFill="1" applyFont="1" applyNumberFormat="1">
      <alignment horizontal="right"/>
    </xf>
    <xf borderId="46" fillId="0" fontId="25" numFmtId="0" xfId="0" applyAlignment="1" applyBorder="1" applyFont="1">
      <alignment shrinkToFit="0" wrapText="1"/>
    </xf>
    <xf borderId="0" fillId="0" fontId="3" numFmtId="176" xfId="0" applyFont="1" applyNumberFormat="1"/>
    <xf borderId="0" fillId="0" fontId="3" numFmtId="179" xfId="0" applyFont="1" applyNumberFormat="1"/>
    <xf borderId="84" fillId="13" fontId="23" numFmtId="0" xfId="0" applyAlignment="1" applyBorder="1" applyFill="1" applyFont="1">
      <alignment horizontal="center"/>
    </xf>
    <xf borderId="84" fillId="13" fontId="5" numFmtId="0" xfId="0" applyBorder="1" applyFill="1" applyFont="1"/>
    <xf borderId="84" fillId="13" fontId="3" numFmtId="0" xfId="0" applyBorder="1" applyFill="1" applyFont="1"/>
    <xf borderId="0" fillId="0" fontId="3" numFmtId="3" xfId="0" applyFont="1" applyNumberFormat="1"/>
    <xf borderId="84" fillId="15" fontId="3" numFmtId="9" xfId="0" applyBorder="1" applyFill="1" applyFont="1" applyNumberFormat="1"/>
    <xf borderId="0" fillId="0" fontId="3" numFmtId="4" xfId="0" applyFont="1" applyNumberFormat="1"/>
    <xf borderId="0" fillId="0" fontId="3" numFmtId="9" xfId="0" applyFont="1" applyNumberFormat="1"/>
    <xf borderId="33" fillId="20" fontId="26" numFmtId="0" xfId="0" applyBorder="1" applyFill="1" applyFont="1"/>
    <xf borderId="77" fillId="19" fontId="3" numFmtId="1" xfId="0" applyBorder="1" applyFill="1" applyFont="1" applyNumberFormat="1"/>
    <xf borderId="77" fillId="20" fontId="3" numFmtId="1" xfId="0" applyBorder="1" applyFill="1" applyFont="1" applyNumberFormat="1"/>
    <xf borderId="86" fillId="13" fontId="23" numFmtId="0" xfId="0" applyAlignment="1" applyBorder="1" applyFill="1" applyFont="1">
      <alignment horizontal="center"/>
    </xf>
    <xf borderId="87" fillId="0" fontId="4" numFmtId="0" xfId="0" applyBorder="1" applyFont="1"/>
    <xf borderId="84" fillId="24" fontId="3" numFmtId="1" xfId="0" applyAlignment="1" applyBorder="1" applyFill="1" applyFont="1" applyNumberFormat="1">
      <alignment horizontal="right"/>
    </xf>
    <xf borderId="84" fillId="15" fontId="3" numFmtId="168" xfId="0" applyAlignment="1" applyBorder="1" applyFill="1" applyFont="1" applyNumberFormat="1">
      <alignment horizontal="right"/>
    </xf>
    <xf borderId="84" fillId="15" fontId="3" numFmtId="1" xfId="0" applyAlignment="1" applyBorder="1" applyFill="1" applyFont="1" applyNumberFormat="1">
      <alignment horizontal="right"/>
    </xf>
    <xf borderId="84" fillId="24" fontId="3" numFmtId="3" xfId="0" applyAlignment="1" applyBorder="1" applyFill="1" applyFont="1" applyNumberFormat="1">
      <alignment horizontal="right"/>
    </xf>
    <xf borderId="84" fillId="15" fontId="5" numFmtId="9" xfId="0" applyBorder="1" applyFill="1" applyFont="1" applyNumberFormat="1"/>
    <xf borderId="84" fillId="15" fontId="5" numFmtId="0" xfId="0" applyBorder="1" applyFill="1" applyFont="1"/>
    <xf borderId="84" fillId="24" fontId="5" numFmtId="0" xfId="0" applyBorder="1" applyFill="1" applyFont="1"/>
    <xf borderId="84" fillId="10" fontId="5" numFmtId="0" xfId="0" applyBorder="1" applyFill="1" applyFont="1"/>
    <xf borderId="84" fillId="10" fontId="5" numFmtId="1" xfId="0" applyBorder="1" applyFill="1" applyFont="1" applyNumberFormat="1"/>
    <xf borderId="84" fillId="15" fontId="5" numFmtId="168" xfId="0" applyBorder="1" applyFill="1" applyFont="1" applyNumberFormat="1"/>
    <xf borderId="84" fillId="19" fontId="5" numFmtId="0" xfId="0" applyBorder="1" applyFill="1" applyFont="1"/>
    <xf borderId="84" fillId="19" fontId="3" numFmtId="1" xfId="0" applyAlignment="1" applyBorder="1" applyFill="1" applyFont="1" applyNumberFormat="1">
      <alignment horizontal="right"/>
    </xf>
    <xf borderId="84" fillId="19" fontId="3" numFmtId="168" xfId="0" applyAlignment="1" applyBorder="1" applyFill="1" applyFont="1" applyNumberFormat="1">
      <alignment horizontal="right"/>
    </xf>
    <xf borderId="85" fillId="13" fontId="5" numFmtId="0" xfId="0" applyBorder="1" applyFill="1" applyFont="1"/>
    <xf borderId="85" fillId="13" fontId="15" numFmtId="168" xfId="0" applyAlignment="1" applyBorder="1" applyFill="1" applyFont="1" applyNumberFormat="1">
      <alignment horizontal="right"/>
    </xf>
    <xf borderId="88" fillId="2" fontId="2" numFmtId="0" xfId="0" applyAlignment="1" applyBorder="1" applyFill="1" applyFont="1">
      <alignment horizontal="center"/>
    </xf>
    <xf borderId="89" fillId="0" fontId="4" numFmtId="0" xfId="0" applyBorder="1" applyFont="1"/>
    <xf borderId="90" fillId="0" fontId="4" numFmtId="0" xfId="0" applyBorder="1" applyFont="1"/>
    <xf borderId="88" fillId="4" fontId="2" numFmtId="0" xfId="0" applyAlignment="1" applyBorder="1" applyFill="1" applyFont="1">
      <alignment horizontal="center" readingOrder="1" shrinkToFit="0" wrapText="1"/>
    </xf>
    <xf borderId="91" fillId="4" fontId="2" numFmtId="0" xfId="0" applyAlignment="1" applyBorder="1" applyFill="1" applyFont="1">
      <alignment horizontal="center" readingOrder="1" shrinkToFit="0" vertical="center" wrapText="1"/>
    </xf>
    <xf borderId="5" fillId="2" fontId="2" numFmtId="0" xfId="0" applyAlignment="1" applyBorder="1" applyFill="1" applyFont="1">
      <alignment horizontal="center"/>
    </xf>
    <xf borderId="52" fillId="0" fontId="3" numFmtId="0" xfId="0" applyAlignment="1" applyBorder="1" applyFont="1">
      <alignment horizontal="center" vertical="center"/>
    </xf>
    <xf borderId="92" fillId="0" fontId="3" numFmtId="0" xfId="0" applyAlignment="1" applyBorder="1" applyFont="1">
      <alignment horizontal="center" vertical="center"/>
    </xf>
    <xf borderId="93" fillId="0" fontId="3" numFmtId="0" xfId="0" applyAlignment="1" applyBorder="1" applyFont="1">
      <alignment horizontal="center" vertical="center"/>
    </xf>
    <xf borderId="94" fillId="13" fontId="27" numFmtId="0" xfId="0" applyAlignment="1" applyBorder="1" applyFill="1" applyFont="1">
      <alignment horizontal="center"/>
    </xf>
    <xf borderId="95" fillId="0" fontId="3" numFmtId="0" xfId="0" applyAlignment="1" applyBorder="1" applyFont="1">
      <alignment horizontal="center"/>
    </xf>
    <xf borderId="96" fillId="13" fontId="5" numFmtId="0" xfId="0" applyBorder="1" applyFill="1" applyFont="1"/>
    <xf borderId="97" fillId="0" fontId="4" numFmtId="0" xfId="0" applyBorder="1" applyFont="1"/>
    <xf borderId="98" fillId="0" fontId="3" numFmtId="0" xfId="0" applyAlignment="1" applyBorder="1" applyFont="1">
      <alignment horizontal="left" readingOrder="1" shrinkToFit="0" wrapText="1"/>
    </xf>
    <xf borderId="99" fillId="13" fontId="5" numFmtId="0" xfId="0" applyBorder="1" applyFill="1" applyFont="1"/>
    <xf borderId="95" fillId="4" fontId="2" numFmtId="0" xfId="0" applyAlignment="1" applyBorder="1" applyFill="1" applyFont="1">
      <alignment horizontal="center" readingOrder="1" shrinkToFit="0" wrapText="1"/>
    </xf>
    <xf borderId="100" fillId="0" fontId="4" numFmtId="0" xfId="0" applyBorder="1" applyFont="1"/>
    <xf borderId="51" fillId="6" fontId="3" numFmtId="0" xfId="0" applyAlignment="1" applyBorder="1" applyFill="1" applyFont="1">
      <alignment horizontal="center" readingOrder="1" shrinkToFit="0" wrapText="1"/>
    </xf>
    <xf borderId="33" fillId="20" fontId="26" numFmtId="0" xfId="0" applyAlignment="1" applyBorder="1" applyFill="1" applyFont="1">
      <alignment shrinkToFit="0" wrapText="1"/>
    </xf>
    <xf borderId="27" fillId="6" fontId="3" numFmtId="0" xfId="0" applyAlignment="1" applyBorder="1" applyFill="1" applyFont="1">
      <alignment horizontal="left" readingOrder="1" shrinkToFit="0" wrapText="1"/>
    </xf>
    <xf borderId="22" fillId="0" fontId="3" numFmtId="0" xfId="0" applyAlignment="1" applyBorder="1" applyFont="1">
      <alignment horizontal="left" readingOrder="1" shrinkToFit="0" vertical="center" wrapText="1"/>
    </xf>
    <xf borderId="84" fillId="0" fontId="28" numFmtId="0" xfId="0" applyAlignment="1" applyBorder="1" applyFont="1">
      <alignment shrinkToFit="0" wrapText="1"/>
    </xf>
    <xf borderId="2" fillId="6" fontId="3" numFmtId="0" xfId="0" applyAlignment="1" applyBorder="1" applyFill="1" applyFont="1">
      <alignment horizontal="center" readingOrder="1" shrinkToFit="0" vertical="center" wrapText="1"/>
    </xf>
    <xf borderId="2" fillId="0" fontId="3" numFmtId="0" xfId="0" applyAlignment="1" applyBorder="1" applyFont="1">
      <alignment horizontal="left" readingOrder="1" shrinkToFit="0" vertical="center" wrapText="1"/>
    </xf>
    <xf borderId="51" fillId="0" fontId="3" numFmtId="0" xfId="0" applyAlignment="1" applyBorder="1" applyFont="1">
      <alignment horizontal="left" readingOrder="1" shrinkToFit="0" vertical="center" wrapText="1"/>
    </xf>
    <xf borderId="101" fillId="0" fontId="3" numFmtId="0" xfId="0" applyBorder="1" applyFont="1"/>
    <xf borderId="59" fillId="6" fontId="3" numFmtId="0" xfId="0" applyAlignment="1" applyBorder="1" applyFill="1" applyFont="1">
      <alignment horizontal="center" readingOrder="1" shrinkToFit="0" wrapText="1"/>
    </xf>
    <xf borderId="0" fillId="0" fontId="2" numFmtId="0" xfId="0" applyAlignment="1" applyFont="1">
      <alignment horizontal="left" readingOrder="1" shrinkToFit="0" wrapText="1"/>
    </xf>
    <xf borderId="84" fillId="0" fontId="28" numFmtId="1" xfId="0" applyAlignment="1" applyBorder="1" applyFont="1" applyNumberFormat="1">
      <alignment horizontal="right" shrinkToFit="0" wrapText="1"/>
    </xf>
    <xf borderId="2" fillId="0" fontId="3" numFmtId="0" xfId="0" applyAlignment="1" applyBorder="1" applyFont="1">
      <alignment horizontal="center" readingOrder="1" shrinkToFit="0" vertical="center" wrapText="1"/>
    </xf>
    <xf borderId="84" fillId="0" fontId="28" numFmtId="180" xfId="0" applyAlignment="1" applyBorder="1" applyFont="1" applyNumberFormat="1">
      <alignment shrinkToFit="0" wrapText="1"/>
    </xf>
    <xf borderId="0" fillId="0" fontId="3" numFmtId="0" xfId="0" applyAlignment="1" applyFont="1">
      <alignment horizontal="center" readingOrder="1" shrinkToFit="0" wrapText="1"/>
    </xf>
    <xf borderId="0" fillId="0" fontId="3" numFmtId="0" xfId="0" applyAlignment="1" applyFont="1">
      <alignment horizontal="left" readingOrder="1" shrinkToFit="0" wrapText="1"/>
    </xf>
    <xf borderId="22" fillId="0" fontId="3" numFmtId="0" xfId="0" applyAlignment="1" applyBorder="1" applyFont="1">
      <alignment horizontal="right" readingOrder="1" shrinkToFit="0" vertical="center" wrapText="1"/>
    </xf>
    <xf borderId="64" fillId="0" fontId="3" numFmtId="0" xfId="0" applyAlignment="1" applyBorder="1" applyFont="1">
      <alignment horizontal="left" readingOrder="1" shrinkToFit="0" vertical="center" wrapText="1"/>
    </xf>
    <xf borderId="84" fillId="15" fontId="28" numFmtId="1" xfId="0" applyAlignment="1" applyBorder="1" applyFill="1" applyFont="1" applyNumberFormat="1">
      <alignment horizontal="right" shrinkToFit="0" wrapText="1"/>
    </xf>
    <xf borderId="102" fillId="0" fontId="4" numFmtId="0" xfId="0" applyBorder="1" applyFont="1"/>
    <xf borderId="84" fillId="15" fontId="28" numFmtId="0" xfId="0" applyAlignment="1" applyBorder="1" applyFill="1" applyFont="1">
      <alignment shrinkToFit="0" wrapText="1"/>
    </xf>
    <xf borderId="25" fillId="0" fontId="4" numFmtId="0" xfId="0" applyBorder="1" applyFont="1"/>
    <xf borderId="84" fillId="19" fontId="2" numFmtId="0" xfId="0" applyBorder="1" applyFill="1" applyFont="1"/>
    <xf borderId="84" fillId="19" fontId="2" numFmtId="0" xfId="0" applyAlignment="1" applyBorder="1" applyFill="1" applyFont="1">
      <alignment horizontal="right"/>
    </xf>
    <xf borderId="2" fillId="0" fontId="3" numFmtId="1" xfId="0" applyAlignment="1" applyBorder="1" applyFont="1" applyNumberFormat="1">
      <alignment horizontal="center" readingOrder="1" shrinkToFit="0" vertical="center" wrapText="1"/>
    </xf>
    <xf borderId="84" fillId="19" fontId="28" numFmtId="1" xfId="0" applyAlignment="1" applyBorder="1" applyFill="1" applyFont="1" applyNumberFormat="1">
      <alignment horizontal="right" shrinkToFit="0" wrapText="1"/>
    </xf>
    <xf borderId="2" fillId="6" fontId="3" numFmtId="3" xfId="0" applyAlignment="1" applyBorder="1" applyFill="1" applyFont="1" applyNumberFormat="1">
      <alignment horizontal="center" readingOrder="1" shrinkToFit="0" vertical="center" wrapText="1"/>
    </xf>
    <xf borderId="2" fillId="6" fontId="3" numFmtId="11" xfId="0" applyAlignment="1" applyBorder="1" applyFill="1" applyFont="1" applyNumberFormat="1">
      <alignment horizontal="center" readingOrder="1" shrinkToFit="0" vertical="center" wrapText="1"/>
    </xf>
    <xf borderId="53" fillId="0" fontId="3" numFmtId="0" xfId="0" applyAlignment="1" applyBorder="1" applyFont="1">
      <alignment horizontal="left" readingOrder="1" shrinkToFit="0" vertical="center" wrapText="1"/>
    </xf>
    <xf borderId="103" fillId="0" fontId="3" numFmtId="0" xfId="0" applyAlignment="1" applyBorder="1" applyFont="1">
      <alignment horizontal="center" readingOrder="1" shrinkToFit="0" vertical="center" wrapText="1"/>
    </xf>
    <xf borderId="103" fillId="0" fontId="3" numFmtId="0" xfId="0" applyAlignment="1" applyBorder="1" applyFont="1">
      <alignment horizontal="left" readingOrder="1" shrinkToFit="0" vertical="center" wrapText="1"/>
    </xf>
    <xf borderId="102" fillId="0" fontId="3" numFmtId="0" xfId="0" applyAlignment="1" applyBorder="1" applyFont="1">
      <alignment horizontal="left" readingOrder="1" shrinkToFit="0" vertical="center" wrapText="1"/>
    </xf>
    <xf borderId="2" fillId="8" fontId="3" numFmtId="0" xfId="0" applyAlignment="1" applyBorder="1" applyFill="1" applyFont="1">
      <alignment horizontal="center" readingOrder="1" shrinkToFit="0" vertical="center" wrapText="1"/>
    </xf>
    <xf borderId="84" fillId="23" fontId="29" numFmtId="0" xfId="0" applyAlignment="1" applyBorder="1" applyFill="1" applyFont="1">
      <alignment horizontal="center" shrinkToFit="0" wrapText="1"/>
    </xf>
    <xf borderId="0" fillId="0" fontId="3" numFmtId="0" xfId="0" applyAlignment="1" applyFont="1">
      <alignment horizontal="left" shrinkToFit="0" vertical="top" wrapText="1"/>
    </xf>
    <xf borderId="84" fillId="0" fontId="5" numFmtId="0" xfId="0" applyAlignment="1" applyBorder="1" applyFont="1">
      <alignment shrinkToFit="0" wrapText="1"/>
    </xf>
    <xf borderId="10" fillId="26" fontId="3" numFmtId="0" xfId="0" applyAlignment="1" applyBorder="1" applyFill="1" applyFont="1">
      <alignment horizontal="left" shrinkToFit="0" vertical="top" wrapText="1"/>
    </xf>
    <xf borderId="10" fillId="26" fontId="3" numFmtId="0" xfId="0" applyBorder="1" applyFill="1" applyFont="1"/>
    <xf borderId="2" fillId="8" fontId="3" numFmtId="168" xfId="0" applyAlignment="1" applyBorder="1" applyFill="1" applyFont="1" applyNumberFormat="1">
      <alignment horizontal="center" readingOrder="1" shrinkToFit="0" vertical="center" wrapText="1"/>
    </xf>
    <xf borderId="10" fillId="26" fontId="3" numFmtId="0" xfId="0" applyAlignment="1" applyBorder="1" applyFill="1" applyFont="1">
      <alignment shrinkToFit="0" vertical="top" wrapText="1"/>
    </xf>
    <xf borderId="2" fillId="8" fontId="3" numFmtId="178" xfId="0" applyAlignment="1" applyBorder="1" applyFill="1" applyFont="1" applyNumberFormat="1">
      <alignment horizontal="center" readingOrder="1" shrinkToFit="0" vertical="center" wrapText="1"/>
    </xf>
    <xf borderId="10" fillId="26" fontId="30" numFmtId="0" xfId="0" applyAlignment="1" applyBorder="1" applyFill="1" applyFont="1">
      <alignment vertical="top"/>
    </xf>
    <xf borderId="10" fillId="26" fontId="3" numFmtId="0" xfId="0" applyAlignment="1" applyBorder="1" applyFill="1" applyFont="1">
      <alignment vertical="top"/>
    </xf>
    <xf borderId="0" fillId="0" fontId="3" numFmtId="2" xfId="0" applyAlignment="1" applyFont="1" applyNumberFormat="1">
      <alignment horizontal="center" shrinkToFit="0" vertical="center" wrapText="1"/>
    </xf>
    <xf borderId="7" fillId="0" fontId="3" numFmtId="0" xfId="0" applyAlignment="1" applyBorder="1" applyFont="1">
      <alignment horizontal="left" readingOrder="1" shrinkToFit="0" vertical="center" wrapText="1"/>
    </xf>
    <xf borderId="33" fillId="26" fontId="3" numFmtId="0" xfId="0" applyAlignment="1" applyBorder="1" applyFill="1" applyFont="1">
      <alignment horizontal="center"/>
    </xf>
    <xf borderId="33" fillId="26" fontId="3" numFmtId="174" xfId="0" applyAlignment="1" applyBorder="1" applyFill="1" applyFont="1" applyNumberFormat="1">
      <alignment horizontal="center"/>
    </xf>
    <xf borderId="2" fillId="0" fontId="3" numFmtId="178" xfId="0" applyAlignment="1" applyBorder="1" applyFont="1" applyNumberFormat="1">
      <alignment horizontal="center" readingOrder="1" shrinkToFit="0" vertical="center" wrapText="1"/>
    </xf>
    <xf borderId="2" fillId="0" fontId="3" numFmtId="2" xfId="0" applyAlignment="1" applyBorder="1" applyFont="1" applyNumberFormat="1">
      <alignment horizontal="center" readingOrder="1" shrinkToFit="0" vertical="center" wrapText="1"/>
    </xf>
    <xf borderId="33" fillId="26" fontId="3" numFmtId="178" xfId="0" applyAlignment="1" applyBorder="1" applyFill="1" applyFont="1" applyNumberFormat="1">
      <alignment horizontal="center"/>
    </xf>
    <xf borderId="84" fillId="0" fontId="5" numFmtId="0" xfId="0" applyAlignment="1" applyBorder="1" applyFont="1">
      <alignment horizontal="right" shrinkToFit="0" wrapText="1"/>
    </xf>
    <xf borderId="10" fillId="26" fontId="3" numFmtId="178" xfId="0" applyAlignment="1" applyBorder="1" applyFill="1" applyFont="1" applyNumberFormat="1">
      <alignment horizontal="center"/>
    </xf>
    <xf borderId="84" fillId="15" fontId="5" numFmtId="0" xfId="0" applyAlignment="1" applyBorder="1" applyFill="1" applyFont="1">
      <alignment horizontal="right" shrinkToFit="0" wrapText="1"/>
    </xf>
    <xf borderId="10" fillId="26" fontId="3" numFmtId="0" xfId="0" applyAlignment="1" applyBorder="1" applyFill="1" applyFont="1">
      <alignment horizontal="center"/>
    </xf>
    <xf borderId="84" fillId="19" fontId="5" numFmtId="176" xfId="0" applyAlignment="1" applyBorder="1" applyFill="1" applyFont="1" applyNumberFormat="1">
      <alignment horizontal="right" shrinkToFit="0" wrapText="1"/>
    </xf>
    <xf borderId="51" fillId="0" fontId="3" numFmtId="178" xfId="0" applyAlignment="1" applyBorder="1" applyFont="1" applyNumberFormat="1">
      <alignment horizontal="left" readingOrder="1" shrinkToFit="0" vertical="center" wrapText="1"/>
    </xf>
    <xf borderId="84" fillId="15" fontId="5" numFmtId="181" xfId="0" applyAlignment="1" applyBorder="1" applyFill="1" applyFont="1" applyNumberFormat="1">
      <alignment horizontal="right" shrinkToFit="0" wrapText="1"/>
    </xf>
    <xf borderId="84" fillId="19" fontId="5" numFmtId="180" xfId="0" applyAlignment="1" applyBorder="1" applyFill="1" applyFont="1" applyNumberFormat="1">
      <alignment horizontal="right" shrinkToFit="0" wrapText="1"/>
    </xf>
    <xf borderId="2" fillId="0" fontId="2" numFmtId="178" xfId="0" applyAlignment="1" applyBorder="1" applyFont="1" applyNumberFormat="1">
      <alignment horizontal="center" readingOrder="1" shrinkToFit="0" vertical="center" wrapText="1"/>
    </xf>
    <xf borderId="101" fillId="0" fontId="3" numFmtId="0" xfId="0" applyAlignment="1" applyBorder="1" applyFont="1">
      <alignment horizontal="left" readingOrder="1" shrinkToFit="0" vertical="center" wrapText="1"/>
    </xf>
    <xf borderId="58" fillId="6" fontId="3" numFmtId="0" xfId="0" applyAlignment="1" applyBorder="1" applyFill="1" applyFont="1">
      <alignment horizontal="center" readingOrder="1" shrinkToFit="0" vertical="center" wrapText="1"/>
    </xf>
    <xf borderId="42" fillId="0" fontId="3" numFmtId="0" xfId="0" applyAlignment="1" applyBorder="1" applyFont="1">
      <alignment horizontal="left" readingOrder="1" shrinkToFit="0" vertical="center" wrapText="1"/>
    </xf>
    <xf borderId="59" fillId="0" fontId="3" numFmtId="0" xfId="0" applyAlignment="1" applyBorder="1" applyFont="1">
      <alignment horizontal="left" readingOrder="1" shrinkToFit="0" vertical="center" wrapText="1"/>
    </xf>
    <xf borderId="0" fillId="0" fontId="3" numFmtId="0" xfId="0" applyAlignment="1" applyFont="1">
      <alignment vertical="center"/>
    </xf>
    <xf borderId="0" fillId="0" fontId="3" numFmtId="0" xfId="0" applyAlignment="1" applyFont="1">
      <alignment horizontal="left" vertical="center"/>
    </xf>
    <xf borderId="0" fillId="0" fontId="3" numFmtId="170" xfId="0" applyAlignment="1" applyFont="1" applyNumberFormat="1">
      <alignment vertical="center"/>
    </xf>
    <xf borderId="0" fillId="0" fontId="3" numFmtId="174" xfId="0" applyAlignment="1" applyFont="1" applyNumberFormat="1">
      <alignment horizontal="left" vertical="center"/>
    </xf>
    <xf borderId="0" fillId="0" fontId="3" numFmtId="182" xfId="0" applyAlignment="1" applyFont="1" applyNumberFormat="1">
      <alignment horizontal="left" vertical="center"/>
    </xf>
    <xf borderId="0" fillId="0" fontId="3" numFmtId="182" xfId="0" applyAlignment="1" applyFont="1" applyNumberFormat="1">
      <alignment vertical="center"/>
    </xf>
    <xf borderId="0" fillId="0" fontId="3" numFmtId="180" xfId="0" applyAlignment="1" applyFont="1" applyNumberFormat="1">
      <alignment horizontal="left" vertical="center"/>
    </xf>
    <xf borderId="0" fillId="0" fontId="3" numFmtId="0" xfId="0" applyAlignment="1" applyFont="1">
      <alignment horizontal="left" shrinkToFit="0" vertical="center" wrapText="1"/>
    </xf>
    <xf borderId="0" fillId="0" fontId="3" numFmtId="178" xfId="0" applyAlignment="1" applyFont="1" applyNumberFormat="1">
      <alignment vertical="center"/>
    </xf>
    <xf borderId="104" fillId="0" fontId="3" numFmtId="0" xfId="0" applyAlignment="1" applyBorder="1" applyFont="1">
      <alignment horizontal="center" vertical="center"/>
    </xf>
    <xf borderId="105" fillId="0" fontId="3" numFmtId="0" xfId="0" applyAlignment="1" applyBorder="1" applyFont="1">
      <alignment horizontal="center" vertical="center"/>
    </xf>
    <xf borderId="106" fillId="0" fontId="3" numFmtId="0" xfId="0" applyAlignment="1" applyBorder="1" applyFont="1">
      <alignment horizontal="center" vertical="center"/>
    </xf>
    <xf borderId="107" fillId="6" fontId="3" numFmtId="0" xfId="0" applyAlignment="1" applyBorder="1" applyFill="1" applyFont="1">
      <alignment horizontal="left" readingOrder="1" shrinkToFit="0" wrapText="1"/>
    </xf>
    <xf borderId="2" fillId="6" fontId="2" numFmtId="0" xfId="0" applyAlignment="1" applyBorder="1" applyFill="1" applyFont="1">
      <alignment horizontal="center" readingOrder="1" shrinkToFit="0" vertical="center" wrapText="1"/>
    </xf>
    <xf borderId="27" fillId="6" fontId="2" numFmtId="0" xfId="0" applyAlignment="1" applyBorder="1" applyFill="1" applyFont="1">
      <alignment horizontal="left" readingOrder="1" shrinkToFit="0" wrapText="1"/>
    </xf>
    <xf borderId="22" fillId="0" fontId="3" numFmtId="0" xfId="0" applyAlignment="1" applyBorder="1" applyFont="1">
      <alignment shrinkToFit="0" wrapText="1"/>
    </xf>
    <xf borderId="2" fillId="0" fontId="3" numFmtId="0" xfId="0" applyAlignment="1" applyBorder="1" applyFont="1">
      <alignment horizontal="center" shrinkToFit="0" wrapText="1"/>
    </xf>
    <xf borderId="51" fillId="0" fontId="31" numFmtId="0" xfId="0" applyAlignment="1" applyBorder="1" applyFont="1">
      <alignment shrinkToFit="0" wrapText="1"/>
    </xf>
    <xf borderId="58" fillId="0" fontId="3" numFmtId="0" xfId="0" applyAlignment="1" applyBorder="1" applyFont="1">
      <alignment horizontal="left" readingOrder="1" shrinkToFit="0" vertical="center" wrapText="1"/>
    </xf>
    <xf borderId="2" fillId="0" fontId="3" numFmtId="168" xfId="0" applyAlignment="1" applyBorder="1" applyFont="1" applyNumberFormat="1">
      <alignment horizontal="center" readingOrder="1" shrinkToFit="0" vertical="center" wrapText="1"/>
    </xf>
    <xf borderId="0" fillId="0" fontId="3" numFmtId="0" xfId="0" applyAlignment="1" applyFont="1">
      <alignment shrinkToFit="0" vertical="top" wrapText="1"/>
    </xf>
    <xf borderId="57" fillId="0" fontId="3" numFmtId="0" xfId="0" applyAlignment="1" applyBorder="1" applyFont="1">
      <alignment horizontal="left" readingOrder="1" shrinkToFit="0" vertical="center" wrapText="1"/>
    </xf>
    <xf borderId="2" fillId="8" fontId="2" numFmtId="0" xfId="0" applyAlignment="1" applyBorder="1" applyFill="1" applyFont="1">
      <alignment horizontal="center" readingOrder="1" shrinkToFit="0" vertical="center" wrapText="1"/>
    </xf>
    <xf borderId="51" fillId="0" fontId="32" numFmtId="0" xfId="0" applyAlignment="1" applyBorder="1" applyFont="1">
      <alignment horizontal="left" readingOrder="1" shrinkToFit="0" vertical="center" wrapText="1"/>
    </xf>
    <xf borderId="0" fillId="0" fontId="3" numFmtId="178" xfId="0" applyFont="1" applyNumberFormat="1"/>
    <xf borderId="44" fillId="0" fontId="3" numFmtId="0" xfId="0" applyAlignment="1" applyBorder="1" applyFont="1">
      <alignment shrinkToFit="0" vertical="center" wrapText="1"/>
    </xf>
    <xf borderId="55" fillId="0" fontId="3" numFmtId="0" xfId="0" applyAlignment="1" applyBorder="1" applyFont="1">
      <alignment horizontal="center" readingOrder="1" shrinkToFit="0" vertical="center" wrapText="1"/>
    </xf>
    <xf borderId="55" fillId="0" fontId="3" numFmtId="0" xfId="0" applyAlignment="1" applyBorder="1" applyFont="1">
      <alignment horizontal="left" readingOrder="1" shrinkToFit="0" vertical="center" wrapText="1"/>
    </xf>
    <xf borderId="64" fillId="0" fontId="33" numFmtId="0" xfId="0" applyAlignment="1" applyBorder="1" applyFont="1">
      <alignment horizontal="left" readingOrder="1" shrinkToFit="0" vertical="center" wrapText="1"/>
    </xf>
    <xf borderId="55" fillId="0" fontId="2" numFmtId="0" xfId="0" applyAlignment="1" applyBorder="1" applyFont="1">
      <alignment horizontal="left" readingOrder="1" shrinkToFit="0" vertical="center" wrapText="1"/>
    </xf>
    <xf borderId="55" fillId="0" fontId="3" numFmtId="176" xfId="0" applyAlignment="1" applyBorder="1" applyFont="1" applyNumberFormat="1">
      <alignment horizontal="center" readingOrder="1" shrinkToFit="0" vertical="center" wrapText="1"/>
    </xf>
    <xf borderId="108" fillId="0" fontId="3" numFmtId="1" xfId="0" applyAlignment="1" applyBorder="1" applyFont="1" applyNumberFormat="1">
      <alignment horizontal="right"/>
    </xf>
    <xf borderId="109" fillId="17" fontId="3" numFmtId="1" xfId="0" applyBorder="1" applyFill="1" applyFont="1" applyNumberFormat="1"/>
    <xf borderId="108" fillId="0" fontId="3" numFmtId="175" xfId="0" applyAlignment="1" applyBorder="1" applyFont="1" applyNumberFormat="1">
      <alignment horizontal="right"/>
    </xf>
    <xf borderId="55" fillId="0" fontId="3" numFmtId="2" xfId="0" applyAlignment="1" applyBorder="1" applyFont="1" applyNumberFormat="1">
      <alignment horizontal="center" readingOrder="1" shrinkToFit="0" vertical="center" wrapText="1"/>
    </xf>
    <xf borderId="108" fillId="0" fontId="3" numFmtId="165" xfId="0" applyAlignment="1" applyBorder="1" applyFont="1" applyNumberFormat="1">
      <alignment horizontal="right"/>
    </xf>
    <xf borderId="108" fillId="0" fontId="3" numFmtId="1" xfId="0" applyAlignment="1" applyBorder="1" applyFont="1" applyNumberFormat="1">
      <alignment shrinkToFit="0" wrapText="1"/>
    </xf>
    <xf borderId="58" fillId="0" fontId="3" numFmtId="168" xfId="0" applyAlignment="1" applyBorder="1" applyFont="1" applyNumberFormat="1">
      <alignment horizontal="center" readingOrder="1" shrinkToFit="0" vertical="center" wrapText="1"/>
    </xf>
    <xf borderId="73" fillId="0" fontId="3" numFmtId="1" xfId="0" applyAlignment="1" applyBorder="1" applyFont="1" applyNumberFormat="1">
      <alignment horizontal="right"/>
    </xf>
    <xf borderId="73" fillId="16" fontId="3" numFmtId="1" xfId="0" applyBorder="1" applyFill="1" applyFont="1" applyNumberFormat="1"/>
    <xf borderId="2" fillId="9" fontId="2" numFmtId="0" xfId="0" applyAlignment="1" applyBorder="1" applyFill="1" applyFont="1">
      <alignment horizontal="center" readingOrder="1" shrinkToFit="0" vertical="center" wrapText="1"/>
    </xf>
    <xf borderId="73" fillId="0" fontId="3" numFmtId="10" xfId="0" applyAlignment="1" applyBorder="1" applyFont="1" applyNumberFormat="1">
      <alignment horizontal="right"/>
    </xf>
    <xf borderId="51" fillId="0" fontId="34" numFmtId="0" xfId="0" applyAlignment="1" applyBorder="1" applyFont="1">
      <alignment horizontal="left" readingOrder="1" shrinkToFit="0" vertical="center" wrapText="1"/>
    </xf>
    <xf borderId="7" fillId="0" fontId="3" numFmtId="2" xfId="0" applyAlignment="1" applyBorder="1" applyFont="1" applyNumberFormat="1">
      <alignment horizontal="center" readingOrder="1" shrinkToFit="0" vertical="center" wrapText="1"/>
    </xf>
    <xf borderId="4" fillId="0" fontId="3" numFmtId="0" xfId="0" applyAlignment="1" applyBorder="1" applyFont="1">
      <alignment horizontal="left" readingOrder="1" shrinkToFit="0" vertical="center" wrapText="1"/>
    </xf>
    <xf borderId="2" fillId="0" fontId="3" numFmtId="182" xfId="0" applyAlignment="1" applyBorder="1" applyFont="1" applyNumberFormat="1">
      <alignment horizontal="left" readingOrder="1" shrinkToFit="0" vertical="center" wrapText="1"/>
    </xf>
    <xf borderId="58" fillId="0" fontId="3" numFmtId="178" xfId="0" applyAlignment="1" applyBorder="1" applyFont="1" applyNumberFormat="1">
      <alignment horizontal="center" readingOrder="1" shrinkToFit="0" vertical="center" wrapText="1"/>
    </xf>
    <xf borderId="7" fillId="0" fontId="3" numFmtId="178" xfId="0" applyAlignment="1" applyBorder="1" applyFont="1" applyNumberFormat="1">
      <alignment horizontal="center" readingOrder="1" shrinkToFit="0" vertical="center" wrapText="1"/>
    </xf>
    <xf borderId="2" fillId="0" fontId="2" numFmtId="168" xfId="0" applyAlignment="1" applyBorder="1" applyFont="1" applyNumberFormat="1">
      <alignment horizontal="center" readingOrder="1" shrinkToFit="0" vertical="center" wrapText="1"/>
    </xf>
    <xf borderId="3" fillId="0" fontId="3" numFmtId="0" xfId="0" applyAlignment="1" applyBorder="1" applyFont="1">
      <alignment horizontal="left" readingOrder="1" shrinkToFit="0" vertical="center" wrapText="1"/>
    </xf>
    <xf borderId="2" fillId="27" fontId="2" numFmtId="2" xfId="0" applyAlignment="1" applyBorder="1" applyFill="1" applyFont="1" applyNumberFormat="1">
      <alignment horizontal="center" readingOrder="1" shrinkToFit="0" vertical="center" wrapText="1"/>
    </xf>
    <xf borderId="58" fillId="6" fontId="2" numFmtId="0" xfId="0" applyAlignment="1" applyBorder="1" applyFill="1" applyFont="1">
      <alignment horizontal="center" readingOrder="1" shrinkToFit="0" vertical="center" wrapText="1"/>
    </xf>
    <xf borderId="73" fillId="15" fontId="3" numFmtId="1" xfId="0" applyBorder="1" applyFill="1" applyFont="1" applyNumberFormat="1"/>
    <xf borderId="2" fillId="0" fontId="2" numFmtId="0" xfId="0" applyAlignment="1" applyBorder="1" applyFont="1">
      <alignment horizontal="center" readingOrder="1" shrinkToFit="0" vertical="center" wrapText="1"/>
    </xf>
    <xf borderId="73" fillId="18" fontId="3" numFmtId="1" xfId="0" applyBorder="1" applyFill="1" applyFont="1" applyNumberFormat="1"/>
    <xf borderId="2" fillId="0" fontId="3" numFmtId="0" xfId="0" applyAlignment="1" applyBorder="1" applyFont="1">
      <alignment vertical="center"/>
    </xf>
    <xf borderId="2" fillId="0" fontId="3" numFmtId="0" xfId="0" applyAlignment="1" applyBorder="1" applyFont="1">
      <alignment shrinkToFit="0" vertical="center" wrapText="1"/>
    </xf>
    <xf borderId="2" fillId="0" fontId="3" numFmtId="0" xfId="0" applyAlignment="1" applyBorder="1" applyFont="1">
      <alignment horizontal="center" shrinkToFit="0" vertical="center" wrapText="1"/>
    </xf>
    <xf borderId="2" fillId="6" fontId="3" numFmtId="10" xfId="0" applyAlignment="1" applyBorder="1" applyFill="1" applyFont="1" applyNumberFormat="1">
      <alignment horizontal="center" shrinkToFit="0" vertical="center" wrapText="1"/>
    </xf>
    <xf borderId="2" fillId="6" fontId="3" numFmtId="2" xfId="0" applyAlignment="1" applyBorder="1" applyFill="1" applyFont="1" applyNumberFormat="1">
      <alignment horizontal="center" shrinkToFit="0" vertical="center" wrapText="1"/>
    </xf>
    <xf borderId="2" fillId="6" fontId="3" numFmtId="0" xfId="0" applyAlignment="1" applyBorder="1" applyFill="1" applyFont="1">
      <alignment horizontal="center" shrinkToFit="0" vertical="center" wrapText="1"/>
    </xf>
    <xf borderId="2" fillId="0" fontId="35" numFmtId="0" xfId="0" applyAlignment="1" applyBorder="1" applyFont="1">
      <alignment horizontal="left" vertical="center"/>
    </xf>
    <xf borderId="2" fillId="0" fontId="3" numFmtId="2" xfId="0" applyAlignment="1" applyBorder="1" applyFont="1" applyNumberFormat="1">
      <alignment horizontal="center" shrinkToFit="0" vertical="center" wrapText="1"/>
    </xf>
    <xf borderId="2" fillId="0" fontId="3" numFmtId="0" xfId="0" applyAlignment="1" applyBorder="1" applyFont="1">
      <alignment horizontal="left" vertical="center"/>
    </xf>
    <xf borderId="110" fillId="0" fontId="36" numFmtId="0" xfId="0" applyAlignment="1" applyBorder="1" applyFont="1">
      <alignment horizontal="left" vertical="center"/>
    </xf>
    <xf borderId="111" fillId="0" fontId="37" numFmtId="0" xfId="0" applyAlignment="1" applyBorder="1" applyFont="1">
      <alignment horizontal="left" vertical="center"/>
    </xf>
    <xf borderId="2" fillId="0" fontId="3" numFmtId="0" xfId="0" applyAlignment="1" applyBorder="1" applyFont="1">
      <alignment horizontal="center" vertical="center"/>
    </xf>
    <xf borderId="0" fillId="0" fontId="3" numFmtId="0" xfId="0" applyAlignment="1" applyFont="1">
      <alignment horizontal="center"/>
    </xf>
    <xf borderId="0" fillId="0" fontId="2" numFmtId="168" xfId="0" applyFont="1" applyNumberFormat="1"/>
    <xf borderId="0" fillId="0" fontId="5" numFmtId="0" xfId="0" applyAlignment="1" applyFont="1">
      <alignment horizontal="center"/>
    </xf>
    <xf borderId="112" fillId="3" fontId="2" numFmtId="0" xfId="0" applyAlignment="1" applyBorder="1" applyFill="1" applyFont="1">
      <alignment horizontal="center"/>
    </xf>
    <xf borderId="113" fillId="0" fontId="4" numFmtId="0" xfId="0" applyBorder="1" applyFont="1"/>
    <xf borderId="5" fillId="3" fontId="2" numFmtId="0" xfId="0" applyAlignment="1" applyBorder="1" applyFill="1" applyFont="1">
      <alignment horizontal="center" shrinkToFit="0" vertical="center" wrapText="1"/>
    </xf>
    <xf borderId="21" fillId="0" fontId="9" numFmtId="0" xfId="0" applyAlignment="1" applyBorder="1" applyFont="1">
      <alignment horizontal="left" readingOrder="1" shrinkToFit="0" wrapText="1"/>
    </xf>
    <xf borderId="98" fillId="0" fontId="2" numFmtId="0" xfId="0" applyAlignment="1" applyBorder="1" applyFont="1">
      <alignment horizontal="center" shrinkToFit="0" vertical="center" wrapText="1"/>
    </xf>
    <xf borderId="0" fillId="0" fontId="38" numFmtId="0" xfId="0" applyAlignment="1" applyFont="1">
      <alignment horizontal="center" vertical="center"/>
    </xf>
    <xf borderId="95" fillId="6" fontId="2" numFmtId="0" xfId="0" applyAlignment="1" applyBorder="1" applyFill="1" applyFont="1">
      <alignment horizontal="center" shrinkToFit="0" vertical="center" wrapText="1"/>
    </xf>
    <xf borderId="0" fillId="0" fontId="2" numFmtId="0" xfId="0" applyAlignment="1" applyFont="1">
      <alignment horizontal="center" shrinkToFit="0" vertical="center" wrapText="1"/>
    </xf>
    <xf borderId="27" fillId="9" fontId="9" numFmtId="0" xfId="0" applyAlignment="1" applyBorder="1" applyFill="1" applyFont="1">
      <alignment horizontal="left" readingOrder="1" shrinkToFit="0" wrapText="1"/>
    </xf>
    <xf borderId="114" fillId="0" fontId="4" numFmtId="0" xfId="0" applyBorder="1" applyFont="1"/>
    <xf borderId="115" fillId="0" fontId="2" numFmtId="0" xfId="0" applyAlignment="1" applyBorder="1" applyFont="1">
      <alignment horizontal="center" shrinkToFit="0" vertical="center" wrapText="1"/>
    </xf>
    <xf borderId="116" fillId="0" fontId="2" numFmtId="0" xfId="0" applyAlignment="1" applyBorder="1" applyFont="1">
      <alignment horizontal="center" shrinkToFit="0" vertical="center" wrapText="1"/>
    </xf>
    <xf borderId="117" fillId="0" fontId="4" numFmtId="0" xfId="0" applyBorder="1" applyFont="1"/>
    <xf borderId="118" fillId="3" fontId="2" numFmtId="0" xfId="0" applyAlignment="1" applyBorder="1" applyFill="1" applyFont="1">
      <alignment horizontal="center" shrinkToFit="0" vertical="center" wrapText="1"/>
    </xf>
    <xf borderId="119" fillId="3" fontId="2" numFmtId="0" xfId="0" applyAlignment="1" applyBorder="1" applyFill="1" applyFont="1">
      <alignment horizontal="center" shrinkToFit="0" vertical="center" wrapText="1"/>
    </xf>
    <xf borderId="98" fillId="0" fontId="3" numFmtId="0" xfId="0" applyAlignment="1" applyBorder="1" applyFont="1">
      <alignment horizontal="center" shrinkToFit="0" vertical="center" wrapText="1"/>
    </xf>
    <xf borderId="120" fillId="0" fontId="3" numFmtId="0" xfId="0" applyAlignment="1" applyBorder="1" applyFont="1">
      <alignment horizontal="center" shrinkToFit="0" vertical="center" wrapText="1"/>
    </xf>
    <xf borderId="73" fillId="19" fontId="3" numFmtId="1" xfId="0" applyBorder="1" applyFill="1" applyFont="1" applyNumberFormat="1"/>
    <xf borderId="121" fillId="6" fontId="3" numFmtId="10" xfId="0" applyAlignment="1" applyBorder="1" applyFill="1" applyFont="1" applyNumberFormat="1">
      <alignment horizontal="center" shrinkToFit="0" vertical="center" wrapText="1"/>
    </xf>
    <xf borderId="121" fillId="6" fontId="3" numFmtId="2" xfId="0" applyAlignment="1" applyBorder="1" applyFill="1" applyFont="1" applyNumberFormat="1">
      <alignment horizontal="center" shrinkToFit="0" vertical="center" wrapText="1"/>
    </xf>
    <xf borderId="121" fillId="6" fontId="3" numFmtId="0" xfId="0" applyAlignment="1" applyBorder="1" applyFill="1" applyFont="1">
      <alignment horizontal="center" shrinkToFit="0" vertical="center" wrapText="1"/>
    </xf>
    <xf borderId="122" fillId="0" fontId="2" numFmtId="2" xfId="0" applyAlignment="1" applyBorder="1" applyFont="1" applyNumberFormat="1">
      <alignment horizontal="center" shrinkToFit="0" vertical="center" wrapText="1"/>
    </xf>
    <xf borderId="123" fillId="0" fontId="2" numFmtId="0" xfId="0" applyAlignment="1" applyBorder="1" applyFont="1">
      <alignment horizontal="center" shrinkToFit="0" vertical="center" wrapText="1"/>
    </xf>
    <xf borderId="62" fillId="0" fontId="2" numFmtId="0" xfId="0" applyAlignment="1" applyBorder="1" applyFont="1">
      <alignment horizontal="center" shrinkToFit="0" vertical="center" wrapText="1"/>
    </xf>
    <xf borderId="124" fillId="0" fontId="4" numFmtId="0" xfId="0" applyBorder="1" applyFont="1"/>
    <xf borderId="61" fillId="0" fontId="2" numFmtId="0" xfId="0" applyAlignment="1" applyBorder="1" applyFont="1">
      <alignment horizontal="center" shrinkToFit="0" vertical="center" wrapText="1"/>
    </xf>
    <xf borderId="121" fillId="0" fontId="39" numFmtId="0" xfId="0" applyAlignment="1" applyBorder="1" applyFont="1">
      <alignment horizontal="left" vertical="center"/>
    </xf>
    <xf borderId="125" fillId="0" fontId="2" numFmtId="0" xfId="0" applyAlignment="1" applyBorder="1" applyFont="1">
      <alignment horizontal="center" shrinkToFit="0" vertical="center" wrapText="1"/>
    </xf>
    <xf borderId="63" fillId="0" fontId="2" numFmtId="0" xfId="0" applyAlignment="1" applyBorder="1" applyFont="1">
      <alignment horizontal="center" shrinkToFit="0" vertical="center" wrapText="1"/>
    </xf>
    <xf borderId="43" fillId="0" fontId="3" numFmtId="0" xfId="0" applyAlignment="1" applyBorder="1" applyFont="1">
      <alignment vertical="center"/>
    </xf>
    <xf borderId="9" fillId="26" fontId="2" numFmtId="0" xfId="0" applyAlignment="1" applyBorder="1" applyFill="1" applyFont="1">
      <alignment horizontal="center" shrinkToFit="0" vertical="center" wrapText="1"/>
    </xf>
    <xf borderId="126" fillId="0" fontId="3" numFmtId="2" xfId="0" applyAlignment="1" applyBorder="1" applyFont="1" applyNumberFormat="1">
      <alignment horizontal="center" shrinkToFit="0" vertical="center" wrapText="1"/>
    </xf>
    <xf borderId="98" fillId="26" fontId="2" numFmtId="0" xfId="0" applyAlignment="1" applyBorder="1" applyFill="1" applyFont="1">
      <alignment horizontal="center" shrinkToFit="0" vertical="center" wrapText="1"/>
    </xf>
    <xf borderId="127" fillId="6" fontId="3" numFmtId="10" xfId="0" applyAlignment="1" applyBorder="1" applyFill="1" applyFont="1" applyNumberFormat="1">
      <alignment horizontal="center" vertical="center"/>
    </xf>
    <xf borderId="128" fillId="0" fontId="4" numFmtId="0" xfId="0" applyBorder="1" applyFont="1"/>
    <xf borderId="129" fillId="0" fontId="4" numFmtId="0" xfId="0" applyBorder="1" applyFont="1"/>
    <xf borderId="130" fillId="0" fontId="3" numFmtId="2" xfId="0" applyAlignment="1" applyBorder="1" applyFont="1" applyNumberFormat="1">
      <alignment horizontal="center" vertical="center"/>
    </xf>
    <xf borderId="120" fillId="6" fontId="3" numFmtId="10" xfId="0" applyAlignment="1" applyBorder="1" applyFill="1" applyFont="1" applyNumberFormat="1">
      <alignment horizontal="center" vertical="center"/>
    </xf>
    <xf borderId="46" fillId="0" fontId="2" numFmtId="0" xfId="0" applyAlignment="1" applyBorder="1" applyFont="1">
      <alignment horizontal="center" shrinkToFit="0" vertical="center" wrapText="1"/>
    </xf>
    <xf borderId="131" fillId="0" fontId="3" numFmtId="2" xfId="0" applyAlignment="1" applyBorder="1" applyFont="1" applyNumberFormat="1">
      <alignment horizontal="center" vertical="center"/>
    </xf>
    <xf borderId="43" fillId="0" fontId="2" numFmtId="0" xfId="0" applyAlignment="1" applyBorder="1" applyFont="1">
      <alignment horizontal="center" shrinkToFit="0" vertical="center" wrapText="1"/>
    </xf>
    <xf borderId="44" fillId="0" fontId="2" numFmtId="0" xfId="0" applyAlignment="1" applyBorder="1" applyFont="1">
      <alignment horizontal="center" shrinkToFit="0" vertical="center" wrapText="1"/>
    </xf>
    <xf borderId="0" fillId="0" fontId="3" numFmtId="2" xfId="0" applyAlignment="1" applyFont="1" applyNumberFormat="1">
      <alignment horizontal="center" vertical="center"/>
    </xf>
    <xf borderId="0" fillId="0" fontId="3" numFmtId="10" xfId="0" applyAlignment="1" applyFont="1" applyNumberFormat="1">
      <alignment vertical="center"/>
    </xf>
    <xf borderId="132" fillId="0" fontId="2" numFmtId="0" xfId="0" applyAlignment="1" applyBorder="1" applyFont="1">
      <alignment horizontal="center" shrinkToFit="0" vertical="center" wrapText="1"/>
    </xf>
    <xf borderId="21" fillId="0" fontId="4" numFmtId="0" xfId="0" applyBorder="1" applyFont="1"/>
    <xf borderId="133" fillId="0" fontId="3" numFmtId="0" xfId="0" applyAlignment="1" applyBorder="1" applyFont="1">
      <alignment horizontal="center" shrinkToFit="0" vertical="center" wrapText="1"/>
    </xf>
    <xf borderId="134" fillId="6" fontId="3" numFmtId="10" xfId="0" applyAlignment="1" applyBorder="1" applyFill="1" applyFont="1" applyNumberFormat="1">
      <alignment horizontal="center" shrinkToFit="0" vertical="center" wrapText="1"/>
    </xf>
    <xf borderId="134" fillId="6" fontId="3" numFmtId="2" xfId="0" applyAlignment="1" applyBorder="1" applyFill="1" applyFont="1" applyNumberFormat="1">
      <alignment horizontal="center" shrinkToFit="0" vertical="center" wrapText="1"/>
    </xf>
    <xf borderId="134" fillId="6" fontId="3" numFmtId="0" xfId="0" applyAlignment="1" applyBorder="1" applyFill="1" applyFont="1">
      <alignment horizontal="center" shrinkToFit="0" vertical="center" wrapText="1"/>
    </xf>
    <xf borderId="135" fillId="0" fontId="3" numFmtId="0" xfId="0" applyAlignment="1" applyBorder="1" applyFont="1">
      <alignment horizontal="left" vertical="center"/>
    </xf>
    <xf borderId="136" fillId="0" fontId="2" numFmtId="0" xfId="0" applyAlignment="1" applyBorder="1" applyFont="1">
      <alignment horizontal="center" shrinkToFit="0" vertical="center" wrapText="1"/>
    </xf>
    <xf borderId="137" fillId="6" fontId="3" numFmtId="10" xfId="0" applyAlignment="1" applyBorder="1" applyFill="1" applyFont="1" applyNumberFormat="1">
      <alignment horizontal="center" vertical="center"/>
    </xf>
    <xf borderId="138" fillId="0" fontId="3" numFmtId="2" xfId="0" applyAlignment="1" applyBorder="1" applyFont="1" applyNumberFormat="1">
      <alignment horizontal="center" vertical="center"/>
    </xf>
    <xf borderId="21" fillId="0" fontId="3" numFmtId="0" xfId="0" applyAlignment="1" applyBorder="1" applyFont="1">
      <alignment horizontal="center" shrinkToFit="0" vertical="center" wrapText="1"/>
    </xf>
    <xf borderId="139" fillId="6" fontId="3" numFmtId="10" xfId="0" applyAlignment="1" applyBorder="1" applyFill="1" applyFont="1" applyNumberFormat="1">
      <alignment horizontal="center" vertical="center"/>
    </xf>
    <xf borderId="120" fillId="6" fontId="3" numFmtId="2" xfId="0" applyAlignment="1" applyBorder="1" applyFill="1" applyFont="1" applyNumberFormat="1">
      <alignment horizontal="center" shrinkToFit="0" vertical="center" wrapText="1"/>
    </xf>
    <xf borderId="0" fillId="0" fontId="40" numFmtId="0" xfId="0" applyAlignment="1" applyFont="1">
      <alignment vertical="center"/>
    </xf>
    <xf borderId="130" fillId="6" fontId="3" numFmtId="2" xfId="0" applyAlignment="1" applyBorder="1" applyFill="1" applyFont="1" applyNumberFormat="1">
      <alignment horizontal="center" shrinkToFit="0" vertical="center" wrapText="1"/>
    </xf>
    <xf borderId="140" fillId="0" fontId="3" numFmtId="0" xfId="0" applyAlignment="1" applyBorder="1" applyFont="1">
      <alignment horizontal="center" shrinkToFit="0" vertical="center" wrapText="1"/>
    </xf>
    <xf borderId="141" fillId="6" fontId="3" numFmtId="10" xfId="0" applyAlignment="1" applyBorder="1" applyFill="1" applyFont="1" applyNumberFormat="1">
      <alignment horizontal="center" shrinkToFit="0" vertical="center" wrapText="1"/>
    </xf>
    <xf borderId="141" fillId="6" fontId="3" numFmtId="2" xfId="0" applyAlignment="1" applyBorder="1" applyFill="1" applyFont="1" applyNumberFormat="1">
      <alignment horizontal="center" shrinkToFit="0" vertical="center" wrapText="1"/>
    </xf>
    <xf borderId="141" fillId="6" fontId="3" numFmtId="0" xfId="0" applyAlignment="1" applyBorder="1" applyFill="1" applyFont="1">
      <alignment horizontal="center" shrinkToFit="0" vertical="center" wrapText="1"/>
    </xf>
    <xf borderId="142" fillId="6" fontId="3" numFmtId="2" xfId="0" applyAlignment="1" applyBorder="1" applyFill="1" applyFont="1" applyNumberFormat="1">
      <alignment horizontal="center" shrinkToFit="0" vertical="center" wrapText="1"/>
    </xf>
    <xf borderId="111" fillId="0" fontId="3" numFmtId="0" xfId="0" applyAlignment="1" applyBorder="1" applyFont="1">
      <alignment horizontal="left" vertical="center"/>
    </xf>
    <xf borderId="143" fillId="6" fontId="3" numFmtId="2" xfId="0" applyAlignment="1" applyBorder="1" applyFill="1" applyFont="1" applyNumberFormat="1">
      <alignment horizontal="center" shrinkToFit="0" vertical="center" wrapText="1"/>
    </xf>
    <xf borderId="144" fillId="0" fontId="3" numFmtId="2" xfId="0" applyAlignment="1" applyBorder="1" applyFont="1" applyNumberFormat="1">
      <alignment horizontal="center" shrinkToFit="0" vertical="center" wrapText="1"/>
    </xf>
    <xf borderId="145" fillId="6" fontId="3" numFmtId="10" xfId="0" applyAlignment="1" applyBorder="1" applyFill="1" applyFont="1" applyNumberFormat="1">
      <alignment horizontal="center" vertical="center"/>
    </xf>
    <xf borderId="146" fillId="0" fontId="3" numFmtId="2" xfId="0" applyAlignment="1" applyBorder="1" applyFont="1" applyNumberFormat="1">
      <alignment horizontal="center" shrinkToFit="0" vertical="center" wrapText="1"/>
    </xf>
    <xf borderId="147" fillId="6" fontId="3" numFmtId="10" xfId="0" applyAlignment="1" applyBorder="1" applyFill="1" applyFont="1" applyNumberFormat="1">
      <alignment horizontal="center" vertical="center"/>
    </xf>
    <xf borderId="148" fillId="0" fontId="3" numFmtId="2" xfId="0" applyAlignment="1" applyBorder="1" applyFont="1" applyNumberFormat="1">
      <alignment horizontal="center" shrinkToFit="0" vertical="center" wrapText="1"/>
    </xf>
    <xf borderId="149" fillId="0" fontId="3" numFmtId="2" xfId="0" applyAlignment="1" applyBorder="1" applyFont="1" applyNumberFormat="1">
      <alignment horizontal="center" shrinkToFit="0" vertical="center" wrapText="1"/>
    </xf>
    <xf quotePrefix="1" borderId="150" fillId="6" fontId="3" numFmtId="2" xfId="0" applyAlignment="1" applyBorder="1" applyFill="1" applyFont="1" applyNumberFormat="1">
      <alignment horizontal="center" shrinkToFit="0" vertical="center" wrapText="1"/>
    </xf>
    <xf borderId="43" fillId="0" fontId="41" numFmtId="0" xfId="0" applyBorder="1" applyFont="1"/>
    <xf borderId="61" fillId="0" fontId="3" numFmtId="0" xfId="0" applyAlignment="1" applyBorder="1" applyFont="1">
      <alignment horizontal="center" shrinkToFit="0" vertical="center" wrapText="1"/>
    </xf>
    <xf borderId="121" fillId="0" fontId="3" numFmtId="0" xfId="0" applyAlignment="1" applyBorder="1" applyFont="1">
      <alignment horizontal="left" vertical="center"/>
    </xf>
    <xf borderId="151" fillId="0" fontId="3" numFmtId="0" xfId="0" applyAlignment="1" applyBorder="1" applyFont="1">
      <alignment horizontal="left"/>
    </xf>
    <xf borderId="152" fillId="0" fontId="3" numFmtId="2" xfId="0" applyAlignment="1" applyBorder="1" applyFont="1" applyNumberFormat="1">
      <alignment horizontal="center" shrinkToFit="0" vertical="center" wrapText="1"/>
    </xf>
    <xf borderId="153" fillId="0" fontId="4" numFmtId="0" xfId="0" applyBorder="1" applyFont="1"/>
    <xf borderId="154" fillId="6" fontId="3" numFmtId="2" xfId="0" applyAlignment="1" applyBorder="1" applyFill="1" applyFont="1" applyNumberFormat="1">
      <alignment horizontal="center"/>
    </xf>
    <xf borderId="155" fillId="0" fontId="3" numFmtId="2" xfId="0" applyAlignment="1" applyBorder="1" applyFont="1" applyNumberFormat="1">
      <alignment horizontal="center" vertical="center"/>
    </xf>
    <xf borderId="142" fillId="6" fontId="3" numFmtId="2" xfId="0" applyAlignment="1" applyBorder="1" applyFill="1" applyFont="1" applyNumberFormat="1">
      <alignment horizontal="center"/>
    </xf>
    <xf borderId="156" fillId="6" fontId="3" numFmtId="0" xfId="0" applyBorder="1" applyFill="1" applyFont="1"/>
    <xf borderId="157" fillId="0" fontId="3" numFmtId="0" xfId="0" applyAlignment="1" applyBorder="1" applyFont="1">
      <alignment horizontal="center" shrinkToFit="0" vertical="center" wrapText="1"/>
    </xf>
    <xf borderId="110" fillId="6" fontId="3" numFmtId="10" xfId="0" applyAlignment="1" applyBorder="1" applyFill="1" applyFont="1" applyNumberFormat="1">
      <alignment horizontal="center" shrinkToFit="0" vertical="center" wrapText="1"/>
    </xf>
    <xf borderId="157" fillId="6" fontId="3" numFmtId="2" xfId="0" applyAlignment="1" applyBorder="1" applyFill="1" applyFont="1" applyNumberFormat="1">
      <alignment horizontal="center" shrinkToFit="0" vertical="center" wrapText="1"/>
    </xf>
    <xf borderId="110" fillId="6" fontId="3" numFmtId="2" xfId="0" applyAlignment="1" applyBorder="1" applyFill="1" applyFont="1" applyNumberFormat="1">
      <alignment horizontal="center" shrinkToFit="0" vertical="center" wrapText="1"/>
    </xf>
    <xf borderId="126" fillId="6" fontId="3" numFmtId="2" xfId="0" applyAlignment="1" applyBorder="1" applyFill="1" applyFont="1" applyNumberFormat="1">
      <alignment horizontal="center" shrinkToFit="0" vertical="center" wrapText="1"/>
    </xf>
    <xf borderId="110" fillId="6" fontId="3" numFmtId="0" xfId="0" applyAlignment="1" applyBorder="1" applyFill="1" applyFont="1">
      <alignment horizontal="center" shrinkToFit="0" vertical="center" wrapText="1"/>
    </xf>
    <xf borderId="158" fillId="6" fontId="3" numFmtId="2" xfId="0" applyAlignment="1" applyBorder="1" applyFill="1" applyFont="1" applyNumberFormat="1">
      <alignment horizontal="center" shrinkToFit="0" vertical="center" wrapText="1"/>
    </xf>
    <xf borderId="110" fillId="0" fontId="3" numFmtId="0" xfId="0" applyAlignment="1" applyBorder="1" applyFont="1">
      <alignment horizontal="left" vertical="center"/>
    </xf>
    <xf borderId="159" fillId="6" fontId="3" numFmtId="10" xfId="0" applyAlignment="1" applyBorder="1" applyFill="1" applyFont="1" applyNumberFormat="1">
      <alignment horizontal="center" vertical="center"/>
    </xf>
    <xf borderId="160" fillId="0" fontId="3" numFmtId="2" xfId="0" applyAlignment="1" applyBorder="1" applyFont="1" applyNumberFormat="1">
      <alignment horizontal="center" shrinkToFit="0" vertical="center" wrapText="1"/>
    </xf>
    <xf borderId="126" fillId="0" fontId="3" numFmtId="2" xfId="0" applyAlignment="1" applyBorder="1" applyFont="1" applyNumberFormat="1">
      <alignment horizontal="center" vertical="center"/>
    </xf>
    <xf quotePrefix="1" borderId="161" fillId="6" fontId="3" numFmtId="2" xfId="0" applyAlignment="1" applyBorder="1" applyFill="1" applyFont="1" applyNumberFormat="1">
      <alignment horizontal="center" shrinkToFit="0" vertical="center" wrapText="1"/>
    </xf>
    <xf borderId="43" fillId="0" fontId="3" numFmtId="0" xfId="0" applyBorder="1" applyFont="1"/>
    <xf borderId="162" fillId="0" fontId="3" numFmtId="2" xfId="0" applyAlignment="1" applyBorder="1" applyFont="1" applyNumberFormat="1">
      <alignment horizontal="center" vertical="center"/>
    </xf>
    <xf borderId="157" fillId="6" fontId="3" numFmtId="10" xfId="0" applyAlignment="1" applyBorder="1" applyFill="1" applyFont="1" applyNumberFormat="1">
      <alignment horizontal="center" vertical="center"/>
    </xf>
    <xf borderId="163" fillId="0" fontId="3" numFmtId="0" xfId="0" applyAlignment="1" applyBorder="1" applyFont="1">
      <alignment horizontal="left"/>
    </xf>
    <xf borderId="164" fillId="0" fontId="4" numFmtId="0" xfId="0" applyBorder="1" applyFont="1"/>
    <xf borderId="165" fillId="6" fontId="3" numFmtId="2" xfId="0" applyAlignment="1" applyBorder="1" applyFill="1" applyFont="1" applyNumberFormat="1">
      <alignment horizontal="center"/>
    </xf>
    <xf borderId="0" fillId="0" fontId="5" numFmtId="2" xfId="0" applyFont="1" applyNumberFormat="1"/>
    <xf borderId="158" fillId="6" fontId="3" numFmtId="2" xfId="0" applyAlignment="1" applyBorder="1" applyFill="1" applyFont="1" applyNumberFormat="1">
      <alignment horizontal="center"/>
    </xf>
    <xf borderId="166" fillId="0" fontId="3" numFmtId="0" xfId="0" applyAlignment="1" applyBorder="1" applyFont="1">
      <alignment horizontal="center" shrinkToFit="0" vertical="center" wrapText="1"/>
    </xf>
    <xf borderId="167" fillId="6" fontId="3" numFmtId="0" xfId="0" applyBorder="1" applyFill="1" applyFont="1"/>
    <xf borderId="168" fillId="6" fontId="3" numFmtId="10" xfId="0" applyAlignment="1" applyBorder="1" applyFill="1" applyFont="1" applyNumberFormat="1">
      <alignment horizontal="center" shrinkToFit="0" vertical="center" wrapText="1"/>
    </xf>
    <xf borderId="168" fillId="6" fontId="3" numFmtId="2" xfId="0" applyAlignment="1" applyBorder="1" applyFill="1" applyFont="1" applyNumberFormat="1">
      <alignment horizontal="center" shrinkToFit="0" vertical="center" wrapText="1"/>
    </xf>
    <xf borderId="168" fillId="6" fontId="3" numFmtId="0" xfId="0" applyAlignment="1" applyBorder="1" applyFill="1" applyFont="1">
      <alignment horizontal="center" shrinkToFit="0" vertical="center" wrapText="1"/>
    </xf>
    <xf borderId="0" fillId="0" fontId="42" numFmtId="0" xfId="0" applyFont="1"/>
    <xf borderId="169" fillId="6" fontId="3" numFmtId="10" xfId="0" applyAlignment="1" applyBorder="1" applyFill="1" applyFont="1" applyNumberFormat="1">
      <alignment horizontal="center" vertical="center"/>
    </xf>
    <xf borderId="144" fillId="0" fontId="3" numFmtId="2" xfId="0" applyAlignment="1" applyBorder="1" applyFont="1" applyNumberFormat="1">
      <alignment horizontal="center" vertical="center"/>
    </xf>
    <xf borderId="170" fillId="0" fontId="3" numFmtId="2" xfId="0" applyAlignment="1" applyBorder="1" applyFont="1" applyNumberFormat="1">
      <alignment horizontal="center" vertical="center"/>
    </xf>
    <xf borderId="166" fillId="6" fontId="3" numFmtId="10" xfId="0" applyAlignment="1" applyBorder="1" applyFill="1" applyFont="1" applyNumberFormat="1">
      <alignment horizontal="center" vertical="center"/>
    </xf>
    <xf borderId="171" fillId="0" fontId="3" numFmtId="0" xfId="0" applyAlignment="1" applyBorder="1" applyFont="1">
      <alignment horizontal="center" shrinkToFit="0" vertical="center" wrapText="1"/>
    </xf>
    <xf borderId="172" fillId="6" fontId="3" numFmtId="10" xfId="0" applyAlignment="1" applyBorder="1" applyFill="1" applyFont="1" applyNumberFormat="1">
      <alignment horizontal="center" shrinkToFit="0" vertical="center" wrapText="1"/>
    </xf>
    <xf borderId="172" fillId="6" fontId="3" numFmtId="2" xfId="0" applyAlignment="1" applyBorder="1" applyFill="1" applyFont="1" applyNumberFormat="1">
      <alignment horizontal="center" shrinkToFit="0" vertical="center" wrapText="1"/>
    </xf>
    <xf borderId="172" fillId="6" fontId="3" numFmtId="0" xfId="0" applyAlignment="1" applyBorder="1" applyFill="1" applyFont="1">
      <alignment horizontal="center" shrinkToFit="0" vertical="center" wrapText="1"/>
    </xf>
    <xf borderId="173" fillId="6" fontId="3" numFmtId="2" xfId="0" applyAlignment="1" applyBorder="1" applyFill="1" applyFont="1" applyNumberFormat="1">
      <alignment horizontal="center" shrinkToFit="0" vertical="center" wrapText="1"/>
    </xf>
    <xf borderId="174" fillId="6" fontId="3" numFmtId="2" xfId="0" applyAlignment="1" applyBorder="1" applyFill="1" applyFont="1" applyNumberFormat="1">
      <alignment horizontal="center" shrinkToFit="0" vertical="center" wrapText="1"/>
    </xf>
    <xf borderId="175" fillId="6" fontId="3" numFmtId="10" xfId="0" applyAlignment="1" applyBorder="1" applyFill="1" applyFont="1" applyNumberFormat="1">
      <alignment horizontal="center" vertical="center"/>
    </xf>
    <xf borderId="176" fillId="0" fontId="3" numFmtId="0" xfId="0" applyAlignment="1" applyBorder="1" applyFont="1">
      <alignment horizontal="left"/>
    </xf>
    <xf borderId="152" fillId="0" fontId="3" numFmtId="2" xfId="0" applyAlignment="1" applyBorder="1" applyFont="1" applyNumberFormat="1">
      <alignment horizontal="center" vertical="center"/>
    </xf>
    <xf borderId="177" fillId="0" fontId="4" numFmtId="0" xfId="0" applyBorder="1" applyFont="1"/>
    <xf borderId="178" fillId="6" fontId="3" numFmtId="10" xfId="0" applyAlignment="1" applyBorder="1" applyFill="1" applyFont="1" applyNumberFormat="1">
      <alignment horizontal="center" vertical="center"/>
    </xf>
    <xf borderId="179" fillId="6" fontId="3" numFmtId="2" xfId="0" applyAlignment="1" applyBorder="1" applyFill="1" applyFont="1" applyNumberFormat="1">
      <alignment horizontal="center"/>
    </xf>
    <xf borderId="180" fillId="6" fontId="3" numFmtId="2" xfId="0" applyAlignment="1" applyBorder="1" applyFill="1" applyFont="1" applyNumberFormat="1">
      <alignment horizontal="center"/>
    </xf>
    <xf borderId="149" fillId="0" fontId="3" numFmtId="0" xfId="0" applyAlignment="1" applyBorder="1" applyFont="1">
      <alignment horizontal="center" shrinkToFit="0" vertical="center" wrapText="1"/>
    </xf>
    <xf borderId="30" fillId="6" fontId="3" numFmtId="0" xfId="0" applyBorder="1" applyFill="1" applyFont="1"/>
    <xf borderId="181" fillId="6" fontId="3" numFmtId="2" xfId="0" applyAlignment="1" applyBorder="1" applyFill="1" applyFont="1" applyNumberFormat="1">
      <alignment horizontal="center" shrinkToFit="0" vertical="center" wrapText="1"/>
    </xf>
    <xf borderId="182" fillId="6" fontId="3" numFmtId="2" xfId="0" applyAlignment="1" applyBorder="1" applyFill="1" applyFont="1" applyNumberFormat="1">
      <alignment horizontal="center" shrinkToFit="0" vertical="center" wrapText="1"/>
    </xf>
    <xf borderId="0" fillId="0" fontId="3" numFmtId="2" xfId="0" applyAlignment="1" applyFont="1" applyNumberFormat="1">
      <alignment vertical="center"/>
    </xf>
    <xf borderId="61" fillId="0" fontId="2" numFmtId="0" xfId="0" applyAlignment="1" applyBorder="1" applyFont="1">
      <alignment horizontal="left" shrinkToFit="0" vertical="top" wrapText="1"/>
    </xf>
    <xf borderId="5" fillId="0" fontId="2" numFmtId="0" xfId="0" applyAlignment="1" applyBorder="1" applyFont="1">
      <alignment horizontal="right" shrinkToFit="0" vertical="center" wrapText="1"/>
    </xf>
    <xf borderId="5" fillId="0" fontId="2" numFmtId="2" xfId="0" applyAlignment="1" applyBorder="1" applyFont="1" applyNumberFormat="1">
      <alignment horizontal="center" shrinkToFit="0" vertical="center" wrapText="1"/>
    </xf>
    <xf borderId="183" fillId="0" fontId="2" numFmtId="2" xfId="0" applyAlignment="1" applyBorder="1" applyFont="1" applyNumberFormat="1">
      <alignment horizontal="center" shrinkToFit="0" vertical="center" wrapText="1"/>
    </xf>
    <xf borderId="184" fillId="0" fontId="3" numFmtId="0" xfId="0" applyAlignment="1" applyBorder="1" applyFont="1">
      <alignment horizontal="center" shrinkToFit="0" vertical="center" wrapText="1"/>
    </xf>
    <xf borderId="6" fillId="0" fontId="2" numFmtId="2" xfId="0" applyAlignment="1" applyBorder="1" applyFont="1" applyNumberFormat="1">
      <alignment horizontal="center" shrinkToFit="0" vertical="center" wrapText="1"/>
    </xf>
    <xf borderId="8" fillId="0" fontId="2" numFmtId="2" xfId="0" applyAlignment="1" applyBorder="1" applyFont="1" applyNumberFormat="1">
      <alignment horizontal="center" shrinkToFit="0" vertical="center" wrapText="1"/>
    </xf>
    <xf borderId="98" fillId="28" fontId="3" numFmtId="0" xfId="0" applyAlignment="1" applyBorder="1" applyFill="1" applyFont="1">
      <alignment horizontal="center" shrinkToFit="0" vertical="center" wrapText="1"/>
    </xf>
    <xf borderId="120" fillId="0" fontId="3" numFmtId="0" xfId="0" applyAlignment="1" applyBorder="1" applyFont="1">
      <alignment horizontal="center" vertical="center"/>
    </xf>
    <xf borderId="46" fillId="0" fontId="3" numFmtId="0" xfId="0" applyAlignment="1" applyBorder="1" applyFont="1">
      <alignment horizontal="right" shrinkToFit="0" vertical="center" wrapText="1"/>
    </xf>
    <xf borderId="0" fillId="0" fontId="3" numFmtId="0" xfId="0" applyAlignment="1" applyFont="1">
      <alignment horizontal="right" shrinkToFit="0" vertical="center" wrapText="1"/>
    </xf>
    <xf borderId="0" fillId="0" fontId="41" numFmtId="0" xfId="0" applyAlignment="1" applyFont="1">
      <alignment horizontal="center" shrinkToFit="0" vertical="center" wrapText="1"/>
    </xf>
    <xf borderId="0" fillId="0" fontId="3" numFmtId="0" xfId="0" applyAlignment="1" applyFont="1">
      <alignment horizontal="center" shrinkToFit="0" vertical="center" wrapText="1"/>
    </xf>
    <xf borderId="5" fillId="3" fontId="2" numFmtId="0" xfId="0" applyAlignment="1" applyBorder="1" applyFill="1" applyFont="1">
      <alignment horizontal="center" shrinkToFit="0" wrapText="1"/>
    </xf>
    <xf borderId="185" fillId="0" fontId="3" numFmtId="0" xfId="0" applyBorder="1" applyFont="1"/>
    <xf borderId="186" fillId="8" fontId="3" numFmtId="9" xfId="0" applyAlignment="1" applyBorder="1" applyFill="1" applyFont="1" applyNumberFormat="1">
      <alignment horizontal="center"/>
    </xf>
    <xf borderId="187" fillId="0" fontId="3" numFmtId="0" xfId="0" applyAlignment="1" applyBorder="1" applyFont="1">
      <alignment horizontal="center" shrinkToFit="0" vertical="center" wrapText="1"/>
    </xf>
    <xf borderId="188" fillId="0" fontId="3" numFmtId="0" xfId="0" applyAlignment="1" applyBorder="1" applyFont="1">
      <alignment horizontal="center" shrinkToFit="0" vertical="center" wrapText="1"/>
    </xf>
    <xf borderId="189" fillId="0" fontId="3" numFmtId="0" xfId="0" applyBorder="1" applyFont="1"/>
    <xf borderId="190" fillId="8" fontId="3" numFmtId="9" xfId="0" applyAlignment="1" applyBorder="1" applyFill="1" applyFont="1" applyNumberFormat="1">
      <alignment horizontal="center"/>
    </xf>
    <xf borderId="191" fillId="0" fontId="4" numFmtId="0" xfId="0" applyBorder="1" applyFont="1"/>
    <xf borderId="192" fillId="0" fontId="4" numFmtId="0" xfId="0" applyBorder="1" applyFont="1"/>
    <xf borderId="9" fillId="0" fontId="3" numFmtId="0" xfId="0" applyBorder="1" applyFont="1"/>
    <xf borderId="168" fillId="0" fontId="3" numFmtId="0" xfId="0" applyAlignment="1" applyBorder="1" applyFont="1">
      <alignment horizontal="left" vertical="center"/>
    </xf>
    <xf borderId="8" fillId="0" fontId="3" numFmtId="9" xfId="0" applyAlignment="1" applyBorder="1" applyFont="1" applyNumberFormat="1">
      <alignment horizontal="center"/>
    </xf>
    <xf borderId="193" fillId="8" fontId="3" numFmtId="0" xfId="0" applyAlignment="1" applyBorder="1" applyFill="1" applyFont="1">
      <alignment shrinkToFit="0" vertical="center" wrapText="1"/>
    </xf>
    <xf borderId="194" fillId="8" fontId="3" numFmtId="0" xfId="0" applyAlignment="1" applyBorder="1" applyFill="1" applyFont="1">
      <alignment shrinkToFit="0" vertical="center" wrapText="1"/>
    </xf>
    <xf borderId="146" fillId="0" fontId="3" numFmtId="0" xfId="0" applyAlignment="1" applyBorder="1" applyFont="1">
      <alignment horizontal="center" shrinkToFit="0" vertical="center" wrapText="1"/>
    </xf>
    <xf borderId="130" fillId="0" fontId="3" numFmtId="2" xfId="0" applyAlignment="1" applyBorder="1" applyFont="1" applyNumberFormat="1">
      <alignment horizontal="center" shrinkToFit="0" vertical="center" wrapText="1"/>
    </xf>
    <xf borderId="193" fillId="0" fontId="3" numFmtId="0" xfId="0" applyAlignment="1" applyBorder="1" applyFont="1">
      <alignment shrinkToFit="0" vertical="center" wrapText="1"/>
    </xf>
    <xf borderId="8" fillId="0" fontId="3" numFmtId="0" xfId="0" applyAlignment="1" applyBorder="1" applyFont="1">
      <alignment shrinkToFit="0" vertical="center" wrapText="1"/>
    </xf>
    <xf borderId="195" fillId="0" fontId="3" numFmtId="0" xfId="0" applyAlignment="1" applyBorder="1" applyFont="1">
      <alignment horizontal="center" shrinkToFit="0" vertical="center" wrapText="1"/>
    </xf>
    <xf borderId="47" fillId="0" fontId="3" numFmtId="0" xfId="0" applyAlignment="1" applyBorder="1" applyFont="1">
      <alignment shrinkToFit="0" vertical="center" wrapText="1"/>
    </xf>
    <xf borderId="10" fillId="26" fontId="3" numFmtId="0" xfId="0" applyAlignment="1" applyBorder="1" applyFill="1" applyFont="1">
      <alignment vertical="center"/>
    </xf>
    <xf borderId="62" fillId="0" fontId="3" numFmtId="0" xfId="0" applyBorder="1" applyFont="1"/>
    <xf borderId="62" fillId="0" fontId="3" numFmtId="0" xfId="0" applyAlignment="1" applyBorder="1" applyFont="1">
      <alignment horizontal="center"/>
    </xf>
    <xf borderId="196" fillId="0" fontId="3" numFmtId="0" xfId="0" applyAlignment="1" applyBorder="1" applyFont="1">
      <alignment horizontal="center" shrinkToFit="0" vertical="center" wrapText="1"/>
    </xf>
    <xf borderId="0" fillId="0" fontId="38" numFmtId="0" xfId="0" applyFont="1"/>
    <xf borderId="0" fillId="0" fontId="43" numFmtId="0" xfId="0" applyFont="1"/>
    <xf borderId="0" fillId="0" fontId="44" numFmtId="2" xfId="0" applyAlignment="1" applyFont="1" applyNumberFormat="1">
      <alignment horizontal="center" vertical="center"/>
    </xf>
    <xf borderId="0" fillId="0" fontId="45" numFmtId="0" xfId="0" applyAlignment="1" applyFont="1">
      <alignment horizontal="center"/>
    </xf>
    <xf borderId="0" fillId="0" fontId="46" numFmtId="0" xfId="0" applyFont="1"/>
    <xf borderId="73" fillId="20" fontId="3" numFmtId="1" xfId="0" applyBorder="1" applyFill="1" applyFont="1" applyNumberFormat="1"/>
    <xf borderId="0" fillId="0" fontId="5" numFmtId="10" xfId="0" applyFont="1" applyNumberFormat="1"/>
    <xf borderId="0" fillId="0" fontId="47" numFmtId="0" xfId="0" applyFont="1"/>
    <xf borderId="197" fillId="3" fontId="2" numFmtId="0" xfId="0" applyAlignment="1" applyBorder="1" applyFill="1" applyFont="1">
      <alignment horizontal="center" shrinkToFit="0" vertical="center" wrapText="1"/>
    </xf>
    <xf borderId="198" fillId="3" fontId="2" numFmtId="0" xfId="0" applyAlignment="1" applyBorder="1" applyFill="1" applyFont="1">
      <alignment horizontal="center" shrinkToFit="0" vertical="center" wrapText="1"/>
    </xf>
    <xf borderId="199" fillId="3" fontId="2" numFmtId="0" xfId="0" applyAlignment="1" applyBorder="1" applyFill="1" applyFont="1">
      <alignment horizontal="center" shrinkToFit="0" vertical="center" wrapText="1"/>
    </xf>
    <xf borderId="199" fillId="3" fontId="2" numFmtId="0" xfId="0" applyAlignment="1" applyBorder="1" applyFill="1" applyFont="1">
      <alignment horizontal="center" vertical="center"/>
    </xf>
    <xf borderId="200" fillId="3" fontId="2" numFmtId="0" xfId="0" applyAlignment="1" applyBorder="1" applyFill="1" applyFont="1">
      <alignment horizontal="center" vertical="center"/>
    </xf>
    <xf borderId="5" fillId="0" fontId="2" numFmtId="0" xfId="0" applyAlignment="1" applyBorder="1" applyFont="1">
      <alignment horizontal="right" vertical="center"/>
    </xf>
    <xf borderId="5" fillId="0" fontId="2" numFmtId="2" xfId="0" applyAlignment="1" applyBorder="1" applyFont="1" applyNumberFormat="1">
      <alignment horizontal="center" vertical="center"/>
    </xf>
    <xf borderId="61" fillId="0" fontId="2" numFmtId="0" xfId="0" applyAlignment="1" applyBorder="1" applyFont="1">
      <alignment shrinkToFit="0" vertical="top" wrapText="1"/>
    </xf>
    <xf borderId="61" fillId="0" fontId="3" numFmtId="0" xfId="0" applyAlignment="1" applyBorder="1" applyFont="1">
      <alignment shrinkToFit="0" vertical="top" wrapText="1"/>
    </xf>
    <xf borderId="201" fillId="3" fontId="5" numFmtId="0" xfId="0" applyBorder="1" applyFill="1" applyFont="1"/>
    <xf borderId="202" fillId="3" fontId="5" numFmtId="0" xfId="0" applyBorder="1" applyFill="1" applyFont="1"/>
    <xf borderId="202" fillId="3" fontId="38" numFmtId="0" xfId="0" applyAlignment="1" applyBorder="1" applyFill="1" applyFont="1">
      <alignment horizontal="center"/>
    </xf>
    <xf borderId="203" fillId="3" fontId="38" numFmtId="0" xfId="0" applyAlignment="1" applyBorder="1" applyFill="1" applyFont="1">
      <alignment horizontal="center"/>
    </xf>
    <xf borderId="204" fillId="0" fontId="4" numFmtId="0" xfId="0" applyBorder="1" applyFont="1"/>
    <xf borderId="205" fillId="3" fontId="5" numFmtId="0" xfId="0" applyBorder="1" applyFill="1" applyFont="1"/>
    <xf borderId="201" fillId="3" fontId="38" numFmtId="0" xfId="0" applyAlignment="1" applyBorder="1" applyFill="1" applyFont="1">
      <alignment horizontal="center"/>
    </xf>
    <xf borderId="202" fillId="3" fontId="38" numFmtId="0" xfId="0" applyAlignment="1" applyBorder="1" applyFill="1" applyFont="1">
      <alignment horizontal="left"/>
    </xf>
    <xf borderId="205" fillId="3" fontId="38" numFmtId="0" xfId="0" applyAlignment="1" applyBorder="1" applyFill="1" applyFont="1">
      <alignment horizontal="center"/>
    </xf>
    <xf borderId="10" fillId="25" fontId="38" numFmtId="0" xfId="0" applyBorder="1" applyFill="1" applyFont="1"/>
    <xf borderId="10" fillId="25" fontId="5" numFmtId="3" xfId="0" applyAlignment="1" applyBorder="1" applyFill="1" applyFont="1" applyNumberFormat="1">
      <alignment horizontal="center"/>
    </xf>
    <xf borderId="0" fillId="0" fontId="5" numFmtId="3" xfId="0" applyAlignment="1" applyFont="1" applyNumberFormat="1">
      <alignment horizontal="center"/>
    </xf>
    <xf borderId="10" fillId="25" fontId="5" numFmtId="0" xfId="0" applyBorder="1" applyFill="1" applyFont="1"/>
    <xf borderId="10" fillId="25" fontId="48" numFmtId="0" xfId="0" applyBorder="1" applyFill="1" applyFont="1"/>
    <xf borderId="10" fillId="25" fontId="5" numFmtId="0" xfId="0" applyAlignment="1" applyBorder="1" applyFill="1" applyFont="1">
      <alignment horizontal="center"/>
    </xf>
    <xf borderId="33" fillId="3" fontId="2" numFmtId="0" xfId="0" applyAlignment="1" applyBorder="1" applyFill="1" applyFont="1">
      <alignment horizontal="center"/>
    </xf>
    <xf borderId="206" fillId="0" fontId="4" numFmtId="0" xfId="0" applyBorder="1" applyFont="1"/>
    <xf borderId="9" fillId="3" fontId="2" numFmtId="0" xfId="0" applyAlignment="1" applyBorder="1" applyFill="1" applyFont="1">
      <alignment shrinkToFit="0" vertical="center" wrapText="1"/>
    </xf>
    <xf borderId="9" fillId="3" fontId="2" numFmtId="0" xfId="0" applyAlignment="1" applyBorder="1" applyFill="1" applyFont="1">
      <alignment horizontal="center" shrinkToFit="0" vertical="center" wrapText="1"/>
    </xf>
    <xf borderId="9" fillId="3" fontId="2" numFmtId="0" xfId="0" applyAlignment="1" applyBorder="1" applyFill="1" applyFont="1">
      <alignment horizontal="center"/>
    </xf>
    <xf borderId="55" fillId="0" fontId="3" numFmtId="0" xfId="0" applyAlignment="1" applyBorder="1" applyFont="1">
      <alignment horizontal="center" shrinkToFit="0" wrapText="1"/>
    </xf>
    <xf borderId="3" fillId="0" fontId="3" numFmtId="0" xfId="0" applyAlignment="1" applyBorder="1" applyFont="1">
      <alignment horizontal="center"/>
    </xf>
    <xf borderId="2" fillId="0" fontId="3" numFmtId="0" xfId="0" applyAlignment="1" applyBorder="1" applyFont="1">
      <alignment horizontal="center"/>
    </xf>
    <xf borderId="17" fillId="26" fontId="3" numFmtId="0" xfId="0" applyBorder="1" applyFill="1" applyFont="1"/>
    <xf borderId="19" fillId="26" fontId="3" numFmtId="2" xfId="0" applyAlignment="1" applyBorder="1" applyFill="1" applyFont="1" applyNumberFormat="1">
      <alignment horizontal="center"/>
    </xf>
    <xf borderId="207" fillId="26" fontId="3" numFmtId="2" xfId="0" applyAlignment="1" applyBorder="1" applyFill="1" applyFont="1" applyNumberFormat="1">
      <alignment horizontal="center"/>
    </xf>
    <xf borderId="208" fillId="0" fontId="4" numFmtId="0" xfId="0" applyBorder="1" applyFont="1"/>
    <xf borderId="20" fillId="0" fontId="9" numFmtId="2" xfId="0" applyAlignment="1" applyBorder="1" applyFont="1" applyNumberFormat="1">
      <alignment horizontal="center"/>
    </xf>
    <xf borderId="5" fillId="3" fontId="49" numFmtId="49" xfId="0" applyAlignment="1" applyBorder="1" applyFill="1" applyFont="1" applyNumberFormat="1">
      <alignment horizontal="center"/>
    </xf>
    <xf borderId="66" fillId="0" fontId="3" numFmtId="0" xfId="0" applyAlignment="1" applyBorder="1" applyFont="1">
      <alignment horizontal="center"/>
    </xf>
    <xf borderId="65" fillId="0" fontId="3" numFmtId="0" xfId="0" applyAlignment="1" applyBorder="1" applyFont="1">
      <alignment horizontal="center"/>
    </xf>
    <xf borderId="98" fillId="0" fontId="2" numFmtId="49" xfId="0" applyAlignment="1" applyBorder="1" applyFont="1" applyNumberFormat="1">
      <alignment horizontal="center"/>
    </xf>
    <xf borderId="98" fillId="0" fontId="2" numFmtId="0" xfId="0" applyAlignment="1" applyBorder="1" applyFont="1">
      <alignment horizontal="center"/>
    </xf>
    <xf borderId="209" fillId="0" fontId="2" numFmtId="49" xfId="0" applyAlignment="1" applyBorder="1" applyFont="1" applyNumberFormat="1">
      <alignment horizontal="center"/>
    </xf>
    <xf borderId="210" fillId="0" fontId="4" numFmtId="0" xfId="0" applyBorder="1" applyFont="1"/>
    <xf borderId="60" fillId="0" fontId="4" numFmtId="0" xfId="0" applyBorder="1" applyFont="1"/>
    <xf borderId="51" fillId="0" fontId="2" numFmtId="0" xfId="0" applyBorder="1" applyFont="1"/>
    <xf borderId="10" fillId="10" fontId="5" numFmtId="0" xfId="0" applyBorder="1" applyFill="1" applyFont="1"/>
    <xf borderId="22" fillId="0" fontId="3" numFmtId="49" xfId="0" applyAlignment="1" applyBorder="1" applyFont="1" applyNumberFormat="1">
      <alignment horizontal="left"/>
    </xf>
    <xf borderId="2" fillId="6" fontId="3" numFmtId="0" xfId="0" applyBorder="1" applyFill="1" applyFont="1"/>
    <xf borderId="51" fillId="0" fontId="3" numFmtId="0" xfId="0" applyBorder="1" applyFont="1"/>
    <xf borderId="22" fillId="26" fontId="3" numFmtId="0" xfId="0" applyBorder="1" applyFill="1" applyFont="1"/>
    <xf borderId="2" fillId="26" fontId="3" numFmtId="2" xfId="0" applyAlignment="1" applyBorder="1" applyFill="1" applyFont="1" applyNumberFormat="1">
      <alignment horizontal="center"/>
    </xf>
    <xf borderId="3" fillId="26" fontId="50" numFmtId="2" xfId="0" applyAlignment="1" applyBorder="1" applyFill="1" applyFont="1" applyNumberFormat="1">
      <alignment horizontal="center"/>
    </xf>
    <xf borderId="51" fillId="0" fontId="9" numFmtId="2" xfId="0" applyAlignment="1" applyBorder="1" applyFont="1" applyNumberFormat="1">
      <alignment horizontal="center"/>
    </xf>
    <xf borderId="7" fillId="0" fontId="3" numFmtId="0" xfId="0" applyBorder="1" applyFont="1"/>
    <xf borderId="22" fillId="0" fontId="3" numFmtId="49" xfId="0" applyBorder="1" applyFont="1" applyNumberFormat="1"/>
    <xf borderId="22" fillId="0" fontId="3" numFmtId="49" xfId="0" applyAlignment="1" applyBorder="1" applyFont="1" applyNumberFormat="1">
      <alignment horizontal="left" vertical="center"/>
    </xf>
    <xf borderId="205" fillId="6" fontId="3" numFmtId="0" xfId="0" applyAlignment="1" applyBorder="1" applyFill="1" applyFont="1">
      <alignment horizontal="right"/>
    </xf>
    <xf borderId="205" fillId="6" fontId="3" numFmtId="0" xfId="0" applyBorder="1" applyFill="1" applyFont="1"/>
    <xf borderId="3" fillId="12" fontId="3" numFmtId="2" xfId="0" applyAlignment="1" applyBorder="1" applyFill="1" applyFont="1" applyNumberFormat="1">
      <alignment horizontal="center"/>
    </xf>
    <xf borderId="205" fillId="8" fontId="3" numFmtId="0" xfId="0" applyBorder="1" applyFill="1" applyFont="1"/>
    <xf borderId="2" fillId="8" fontId="3" numFmtId="0" xfId="0" applyBorder="1" applyFill="1" applyFont="1"/>
    <xf borderId="51" fillId="8" fontId="3" numFmtId="0" xfId="0" applyBorder="1" applyFill="1" applyFont="1"/>
    <xf borderId="101" fillId="26" fontId="3" numFmtId="0" xfId="0" applyBorder="1" applyFill="1" applyFont="1"/>
    <xf borderId="58" fillId="26" fontId="3" numFmtId="2" xfId="0" applyAlignment="1" applyBorder="1" applyFill="1" applyFont="1" applyNumberFormat="1">
      <alignment horizontal="center"/>
    </xf>
    <xf borderId="40" fillId="26" fontId="3" numFmtId="2" xfId="0" applyAlignment="1" applyBorder="1" applyFill="1" applyFont="1" applyNumberFormat="1">
      <alignment horizontal="center"/>
    </xf>
    <xf borderId="59" fillId="0" fontId="9" numFmtId="2" xfId="0" applyAlignment="1" applyBorder="1" applyFont="1" applyNumberFormat="1">
      <alignment horizontal="center"/>
    </xf>
    <xf borderId="10" fillId="29" fontId="3" numFmtId="0" xfId="0" applyBorder="1" applyFill="1" applyFont="1"/>
    <xf borderId="51" fillId="0" fontId="2" numFmtId="49" xfId="0" applyAlignment="1" applyBorder="1" applyFont="1" applyNumberFormat="1">
      <alignment horizontal="right"/>
    </xf>
    <xf borderId="2" fillId="6" fontId="2" numFmtId="49" xfId="0" applyAlignment="1" applyBorder="1" applyFill="1" applyFont="1" applyNumberFormat="1">
      <alignment horizontal="center"/>
    </xf>
    <xf borderId="2" fillId="6" fontId="3" numFmtId="49" xfId="0" applyAlignment="1" applyBorder="1" applyFill="1" applyFont="1" applyNumberFormat="1">
      <alignment horizontal="right"/>
    </xf>
    <xf borderId="211" fillId="3" fontId="2" numFmtId="0" xfId="0" applyAlignment="1" applyBorder="1" applyFill="1" applyFont="1">
      <alignment horizontal="center"/>
    </xf>
    <xf borderId="212" fillId="0" fontId="4" numFmtId="0" xfId="0" applyBorder="1" applyFont="1"/>
    <xf borderId="213" fillId="0" fontId="3" numFmtId="49" xfId="0" applyAlignment="1" applyBorder="1" applyFont="1" applyNumberFormat="1">
      <alignment horizontal="left"/>
    </xf>
    <xf borderId="214" fillId="0" fontId="4" numFmtId="0" xfId="0" applyBorder="1" applyFont="1"/>
    <xf borderId="215" fillId="6" fontId="3" numFmtId="0" xfId="0" applyBorder="1" applyFill="1" applyFont="1"/>
    <xf borderId="22" fillId="8" fontId="3" numFmtId="0" xfId="0" applyBorder="1" applyFill="1" applyFont="1"/>
    <xf borderId="216" fillId="0" fontId="3" numFmtId="0" xfId="0" applyBorder="1" applyFont="1"/>
    <xf borderId="43" fillId="0" fontId="3" numFmtId="49" xfId="0" applyBorder="1" applyFont="1" applyNumberFormat="1"/>
    <xf borderId="0" fillId="0" fontId="2" numFmtId="0" xfId="0" applyAlignment="1" applyFont="1">
      <alignment horizontal="right"/>
    </xf>
    <xf borderId="44" fillId="0" fontId="2" numFmtId="0" xfId="0" applyBorder="1" applyFont="1"/>
    <xf borderId="217" fillId="27" fontId="2" numFmtId="0" xfId="0" applyBorder="1" applyFill="1" applyFont="1"/>
    <xf borderId="45" fillId="0" fontId="3" numFmtId="49" xfId="0" applyBorder="1" applyFont="1" applyNumberFormat="1"/>
    <xf borderId="46" fillId="0" fontId="3" numFmtId="0" xfId="0" applyBorder="1" applyFont="1"/>
    <xf borderId="47" fillId="0" fontId="2" numFmtId="0" xfId="0" applyAlignment="1" applyBorder="1" applyFont="1">
      <alignment shrinkToFit="0" wrapText="1"/>
    </xf>
    <xf borderId="0" fillId="0" fontId="3" numFmtId="49" xfId="0" applyFont="1" applyNumberFormat="1"/>
    <xf borderId="0" fillId="0" fontId="3" numFmtId="0" xfId="0" applyAlignment="1" applyFont="1">
      <alignment shrinkToFit="0" wrapText="1"/>
    </xf>
    <xf borderId="0" fillId="0" fontId="5" numFmtId="49" xfId="0" applyFont="1" applyNumberFormat="1"/>
    <xf borderId="0" fillId="0" fontId="5" numFmtId="9" xfId="0" applyFont="1" applyNumberFormat="1"/>
    <xf borderId="101" fillId="8" fontId="3" numFmtId="0" xfId="0" applyBorder="1" applyFill="1" applyFont="1"/>
    <xf borderId="58" fillId="8" fontId="3" numFmtId="0" xfId="0" applyBorder="1" applyFill="1" applyFont="1"/>
    <xf borderId="59" fillId="8" fontId="3" numFmtId="0" xfId="0" applyBorder="1" applyFill="1" applyFont="1"/>
    <xf borderId="2" fillId="0" fontId="3" numFmtId="178" xfId="0" applyBorder="1" applyFont="1" applyNumberFormat="1"/>
    <xf borderId="218" fillId="26" fontId="3" numFmtId="0" xfId="0" applyBorder="1" applyFill="1" applyFont="1"/>
    <xf borderId="60" fillId="0" fontId="3" numFmtId="1" xfId="0" applyAlignment="1" applyBorder="1" applyFont="1" applyNumberFormat="1">
      <alignment horizontal="right"/>
    </xf>
  </cellXfs>
  <cellStyles count="1">
    <cellStyle xfId="0" name="Normal" builtinId="0"/>
  </cellStyles>
  <dxfs count="7">
    <dxf>
      <font/>
      <fill>
        <patternFill patternType="solid">
          <fgColor rgb="FFB7E1CD"/>
          <bgColor rgb="FFB7E1CD"/>
        </patternFill>
      </fill>
      <border/>
    </dxf>
    <dxf>
      <font>
        <color rgb="FF9C0006"/>
      </font>
      <fill>
        <patternFill patternType="solid">
          <fgColor rgb="FFFFC7CE"/>
          <bgColor rgb="FFFFC7CE"/>
        </patternFill>
      </fill>
      <border/>
    </dxf>
    <dxf>
      <font>
        <color rgb="FF006100"/>
      </font>
      <fill>
        <patternFill patternType="solid">
          <fgColor rgb="FFC6EFCE"/>
          <bgColor rgb="FFC6EFCE"/>
        </patternFill>
      </fill>
      <border/>
    </dxf>
    <dxf>
      <font/>
      <fill>
        <patternFill patternType="solid">
          <fgColor rgb="FFFF0000"/>
          <bgColor rgb="FFFF0000"/>
        </patternFill>
      </fill>
      <border/>
    </dxf>
    <dxf>
      <font>
        <color rgb="FF9C5700"/>
      </font>
      <fill>
        <patternFill patternType="solid">
          <fgColor rgb="FFFFEB9C"/>
          <bgColor rgb="FFFFEB9C"/>
        </patternFill>
      </fill>
      <border/>
    </dxf>
    <dxf>
      <font/>
      <fill>
        <patternFill patternType="solid">
          <fgColor rgb="FFD3DBEB"/>
          <bgColor rgb="FFD3DBEB"/>
        </patternFill>
      </fill>
      <border/>
    </dxf>
    <dxf>
      <font/>
      <fill>
        <patternFill patternType="solid">
          <fgColor theme="0"/>
          <bgColor theme="0"/>
        </patternFill>
      </fill>
      <border/>
    </dxf>
  </dxf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6"/></Relationships>
</file>

<file path=xl/_rels/comments3.xml.rels><?xml version="1.0" encoding="UTF-8" standalone="yes"?><Relationships xmlns="http://schemas.openxmlformats.org/package/2006/relationships"><Relationship Id="rId1" Type="http://customschemas.google.com/relationships/workbookmetadata" Target="commentsmeta1"/></Relationships>
</file>

<file path=xl/_rels/comments4.xml.rels><?xml version="1.0" encoding="UTF-8" standalone="yes"?><Relationships xmlns="http://schemas.openxmlformats.org/package/2006/relationships"><Relationship Id="rId1" Type="http://customschemas.google.com/relationships/workbookmetadata" Target="commentsmeta10"/></Relationships>
</file>

<file path=xl/_rels/comments5.xml.rels><?xml version="1.0" encoding="UTF-8" standalone="yes"?><Relationships xmlns="http://schemas.openxmlformats.org/package/2006/relationships"><Relationship Id="rId1" Type="http://customschemas.google.com/relationships/workbookmetadata" Target="commentsmeta2"/></Relationships>
</file>

<file path=xl/_rels/comments6.xml.rels><?xml version="1.0" encoding="UTF-8" standalone="yes"?><Relationships xmlns="http://schemas.openxmlformats.org/package/2006/relationships"><Relationship Id="rId1" Type="http://customschemas.google.com/relationships/workbookmetadata" Target="commentsmeta3"/></Relationships>
</file>

<file path=xl/_rels/comments7.xml.rels><?xml version="1.0" encoding="UTF-8" standalone="yes"?><Relationships xmlns="http://schemas.openxmlformats.org/package/2006/relationships"><Relationship Id="rId1" Type="http://customschemas.google.com/relationships/workbookmetadata" Target="commentsmeta4"/></Relationships>
</file>

<file path=xl/_rels/comments8.xml.rels><?xml version="1.0" encoding="UTF-8" standalone="yes"?><Relationships xmlns="http://schemas.openxmlformats.org/package/2006/relationships"><Relationship Id="rId1" Type="http://customschemas.google.com/relationships/workbookmetadata" Target="commentsmeta5"/></Relationships>
</file>

<file path=xl/_rels/comments9.xml.rels><?xml version="1.0" encoding="UTF-8" standalone="yes"?><Relationships xmlns="http://schemas.openxmlformats.org/package/2006/relationships"><Relationship Id="rId1" Type="http://customschemas.google.com/relationships/workbookmetadata" Target="commentsmeta7"/></Relationships>
</file>

<file path=xl/_rels/comments10.xml.rels><?xml version="1.0" encoding="UTF-8" standalone="yes"?><Relationships xmlns="http://schemas.openxmlformats.org/package/2006/relationships"><Relationship Id="rId1" Type="http://customschemas.google.com/relationships/workbookmetadata" Target="commentsmeta11"/></Relationships>
</file>

<file path=xl/_rels/comments11.xml.rels><?xml version="1.0" encoding="UTF-8" standalone="yes"?><Relationships xmlns="http://schemas.openxmlformats.org/package/2006/relationships"><Relationship Id="rId1" Type="http://customschemas.google.com/relationships/workbookmetadata" Target="commentsmeta8"/></Relationships>
</file>

<file path=xl/_rels/comments12.xml.rels><?xml version="1.0" encoding="UTF-8" standalone="yes"?><Relationships xmlns="http://schemas.openxmlformats.org/package/2006/relationships"><Relationship Id="rId1" Type="http://customschemas.google.com/relationships/workbookmetadata" Target="commentsmeta9"/></Relationships>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11" Type="http://schemas.openxmlformats.org/officeDocument/2006/relationships/worksheet" Target="worksheets/sheet8.xml"/><Relationship Id="rId22" Type="http://schemas.openxmlformats.org/officeDocument/2006/relationships/externalLink" Target="externalLinks/externalLink1.xml"/><Relationship Id="rId10" Type="http://schemas.openxmlformats.org/officeDocument/2006/relationships/worksheet" Target="worksheets/sheet7.xml"/><Relationship Id="rId21" Type="http://schemas.openxmlformats.org/officeDocument/2006/relationships/worksheet" Target="worksheets/sheet18.xml"/><Relationship Id="rId13" Type="http://schemas.openxmlformats.org/officeDocument/2006/relationships/worksheet" Target="worksheets/sheet10.xml"/><Relationship Id="rId24" Type="http://customschemas.google.com/relationships/workbookmetadata" Target="metadata"/><Relationship Id="rId12" Type="http://schemas.openxmlformats.org/officeDocument/2006/relationships/worksheet" Target="worksheets/sheet9.xml"/><Relationship Id="rId23" Type="http://schemas.openxmlformats.org/officeDocument/2006/relationships/externalLink" Target="externalLinks/externalLink2.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i="0" sz="2000">
                <a:solidFill>
                  <a:srgbClr val="757575"/>
                </a:solidFill>
                <a:latin typeface="Arial"/>
              </a:defRPr>
            </a:pPr>
            <a:r>
              <a:rPr b="0" i="0" sz="2000">
                <a:solidFill>
                  <a:srgbClr val="757575"/>
                </a:solidFill>
                <a:latin typeface="Arial"/>
              </a:rPr>
              <a:t>Battery Capacity in One Day</a:t>
            </a:r>
          </a:p>
        </c:rich>
      </c:tx>
      <c:overlay val="0"/>
    </c:title>
    <c:plotArea>
      <c:layout/>
      <c:areaChart>
        <c:grouping val="stacked"/>
        <c:ser>
          <c:idx val="0"/>
          <c:order val="0"/>
          <c:tx>
            <c:v>Eclipse</c:v>
          </c:tx>
          <c:spPr>
            <a:solidFill>
              <a:srgbClr val="4285F4">
                <a:alpha val="30000"/>
              </a:srgbClr>
            </a:solidFill>
            <a:ln cmpd="sng">
              <a:solidFill>
                <a:srgbClr val="4285F4"/>
              </a:solidFill>
            </a:ln>
          </c:spPr>
          <c:val>
            <c:numRef>
              <c:f>'Orbit Info'!$D$3</c:f>
              <c:numCache/>
            </c:numRef>
          </c:val>
        </c:ser>
        <c:axId val="988231209"/>
        <c:axId val="1002462701"/>
      </c:areaChart>
      <c:lineChart>
        <c:ser>
          <c:idx val="1"/>
          <c:order val="1"/>
          <c:tx>
            <c:v>Battery</c:v>
          </c:tx>
          <c:spPr>
            <a:ln cmpd="sng" w="38100">
              <a:solidFill>
                <a:schemeClr val="accent4"/>
              </a:solidFill>
            </a:ln>
          </c:spPr>
          <c:marker>
            <c:symbol val="none"/>
          </c:marker>
          <c:val>
            <c:numRef>
              <c:f>'Orbit Info'!$D$53:$D$1442</c:f>
              <c:numCache/>
            </c:numRef>
          </c:val>
          <c:smooth val="0"/>
        </c:ser>
        <c:ser>
          <c:idx val="2"/>
          <c:order val="2"/>
          <c:spPr>
            <a:ln cmpd="sng">
              <a:solidFill>
                <a:srgbClr val="FBBC04"/>
              </a:solidFill>
            </a:ln>
          </c:spPr>
          <c:marker>
            <c:symbol val="none"/>
          </c:marker>
          <c:val>
            <c:numRef>
              <c:f>'Energy Balance'!$K$4</c:f>
              <c:numCache/>
            </c:numRef>
          </c:val>
          <c:smooth val="0"/>
        </c:ser>
        <c:ser>
          <c:idx val="3"/>
          <c:order val="3"/>
          <c:spPr>
            <a:ln cmpd="sng">
              <a:solidFill>
                <a:srgbClr val="34A853"/>
              </a:solidFill>
            </a:ln>
          </c:spPr>
          <c:marker>
            <c:symbol val="none"/>
          </c:marker>
          <c:val>
            <c:numRef>
              <c:f>'Energy Balance'!$K$54:$K$1443</c:f>
              <c:numCache/>
            </c:numRef>
          </c:val>
          <c:smooth val="0"/>
        </c:ser>
        <c:axId val="988231209"/>
        <c:axId val="1002462701"/>
      </c:lineChart>
      <c:catAx>
        <c:axId val="988231209"/>
        <c:scaling>
          <c:orientation val="minMax"/>
        </c:scaling>
        <c:delete val="0"/>
        <c:axPos val="b"/>
        <c:title>
          <c:tx>
            <c:rich>
              <a:bodyPr/>
              <a:lstStyle/>
              <a:p>
                <a:pPr lvl="0">
                  <a:defRPr b="0" i="0" sz="900">
                    <a:solidFill>
                      <a:srgbClr val="000000"/>
                    </a:solidFill>
                    <a:latin typeface="+mn-lt"/>
                  </a:defRPr>
                </a:pPr>
                <a:r>
                  <a:rPr b="0" i="0" sz="900">
                    <a:solidFill>
                      <a:srgbClr val="000000"/>
                    </a:solidFill>
                    <a:latin typeface="+mn-lt"/>
                  </a:rPr>
                  <a:t>Orbit Number</a:t>
                </a:r>
              </a:p>
            </c:rich>
          </c:tx>
          <c:overlay val="0"/>
        </c:title>
        <c:numFmt formatCode="#,##0" sourceLinked="0"/>
        <c:majorTickMark val="out"/>
        <c:minorTickMark val="none"/>
        <c:spPr/>
        <c:txPr>
          <a:bodyPr/>
          <a:lstStyle/>
          <a:p>
            <a:pPr lvl="0">
              <a:defRPr b="0" i="0" sz="900">
                <a:solidFill>
                  <a:srgbClr val="000000"/>
                </a:solidFill>
                <a:latin typeface="+mn-lt"/>
              </a:defRPr>
            </a:pPr>
          </a:p>
        </c:txPr>
        <c:crossAx val="1002462701"/>
      </c:catAx>
      <c:valAx>
        <c:axId val="1002462701"/>
        <c:scaling>
          <c:orientation val="minMax"/>
          <c:min val="0.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i="0" sz="900">
                    <a:solidFill>
                      <a:srgbClr val="000000"/>
                    </a:solidFill>
                    <a:latin typeface="+mn-lt"/>
                  </a:defRPr>
                </a:pPr>
                <a:r>
                  <a:rPr b="0" i="0" sz="900">
                    <a:solidFill>
                      <a:srgbClr val="000000"/>
                    </a:solidFill>
                    <a:latin typeface="+mn-lt"/>
                  </a:rPr>
                  <a:t>Battery Capacity (Wh)</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988231209"/>
      </c:valAx>
    </c:plotArea>
    <c:legend>
      <c:legendPos val="t"/>
      <c:overlay val="0"/>
      <c:txPr>
        <a:bodyPr/>
        <a:lstStyle/>
        <a:p>
          <a:pPr lvl="0">
            <a:defRPr b="0" i="0" sz="900">
              <a:solidFill>
                <a:srgbClr val="1A1A1A"/>
              </a:solidFill>
              <a:latin typeface="+mn-lt"/>
            </a:defRPr>
          </a:pPr>
        </a:p>
      </c:txPr>
    </c:legend>
    <c:plotVisOnly val="1"/>
  </c:chart>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i="0">
                <a:solidFill>
                  <a:srgbClr val="757575"/>
                </a:solidFill>
                <a:latin typeface="+mn-lt"/>
              </a:defRPr>
            </a:pPr>
            <a:r>
              <a:rPr b="0" i="0">
                <a:solidFill>
                  <a:srgbClr val="757575"/>
                </a:solidFill>
                <a:latin typeface="+mn-lt"/>
              </a:rPr>
              <a:t>Thermal Budget - Operating Temperatures</a:t>
            </a:r>
          </a:p>
        </c:rich>
      </c:tx>
      <c:overlay val="0"/>
    </c:title>
    <c:plotArea>
      <c:layout/>
      <c:barChart>
        <c:barDir val="bar"/>
        <c:grouping val="stacked"/>
        <c:ser>
          <c:idx val="0"/>
          <c:order val="0"/>
          <c:tx>
            <c:v>Temperature Range</c:v>
          </c:tx>
          <c:spPr>
            <a:solidFill>
              <a:srgbClr val="EA4335"/>
            </a:solidFill>
            <a:ln cmpd="sng">
              <a:noFill/>
            </a:ln>
          </c:spPr>
          <c:dPt>
            <c:idx val="6"/>
            <c:spPr>
              <a:solidFill>
                <a:srgbClr val="4285F4">
                  <a:alpha val="0"/>
                </a:srgbClr>
              </a:solidFill>
              <a:ln cmpd="sng">
                <a:noFill/>
              </a:ln>
            </c:spPr>
          </c:dPt>
          <c:cat>
            <c:strRef>
              <c:f>'Thermal Budget'!$B$4:$B$42</c:f>
            </c:strRef>
          </c:cat>
          <c:val>
            <c:numRef>
              <c:f>'Thermal Budget'!$C$4:$C$41</c:f>
              <c:numCache/>
            </c:numRef>
          </c:val>
        </c:ser>
        <c:ser>
          <c:idx val="1"/>
          <c:order val="1"/>
          <c:spPr>
            <a:solidFill>
              <a:srgbClr val="EA4335"/>
            </a:solidFill>
            <a:ln cmpd="sng">
              <a:noFill/>
            </a:ln>
          </c:spPr>
          <c:cat>
            <c:strRef>
              <c:f>'Thermal Budget'!$B$4:$B$42</c:f>
            </c:strRef>
          </c:cat>
          <c:val>
            <c:numRef>
              <c:f>'Thermal Budget'!$D$3:$D$41</c:f>
              <c:numCache/>
            </c:numRef>
          </c:val>
        </c:ser>
        <c:overlap val="100"/>
        <c:axId val="1436848003"/>
        <c:axId val="1704583469"/>
      </c:barChart>
      <c:catAx>
        <c:axId val="1436848003"/>
        <c:scaling>
          <c:orientation val="maxMin"/>
        </c:scaling>
        <c:delete val="0"/>
        <c:axPos val="l"/>
        <c:title>
          <c:tx>
            <c:rich>
              <a:bodyPr/>
              <a:lstStyle/>
              <a:p>
                <a:pPr lvl="0">
                  <a:defRPr b="0" i="0">
                    <a:solidFill>
                      <a:srgbClr val="000000"/>
                    </a:solidFill>
                    <a:latin typeface="+mn-lt"/>
                  </a:defRPr>
                </a:pPr>
                <a:r>
                  <a:rPr b="0" i="0">
                    <a:solidFill>
                      <a:srgbClr val="000000"/>
                    </a:solidFill>
                    <a:latin typeface="+mn-lt"/>
                  </a:rPr>
                  <a:t>Component</a:t>
                </a:r>
              </a:p>
            </c:rich>
          </c:tx>
          <c:overlay val="0"/>
        </c:title>
        <c:numFmt formatCode="General" sourceLinked="1"/>
        <c:majorTickMark val="none"/>
        <c:minorTickMark val="none"/>
        <c:spPr>
          <a:ln>
            <a:noFill/>
          </a:ln>
        </c:spPr>
        <c:txPr>
          <a:bodyPr/>
          <a:lstStyle/>
          <a:p>
            <a:pPr lvl="0">
              <a:defRPr b="0" i="0">
                <a:solidFill>
                  <a:srgbClr val="000000"/>
                </a:solidFill>
                <a:latin typeface="+mn-lt"/>
              </a:defRPr>
            </a:pPr>
          </a:p>
        </c:txPr>
        <c:crossAx val="1704583469"/>
      </c:catAx>
      <c:valAx>
        <c:axId val="1704583469"/>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i="0">
                    <a:solidFill>
                      <a:srgbClr val="000000"/>
                    </a:solidFill>
                    <a:latin typeface="+mn-lt"/>
                  </a:defRPr>
                </a:pPr>
                <a:r>
                  <a:rPr b="0" i="0">
                    <a:solidFill>
                      <a:srgbClr val="000000"/>
                    </a:solidFill>
                    <a:latin typeface="+mn-lt"/>
                  </a:rPr>
                  <a:t>Operating Temperature Range (*C)</a:t>
                </a:r>
              </a:p>
            </c:rich>
          </c:tx>
          <c:overlay val="0"/>
        </c:title>
        <c:numFmt formatCode="General" sourceLinked="1"/>
        <c:majorTickMark val="none"/>
        <c:minorTickMark val="none"/>
        <c:tickLblPos val="nextTo"/>
        <c:spPr>
          <a:ln>
            <a:noFill/>
          </a:ln>
        </c:spPr>
        <c:txPr>
          <a:bodyPr/>
          <a:lstStyle/>
          <a:p>
            <a:pPr lvl="0">
              <a:defRPr b="0" i="0">
                <a:solidFill>
                  <a:srgbClr val="000000"/>
                </a:solidFill>
                <a:latin typeface="+mn-lt"/>
              </a:defRPr>
            </a:pPr>
          </a:p>
        </c:txPr>
        <c:crossAx val="1436848003"/>
        <c:crosses val="max"/>
      </c:valAx>
    </c:plotArea>
    <c:plotVisOnly val="1"/>
  </c:char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1</xdr:row>
      <xdr:rowOff>161925</xdr:rowOff>
    </xdr:from>
    <xdr:ext cx="2076450" cy="11811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561975</xdr:colOff>
      <xdr:row>0</xdr:row>
      <xdr:rowOff>85725</xdr:rowOff>
    </xdr:from>
    <xdr:ext cx="3514725" cy="273367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352425</xdr:colOff>
      <xdr:row>29</xdr:row>
      <xdr:rowOff>95250</xdr:rowOff>
    </xdr:from>
    <xdr:ext cx="14535150" cy="4581525"/>
    <xdr:pic>
      <xdr:nvPicPr>
        <xdr:cNvPr id="0" name="image4.png" title="Chart"/>
        <xdr:cNvPicPr preferRelativeResize="0"/>
      </xdr:nvPicPr>
      <xdr:blipFill>
        <a:blip cstate="print" r:embed="rId1"/>
        <a:stretch>
          <a:fillRect/>
        </a:stretch>
      </xdr:blipFill>
      <xdr:spPr>
        <a:prstGeom prst="rect">
          <a:avLst/>
        </a:prstGeom>
        <a:noFill/>
      </xdr:spPr>
    </xdr:pic>
    <xdr:clientData fLocksWithSheet="0"/>
  </xdr:oneCellAnchor>
  <xdr:oneCellAnchor>
    <xdr:from>
      <xdr:col>8</xdr:col>
      <xdr:colOff>304800</xdr:colOff>
      <xdr:row>53</xdr:row>
      <xdr:rowOff>76200</xdr:rowOff>
    </xdr:from>
    <xdr:ext cx="14535150" cy="4600575"/>
    <xdr:pic>
      <xdr:nvPicPr>
        <xdr:cNvPr id="0" name="image3.png" title="Chart"/>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9525</xdr:colOff>
      <xdr:row>23</xdr:row>
      <xdr:rowOff>0</xdr:rowOff>
    </xdr:from>
    <xdr:ext cx="8077200" cy="4819650"/>
    <xdr:graphicFrame>
      <xdr:nvGraphicFramePr>
        <xdr:cNvPr id="1183043450" name="Chart 2"/>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38100</xdr:colOff>
      <xdr:row>45</xdr:row>
      <xdr:rowOff>76200</xdr:rowOff>
    </xdr:from>
    <xdr:ext cx="8048625" cy="5057775"/>
    <xdr:graphicFrame>
      <xdr:nvGraphicFramePr>
        <xdr:cNvPr id="76402591" name="Chart 1" title="Chart"/>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microsoft.com/office/2006/relationships/xlExternalLinkPath/xlPathMissing" Target="Orbit%20Info%20(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NP%20Mission%20Design%20Course%20Budget%20(1).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Orbit Info (1)"/>
    </sheetNames>
    <sheetDataSet>
      <sheetData sheetId="0" refreshError="1"/>
    </sheetDataSet>
  </externalBook>
</externalLink>
</file>

<file path=xl/externalLinks/externalLink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over"/>
      <sheetName val="Orbit Info"/>
      <sheetName val="Data Budget"/>
      <sheetName val="Storage over time"/>
      <sheetName val="Pointing Budget"/>
      <sheetName val="Link Budget, Downlink"/>
      <sheetName val="Link Budget, Uplink"/>
      <sheetName val="Power Draw"/>
      <sheetName val="Power Generated"/>
      <sheetName val="Energy Balance"/>
      <sheetName val="Mass Budget"/>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3.xml"/><Relationship Id="rId3"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5.xml"/><Relationship Id="rId3"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drawing" Target="../drawings/drawing6.xml"/><Relationship Id="rId3"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hyperlink" Target="https://docs.google.com/document/d/189LPfToOevQ4BV6FpRX6VB3iv1El-159NijVEaflTDs/edit?tab=t.0" TargetMode="External"/><Relationship Id="rId3" Type="http://schemas.openxmlformats.org/officeDocument/2006/relationships/drawing" Target="../drawings/drawing7.xml"/><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1" Type="http://schemas.openxmlformats.org/officeDocument/2006/relationships/comments" Target="../comments7.xml"/><Relationship Id="rId2" Type="http://schemas.openxmlformats.org/officeDocument/2006/relationships/hyperlink" Target="https://docs.google.com/document/d/189LPfToOevQ4BV6FpRX6VB3iv1El-159NijVEaflTDs/edit?tab=t.0" TargetMode="External"/><Relationship Id="rId3" Type="http://schemas.openxmlformats.org/officeDocument/2006/relationships/drawing" Target="../drawings/drawing8.xml"/><Relationship Id="rId4"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hyperlink" Target="https://www.washington.edu/news/2019/10/31/washingtons-first-student-built-satellite-preparing-for-launch/)" TargetMode="External"/><Relationship Id="rId2" Type="http://schemas.openxmlformats.org/officeDocument/2006/relationships/hyperlink" Target="https://www.valispace.com/wp-content/uploads/2018/12/Link-Budget-Design.pdf" TargetMode="External"/><Relationship Id="rId3" Type="http://schemas.openxmlformats.org/officeDocument/2006/relationships/hyperlink" Target="https://www.etsi.org/deliver/etsi_tr/102000_102099/10203101/01.01.01_60/tr_10203101v010101p.pdf" TargetMode="External"/><Relationship Id="rId4" Type="http://schemas.openxmlformats.org/officeDocument/2006/relationships/hyperlink" Target="https://www.etsi.org/deliver/etsi_tr/102000_102099/10203101/01.01.01_60/tr_10203101v010101p.pdf" TargetMode="External"/><Relationship Id="rId5"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hyperlink" Target="https://www.washington.edu/news/2019/10/31/washingtons-first-student-built-satellite-preparing-for-launch/)" TargetMode="External"/><Relationship Id="rId2" Type="http://schemas.openxmlformats.org/officeDocument/2006/relationships/hyperlink" Target="https://en.wikipedia.org/wiki/Bit_error_rate)" TargetMode="External"/><Relationship Id="rId3"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hyperlink" Target="https://docs.beagle.cc/boards/beaglebone/black/ch06.html" TargetMode="External"/><Relationship Id="rId2" Type="http://schemas.openxmlformats.org/officeDocument/2006/relationships/hyperlink" Target="https://drive.google.com/file/d/1mGl4I6U7wi_vyL8xHMXE06V5LKyHxmv4/view?usp=drive_link" TargetMode="External"/><Relationship Id="rId3" Type="http://schemas.openxmlformats.org/officeDocument/2006/relationships/hyperlink" Target="https://www.arcsec.space/pdf/Sagitta%20Star%20tracker%20datasheet%20V2.1.pdf" TargetMode="External"/><Relationship Id="rId4" Type="http://schemas.openxmlformats.org/officeDocument/2006/relationships/hyperlink" Target="https://drive.google.com/file/d/1Y395lgX6pX4NV7a7Ek2sopd0V_g3e81c/view" TargetMode="External"/><Relationship Id="rId9" Type="http://schemas.openxmlformats.org/officeDocument/2006/relationships/drawing" Target="../drawings/drawing12.xml"/><Relationship Id="rId5" Type="http://schemas.openxmlformats.org/officeDocument/2006/relationships/hyperlink" Target="https://www.skyfoxlabs.com/product/21-minipatch-l1?category=1" TargetMode="External"/><Relationship Id="rId6" Type="http://schemas.openxmlformats.org/officeDocument/2006/relationships/hyperlink" Target="https://www.cubespace.co.za/products/magnetorquer/" TargetMode="External"/><Relationship Id="rId7" Type="http://schemas.openxmlformats.org/officeDocument/2006/relationships/hyperlink" Target="https://satsearch.co/products/exa-mt01-compact-magnetorquer" TargetMode="External"/><Relationship Id="rId8" Type="http://schemas.openxmlformats.org/officeDocument/2006/relationships/hyperlink" Target="https://www.vectornav.com/docs/default-source/product-brief/vn-100-product-brief.pdf?sfvrsn=a2a5ae5f_2" TargetMode="External"/></Relationships>
</file>

<file path=xl/worksheets/_rels/sheet13.xml.rels><?xml version="1.0" encoding="UTF-8" standalone="yes"?><Relationships xmlns="http://schemas.openxmlformats.org/package/2006/relationships"><Relationship Id="rId1" Type="http://schemas.openxmlformats.org/officeDocument/2006/relationships/comments" Target="../comments8.xml"/><Relationship Id="rId2" Type="http://schemas.openxmlformats.org/officeDocument/2006/relationships/hyperlink" Target="https://docs.beagle.cc/boards/beaglebone/black/ch06.html" TargetMode="External"/><Relationship Id="rId3" Type="http://schemas.openxmlformats.org/officeDocument/2006/relationships/hyperlink" Target="https://drive.google.com/file/d/1mGl4I6U7wi_vyL8xHMXE06V5LKyHxmv4/view?usp=share_link" TargetMode="External"/><Relationship Id="rId4" Type="http://schemas.openxmlformats.org/officeDocument/2006/relationships/hyperlink" Target="https://www.arcsec.space/sagitta/" TargetMode="External"/><Relationship Id="rId11" Type="http://schemas.openxmlformats.org/officeDocument/2006/relationships/vmlDrawing" Target="../drawings/vmlDrawing8.vml"/><Relationship Id="rId10" Type="http://schemas.openxmlformats.org/officeDocument/2006/relationships/drawing" Target="../drawings/drawing13.xml"/><Relationship Id="rId9" Type="http://schemas.openxmlformats.org/officeDocument/2006/relationships/hyperlink" Target="https://www.vectornav.com/docs/default-source/product-brief/vn-100-product-brief.pdf?sfvrsn=a2a5ae5f_2" TargetMode="External"/><Relationship Id="rId5" Type="http://schemas.openxmlformats.org/officeDocument/2006/relationships/hyperlink" Target="https://drive.google.com/file/d/1Y395lgX6pX4NV7a7Ek2sopd0V_g3e81c/view" TargetMode="External"/><Relationship Id="rId6" Type="http://schemas.openxmlformats.org/officeDocument/2006/relationships/hyperlink" Target="https://www.skyfoxlabs.com/product/21-minipatch-l1?category=1" TargetMode="External"/><Relationship Id="rId7" Type="http://schemas.openxmlformats.org/officeDocument/2006/relationships/hyperlink" Target="https://www.cubespace.co.za/products/magnetorquer/" TargetMode="External"/><Relationship Id="rId8" Type="http://schemas.openxmlformats.org/officeDocument/2006/relationships/hyperlink" Target="https://satsearch.co/products/exa-mt01-compact-magnetorquer" TargetMode="External"/></Relationships>
</file>

<file path=xl/worksheets/_rels/sheet14.xml.rels><?xml version="1.0" encoding="UTF-8" standalone="yes"?><Relationships xmlns="http://schemas.openxmlformats.org/package/2006/relationships"><Relationship Id="rId1" Type="http://schemas.openxmlformats.org/officeDocument/2006/relationships/comments" Target="../comments9.xml"/><Relationship Id="rId2" Type="http://schemas.openxmlformats.org/officeDocument/2006/relationships/hyperlink" Target="https://files.batteryjunction.com/frontend/files/samsung/datasheet/SAMSUNG-35E-18650-3000-FLAT-Datasheet.pdf" TargetMode="External"/><Relationship Id="rId3" Type="http://schemas.openxmlformats.org/officeDocument/2006/relationships/hyperlink" Target="https://www.ti.com/lit/ds/symlink/bq25756e.pdf?ts=1758530501435&amp;ref_url=https%253A%252F%252Fwww.ti.com%252Fproduct%252FBQ25756E" TargetMode="External"/><Relationship Id="rId4" Type="http://schemas.openxmlformats.org/officeDocument/2006/relationships/drawing" Target="../drawings/drawing14.xml"/><Relationship Id="rId5" Type="http://schemas.openxmlformats.org/officeDocument/2006/relationships/vmlDrawing" Target="../drawings/vmlDrawing9.vml"/></Relationships>
</file>

<file path=xl/worksheets/_rels/sheet15.xml.rels><?xml version="1.0" encoding="UTF-8" standalone="yes"?><Relationships xmlns="http://schemas.openxmlformats.org/package/2006/relationships"><Relationship Id="rId1" Type="http://schemas.openxmlformats.org/officeDocument/2006/relationships/comments" Target="../comments10.xml"/><Relationship Id="rId2" Type="http://schemas.openxmlformats.org/officeDocument/2006/relationships/drawing" Target="../drawings/drawing15.xml"/><Relationship Id="rId3" Type="http://schemas.openxmlformats.org/officeDocument/2006/relationships/vmlDrawing" Target="../drawings/vmlDrawing10.vml"/></Relationships>
</file>

<file path=xl/worksheets/_rels/sheet16.xml.rels><?xml version="1.0" encoding="UTF-8" standalone="yes"?><Relationships xmlns="http://schemas.openxmlformats.org/package/2006/relationships"><Relationship Id="rId1" Type="http://schemas.openxmlformats.org/officeDocument/2006/relationships/comments" Target="../comments11.xml"/><Relationship Id="rId2" Type="http://schemas.openxmlformats.org/officeDocument/2006/relationships/hyperlink" Target="https://www.spectrolab.com/photovoltaics/XTE-SF%20Data%20Sheet%20_07.27.22.pdf" TargetMode="External"/><Relationship Id="rId3" Type="http://schemas.openxmlformats.org/officeDocument/2006/relationships/hyperlink" Target="https://www.cubesat.market/mt01a-compact-magnetorquer-low-voltage" TargetMode="External"/><Relationship Id="rId4" Type="http://schemas.openxmlformats.org/officeDocument/2006/relationships/hyperlink" Target="https://www.cubespace.co.za/products/magnetorquer/" TargetMode="External"/><Relationship Id="rId5" Type="http://schemas.openxmlformats.org/officeDocument/2006/relationships/hyperlink" Target="https://www.digikey.com/en/products/detail/beagleboard-by-seeed-studio/102110420/12719590" TargetMode="External"/><Relationship Id="rId6" Type="http://schemas.openxmlformats.org/officeDocument/2006/relationships/hyperlink" Target="https://www.dwyeromega.com/en-us/self-adhesive-polyimide-flexible-heaters-302-f-max/KHRA-KHLVA-KHA-SERIES/p/KHLVA-102-5-P" TargetMode="External"/><Relationship Id="rId7" Type="http://schemas.openxmlformats.org/officeDocument/2006/relationships/drawing" Target="../drawings/drawing16.xml"/><Relationship Id="rId8" Type="http://schemas.openxmlformats.org/officeDocument/2006/relationships/vmlDrawing" Target="../drawings/vmlDrawing11.vml"/></Relationships>
</file>

<file path=xl/worksheets/_rels/sheet17.xml.rels><?xml version="1.0" encoding="UTF-8" standalone="yes"?><Relationships xmlns="http://schemas.openxmlformats.org/package/2006/relationships"><Relationship Id="rId1" Type="http://schemas.openxmlformats.org/officeDocument/2006/relationships/comments" Target="../comments12.xml"/><Relationship Id="rId2" Type="http://schemas.openxmlformats.org/officeDocument/2006/relationships/drawing" Target="../drawings/drawing17.xml"/><Relationship Id="rId3" Type="http://schemas.openxmlformats.org/officeDocument/2006/relationships/vmlDrawing" Target="../drawings/vmlDrawing12.v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outlineLevelRow="1"/>
  <cols>
    <col customWidth="1" min="1" max="1" width="1.75"/>
    <col customWidth="1" min="2" max="2" width="28.13"/>
    <col customWidth="1" min="3" max="3" width="54.75"/>
    <col customWidth="1" min="4" max="4" width="10.5"/>
    <col customWidth="1" min="5" max="5" width="8.63"/>
    <col customWidth="1" min="6" max="6" width="2.75"/>
    <col customWidth="1" min="7" max="26" width="8.38"/>
  </cols>
  <sheetData>
    <row r="1" ht="9.0" customHeight="1">
      <c r="B1" s="1"/>
      <c r="C1" s="6"/>
      <c r="D1" s="6"/>
      <c r="E1" s="6"/>
    </row>
    <row r="2" ht="65.25" customHeight="1">
      <c r="B2" s="14"/>
      <c r="C2" s="16" t="s">
        <v>12</v>
      </c>
      <c r="D2" s="16"/>
      <c r="E2" s="16"/>
      <c r="F2" s="11" t="s">
        <v>13</v>
      </c>
    </row>
    <row r="3" ht="72.0" customHeight="1">
      <c r="B3" s="19"/>
      <c r="C3" s="19" t="s">
        <v>15</v>
      </c>
      <c r="D3" s="19"/>
      <c r="E3" s="19"/>
    </row>
    <row r="4" ht="36.75" customHeight="1">
      <c r="B4" s="21" t="s">
        <v>19</v>
      </c>
      <c r="C4" s="22"/>
      <c r="D4" s="22"/>
      <c r="E4" s="23"/>
    </row>
    <row r="5" ht="115.5" customHeight="1">
      <c r="B5" s="24"/>
      <c r="C5" s="26"/>
      <c r="D5" s="26"/>
      <c r="E5" s="30"/>
    </row>
    <row r="6">
      <c r="A6" s="34"/>
      <c r="B6" s="21" t="s">
        <v>41</v>
      </c>
      <c r="C6" s="23"/>
      <c r="D6" s="12" t="s">
        <v>8</v>
      </c>
      <c r="E6" s="40"/>
      <c r="F6" s="34"/>
      <c r="H6" s="34"/>
      <c r="I6" s="34"/>
      <c r="J6" s="34"/>
      <c r="K6" s="34"/>
      <c r="L6" s="34"/>
      <c r="M6" s="34"/>
      <c r="N6" s="34"/>
      <c r="O6" s="34"/>
      <c r="P6" s="34"/>
      <c r="Q6" s="34"/>
      <c r="R6" s="34"/>
      <c r="S6" s="34"/>
      <c r="T6" s="34"/>
      <c r="U6" s="34"/>
      <c r="V6" s="34"/>
      <c r="W6" s="34"/>
      <c r="X6" s="34"/>
      <c r="Y6" s="34"/>
      <c r="Z6" s="34"/>
    </row>
    <row r="7">
      <c r="B7" s="43"/>
      <c r="C7" s="47"/>
      <c r="D7" s="50" t="s">
        <v>49</v>
      </c>
      <c r="E7" s="51"/>
    </row>
    <row r="8">
      <c r="B8" s="24"/>
      <c r="C8" s="30"/>
      <c r="D8" s="54" t="s">
        <v>51</v>
      </c>
      <c r="E8" s="56"/>
    </row>
    <row r="9">
      <c r="B9" s="58"/>
      <c r="C9" s="58"/>
      <c r="D9" s="56"/>
      <c r="E9" s="56"/>
    </row>
    <row r="10">
      <c r="B10" s="60" t="s">
        <v>53</v>
      </c>
      <c r="C10" s="61"/>
      <c r="D10" s="61"/>
      <c r="E10" s="62"/>
    </row>
    <row r="11" ht="14.25" customHeight="1">
      <c r="B11" s="64" t="s">
        <v>55</v>
      </c>
      <c r="C11" s="65"/>
      <c r="D11" s="65"/>
      <c r="E11" s="66"/>
    </row>
    <row r="12">
      <c r="B12" s="67"/>
      <c r="C12" s="67"/>
      <c r="D12" s="67"/>
      <c r="E12" s="67"/>
    </row>
    <row r="13">
      <c r="B13" s="6"/>
      <c r="C13" s="6"/>
      <c r="D13" s="6"/>
      <c r="E13" s="6"/>
    </row>
    <row r="14">
      <c r="B14" s="6"/>
      <c r="C14" s="6"/>
      <c r="D14" s="6"/>
      <c r="E14" s="6"/>
    </row>
    <row r="15">
      <c r="B15" s="6"/>
      <c r="C15" s="6"/>
      <c r="D15" s="6"/>
      <c r="E15" s="6"/>
    </row>
    <row r="16">
      <c r="B16" s="6"/>
      <c r="C16" s="6"/>
      <c r="D16" s="6"/>
      <c r="E16" s="6"/>
    </row>
    <row r="17">
      <c r="B17" s="6"/>
      <c r="C17" s="6"/>
      <c r="D17" s="6"/>
      <c r="E17" s="6"/>
    </row>
    <row r="18">
      <c r="B18" s="6"/>
      <c r="C18" s="6"/>
      <c r="D18" s="6"/>
      <c r="E18" s="6"/>
    </row>
    <row r="19">
      <c r="B19" s="6"/>
      <c r="C19" s="6"/>
      <c r="D19" s="6"/>
      <c r="E19" s="6"/>
    </row>
    <row r="20">
      <c r="B20" s="6"/>
      <c r="C20" s="6"/>
      <c r="D20" s="6"/>
      <c r="E20" s="6"/>
    </row>
    <row r="21" ht="15.75" customHeight="1">
      <c r="B21" s="6"/>
      <c r="C21" s="6"/>
      <c r="D21" s="6"/>
      <c r="E21" s="6"/>
    </row>
    <row r="22" ht="15.75" customHeight="1">
      <c r="B22" s="6"/>
      <c r="C22" s="6"/>
      <c r="D22" s="6"/>
      <c r="E22" s="6"/>
    </row>
    <row r="23" ht="15.75" customHeight="1">
      <c r="B23" s="6"/>
      <c r="C23" s="6"/>
      <c r="D23" s="6"/>
      <c r="E23" s="6"/>
    </row>
    <row r="24" ht="15.75" customHeight="1">
      <c r="B24" s="6"/>
      <c r="C24" s="6"/>
      <c r="D24" s="6"/>
      <c r="E24" s="6"/>
    </row>
    <row r="25" ht="15.75" customHeight="1">
      <c r="B25" s="6"/>
      <c r="C25" s="6"/>
      <c r="D25" s="6"/>
      <c r="E25" s="6"/>
    </row>
    <row r="26" ht="15.75" customHeight="1">
      <c r="B26" s="6"/>
      <c r="C26" s="6"/>
      <c r="D26" s="6"/>
      <c r="E26" s="6"/>
    </row>
    <row r="27" ht="15.75" customHeight="1">
      <c r="B27" s="6"/>
      <c r="C27" s="6"/>
      <c r="D27" s="6"/>
      <c r="E27" s="6"/>
    </row>
    <row r="28" ht="15.75" customHeight="1">
      <c r="B28" s="6"/>
      <c r="C28" s="6"/>
      <c r="D28" s="6"/>
      <c r="E28" s="6"/>
    </row>
    <row r="29" ht="15.75" customHeight="1">
      <c r="B29" s="6"/>
      <c r="C29" s="6"/>
      <c r="D29" s="6"/>
      <c r="E29" s="6"/>
    </row>
    <row r="30" ht="15.75" customHeight="1">
      <c r="B30" s="6"/>
      <c r="C30" s="6"/>
      <c r="D30" s="6"/>
      <c r="E30" s="6"/>
    </row>
    <row r="31" ht="15.75" customHeight="1">
      <c r="B31" s="6"/>
      <c r="C31" s="6"/>
      <c r="D31" s="6"/>
      <c r="E31" s="6"/>
    </row>
    <row r="32" ht="15.75" customHeight="1">
      <c r="B32" s="6"/>
      <c r="C32" s="6"/>
      <c r="D32" s="6"/>
      <c r="E32" s="6"/>
    </row>
    <row r="33" ht="15.75" customHeight="1">
      <c r="B33" s="6"/>
      <c r="C33" s="6"/>
      <c r="D33" s="6"/>
      <c r="E33" s="6"/>
    </row>
    <row r="34" ht="15.75" customHeight="1">
      <c r="B34" s="6"/>
      <c r="C34" s="6"/>
      <c r="D34" s="6"/>
      <c r="E34" s="6"/>
    </row>
    <row r="35" ht="15.75" customHeight="1">
      <c r="B35" s="6"/>
      <c r="C35" s="6"/>
      <c r="D35" s="6"/>
      <c r="E35" s="6"/>
    </row>
    <row r="36" ht="15.75" customHeight="1">
      <c r="B36" s="6"/>
      <c r="C36" s="6"/>
      <c r="D36" s="6"/>
      <c r="E36" s="6"/>
    </row>
    <row r="37" ht="15.75" customHeight="1">
      <c r="B37" s="6"/>
      <c r="C37" s="6"/>
      <c r="D37" s="6"/>
      <c r="E37" s="6"/>
    </row>
    <row r="38" ht="15.75" customHeight="1">
      <c r="B38" s="6"/>
      <c r="C38" s="6"/>
      <c r="D38" s="6"/>
      <c r="E38" s="6"/>
    </row>
    <row r="39" ht="15.75" customHeight="1">
      <c r="B39" s="6"/>
      <c r="C39" s="6"/>
      <c r="D39" s="6"/>
      <c r="E39" s="6"/>
    </row>
    <row r="40" ht="15.75" customHeight="1">
      <c r="B40" s="6"/>
      <c r="C40" s="6"/>
      <c r="D40" s="6"/>
      <c r="E40" s="6"/>
    </row>
    <row r="41" ht="15.75" customHeight="1">
      <c r="B41" s="6"/>
      <c r="C41" s="6"/>
      <c r="D41" s="6"/>
      <c r="E41" s="6"/>
    </row>
    <row r="42" ht="15.75" customHeight="1">
      <c r="B42" s="6"/>
      <c r="C42" s="6"/>
      <c r="D42" s="6"/>
      <c r="E42" s="6"/>
    </row>
    <row r="43" ht="15.75" customHeight="1">
      <c r="B43" s="6"/>
      <c r="C43" s="6"/>
      <c r="D43" s="6"/>
      <c r="E43" s="6"/>
    </row>
    <row r="44" ht="15.75" customHeight="1">
      <c r="B44" s="6"/>
      <c r="C44" s="6"/>
      <c r="D44" s="6"/>
      <c r="E44" s="6"/>
    </row>
    <row r="45" ht="15.75" customHeight="1">
      <c r="B45" s="6"/>
      <c r="C45" s="6"/>
      <c r="D45" s="6"/>
      <c r="E45" s="6"/>
    </row>
    <row r="46" ht="15.75" customHeight="1">
      <c r="B46" s="6"/>
      <c r="C46" s="6"/>
      <c r="D46" s="6"/>
      <c r="E46" s="6"/>
    </row>
    <row r="47" ht="15.75" customHeight="1">
      <c r="B47" s="6"/>
      <c r="C47" s="6"/>
      <c r="D47" s="6"/>
      <c r="E47" s="6"/>
    </row>
    <row r="48" ht="15.75" customHeight="1">
      <c r="B48" s="6"/>
      <c r="C48" s="6"/>
      <c r="D48" s="6"/>
      <c r="E48" s="6"/>
    </row>
    <row r="49" ht="15.75" customHeight="1">
      <c r="B49" s="6"/>
      <c r="C49" s="6"/>
      <c r="D49" s="6"/>
      <c r="E49" s="6"/>
    </row>
    <row r="50" ht="15.75" customHeight="1">
      <c r="B50" s="6"/>
      <c r="C50" s="6"/>
      <c r="D50" s="6"/>
      <c r="E50" s="6"/>
    </row>
    <row r="51" ht="15.75" customHeight="1">
      <c r="B51" s="6"/>
      <c r="C51" s="6"/>
      <c r="D51" s="6"/>
      <c r="E51" s="6"/>
    </row>
    <row r="52" ht="15.75" customHeight="1">
      <c r="B52" s="6"/>
      <c r="C52" s="6"/>
      <c r="D52" s="6"/>
      <c r="E52" s="6"/>
    </row>
    <row r="53" ht="15.75" customHeight="1">
      <c r="B53" s="6"/>
      <c r="C53" s="6"/>
      <c r="D53" s="6"/>
      <c r="E53" s="6"/>
    </row>
    <row r="54" ht="15.75" customHeight="1">
      <c r="B54" s="6"/>
      <c r="C54" s="6"/>
      <c r="D54" s="6"/>
      <c r="E54" s="6"/>
    </row>
    <row r="55" ht="15.75" customHeight="1">
      <c r="B55" s="6"/>
      <c r="C55" s="6"/>
      <c r="D55" s="6"/>
      <c r="E55" s="6"/>
    </row>
    <row r="56" ht="15.75" customHeight="1">
      <c r="B56" s="6"/>
      <c r="C56" s="6"/>
      <c r="D56" s="6"/>
      <c r="E56" s="6"/>
    </row>
    <row r="57" ht="15.75" customHeight="1">
      <c r="B57" s="6"/>
      <c r="C57" s="6"/>
      <c r="D57" s="6"/>
      <c r="E57" s="6"/>
    </row>
    <row r="58" ht="15.75" customHeight="1">
      <c r="B58" s="6"/>
      <c r="C58" s="6"/>
      <c r="D58" s="6"/>
      <c r="E58" s="6"/>
    </row>
    <row r="59" ht="15.75" customHeight="1">
      <c r="B59" s="6"/>
      <c r="C59" s="6"/>
      <c r="D59" s="6"/>
      <c r="E59" s="6"/>
    </row>
    <row r="60" ht="15.75" customHeight="1">
      <c r="B60" s="6"/>
      <c r="C60" s="6"/>
      <c r="D60" s="6"/>
      <c r="E60" s="6"/>
    </row>
    <row r="61" ht="15.75" customHeight="1">
      <c r="B61" s="6"/>
      <c r="C61" s="6"/>
      <c r="D61" s="6"/>
      <c r="E61" s="6"/>
    </row>
    <row r="62" ht="15.75" customHeight="1">
      <c r="B62" s="6"/>
      <c r="C62" s="6"/>
      <c r="D62" s="6"/>
      <c r="E62" s="6"/>
    </row>
    <row r="63" ht="15.75" customHeight="1">
      <c r="B63" s="6"/>
      <c r="C63" s="6"/>
      <c r="D63" s="6"/>
      <c r="E63" s="6"/>
    </row>
    <row r="64" ht="15.75" customHeight="1">
      <c r="B64" s="6"/>
      <c r="C64" s="6"/>
      <c r="D64" s="6"/>
      <c r="E64" s="6"/>
    </row>
    <row r="65" ht="15.75" customHeight="1">
      <c r="B65" s="6"/>
      <c r="C65" s="6"/>
      <c r="D65" s="6"/>
      <c r="E65" s="6"/>
    </row>
    <row r="66" ht="15.75" customHeight="1">
      <c r="B66" s="6"/>
      <c r="C66" s="6"/>
      <c r="D66" s="6"/>
      <c r="E66" s="6"/>
    </row>
    <row r="67" ht="15.75" customHeight="1">
      <c r="B67" s="6"/>
      <c r="C67" s="6"/>
      <c r="D67" s="6"/>
      <c r="E67" s="6"/>
    </row>
    <row r="68" ht="15.75" customHeight="1">
      <c r="B68" s="6"/>
      <c r="C68" s="6"/>
      <c r="D68" s="6"/>
      <c r="E68" s="6"/>
    </row>
    <row r="69" ht="15.75" customHeight="1">
      <c r="B69" s="6"/>
      <c r="C69" s="6"/>
      <c r="D69" s="6"/>
      <c r="E69" s="6"/>
    </row>
    <row r="70" ht="15.75" customHeight="1">
      <c r="B70" s="6"/>
      <c r="C70" s="6"/>
      <c r="D70" s="6"/>
      <c r="E70" s="6"/>
    </row>
    <row r="71" ht="15.75" customHeight="1">
      <c r="B71" s="6"/>
      <c r="C71" s="6"/>
      <c r="D71" s="6"/>
      <c r="E71" s="6"/>
    </row>
    <row r="72" ht="15.75" customHeight="1">
      <c r="B72" s="6"/>
      <c r="C72" s="6"/>
      <c r="D72" s="6"/>
      <c r="E72" s="6"/>
    </row>
    <row r="73" ht="15.75" customHeight="1">
      <c r="B73" s="6"/>
      <c r="C73" s="6"/>
      <c r="D73" s="6"/>
      <c r="E73" s="6"/>
    </row>
    <row r="74" ht="15.75" customHeight="1">
      <c r="B74" s="6"/>
      <c r="C74" s="6"/>
      <c r="D74" s="6"/>
      <c r="E74" s="6"/>
    </row>
    <row r="75" ht="15.75" customHeight="1">
      <c r="B75" s="6"/>
      <c r="C75" s="6"/>
      <c r="D75" s="6"/>
      <c r="E75" s="6"/>
    </row>
    <row r="76" ht="15.75" customHeight="1">
      <c r="B76" s="6"/>
      <c r="C76" s="6"/>
      <c r="D76" s="6"/>
      <c r="E76" s="6"/>
    </row>
    <row r="77" ht="15.75" customHeight="1">
      <c r="B77" s="6"/>
      <c r="C77" s="6"/>
      <c r="D77" s="6"/>
      <c r="E77" s="6"/>
    </row>
    <row r="78" ht="15.75" customHeight="1">
      <c r="B78" s="6"/>
      <c r="C78" s="6"/>
      <c r="D78" s="6"/>
      <c r="E78" s="6"/>
    </row>
    <row r="79" ht="15.75" customHeight="1">
      <c r="B79" s="6"/>
      <c r="C79" s="6"/>
      <c r="D79" s="6"/>
      <c r="E79" s="6"/>
    </row>
    <row r="80" ht="15.75" customHeight="1">
      <c r="B80" s="6"/>
      <c r="C80" s="6"/>
      <c r="D80" s="6"/>
      <c r="E80" s="6"/>
    </row>
    <row r="81" ht="15.75" customHeight="1">
      <c r="B81" s="6"/>
      <c r="C81" s="6"/>
      <c r="D81" s="6"/>
      <c r="E81" s="6"/>
    </row>
    <row r="82" ht="15.75" customHeight="1">
      <c r="B82" s="6"/>
      <c r="C82" s="6"/>
      <c r="D82" s="6"/>
      <c r="E82" s="6"/>
    </row>
    <row r="83" ht="15.75" customHeight="1">
      <c r="B83" s="6"/>
      <c r="C83" s="6"/>
      <c r="D83" s="6"/>
      <c r="E83" s="6"/>
    </row>
    <row r="84" ht="15.75" customHeight="1">
      <c r="B84" s="6"/>
      <c r="C84" s="6"/>
      <c r="D84" s="6"/>
      <c r="E84" s="6"/>
    </row>
    <row r="85" ht="15.75" customHeight="1">
      <c r="B85" s="6"/>
      <c r="C85" s="6"/>
      <c r="D85" s="6"/>
      <c r="E85" s="6"/>
    </row>
    <row r="86" ht="15.75" customHeight="1">
      <c r="B86" s="6"/>
      <c r="C86" s="6"/>
      <c r="D86" s="6"/>
      <c r="E86" s="6"/>
    </row>
    <row r="87" ht="15.75" customHeight="1">
      <c r="B87" s="6"/>
      <c r="C87" s="6"/>
      <c r="D87" s="6"/>
      <c r="E87" s="6"/>
    </row>
    <row r="88" ht="15.75" customHeight="1">
      <c r="B88" s="6"/>
      <c r="C88" s="6"/>
      <c r="D88" s="6"/>
      <c r="E88" s="6"/>
    </row>
    <row r="89" ht="15.75" customHeight="1">
      <c r="B89" s="6"/>
      <c r="C89" s="6"/>
      <c r="D89" s="6"/>
      <c r="E89" s="6"/>
    </row>
    <row r="90" ht="15.75" customHeight="1">
      <c r="B90" s="6"/>
      <c r="C90" s="6"/>
      <c r="D90" s="6"/>
      <c r="E90" s="6"/>
    </row>
    <row r="91" ht="15.75" customHeight="1">
      <c r="B91" s="6"/>
      <c r="C91" s="6"/>
      <c r="D91" s="6"/>
      <c r="E91" s="6"/>
    </row>
    <row r="92" ht="15.75" customHeight="1">
      <c r="B92" s="6"/>
      <c r="C92" s="6"/>
      <c r="D92" s="6"/>
      <c r="E92" s="6"/>
    </row>
    <row r="93" ht="15.75" customHeight="1">
      <c r="B93" s="6"/>
      <c r="C93" s="6"/>
      <c r="D93" s="6"/>
      <c r="E93" s="6"/>
    </row>
    <row r="94" ht="15.75" customHeight="1">
      <c r="B94" s="6"/>
      <c r="C94" s="6"/>
      <c r="D94" s="6"/>
      <c r="E94" s="6"/>
    </row>
    <row r="95" ht="15.75" customHeight="1">
      <c r="B95" s="6"/>
      <c r="C95" s="6"/>
      <c r="D95" s="6"/>
      <c r="E95" s="6"/>
    </row>
    <row r="96" ht="15.75" customHeight="1">
      <c r="B96" s="6"/>
      <c r="C96" s="6"/>
      <c r="D96" s="6"/>
      <c r="E96" s="6"/>
    </row>
    <row r="97" ht="15.75" customHeight="1">
      <c r="B97" s="6"/>
      <c r="C97" s="6"/>
      <c r="D97" s="6"/>
      <c r="E97" s="6"/>
    </row>
    <row r="98" ht="15.75" customHeight="1">
      <c r="B98" s="6"/>
      <c r="C98" s="6"/>
      <c r="D98" s="6"/>
      <c r="E98" s="6"/>
    </row>
    <row r="99" ht="15.75" customHeight="1">
      <c r="B99" s="6"/>
      <c r="C99" s="6"/>
      <c r="D99" s="6"/>
      <c r="E99" s="6"/>
    </row>
    <row r="100" ht="15.75" customHeight="1">
      <c r="B100" s="6"/>
      <c r="C100" s="6"/>
      <c r="D100" s="6"/>
      <c r="E100" s="6"/>
    </row>
    <row r="101" ht="15.75" customHeight="1">
      <c r="B101" s="6"/>
      <c r="C101" s="6"/>
      <c r="D101" s="6"/>
      <c r="E101" s="6"/>
    </row>
    <row r="102" ht="15.75" customHeight="1">
      <c r="B102" s="6"/>
      <c r="C102" s="6"/>
      <c r="D102" s="6"/>
      <c r="E102" s="6"/>
    </row>
    <row r="103" ht="15.75" customHeight="1">
      <c r="B103" s="6"/>
      <c r="C103" s="6"/>
      <c r="D103" s="6"/>
      <c r="E103" s="6"/>
    </row>
    <row r="104" ht="15.75" customHeight="1">
      <c r="B104" s="6"/>
      <c r="C104" s="6"/>
      <c r="D104" s="6"/>
      <c r="E104" s="6"/>
    </row>
    <row r="105" ht="15.75" customHeight="1">
      <c r="B105" s="6"/>
      <c r="C105" s="6"/>
      <c r="D105" s="6"/>
      <c r="E105" s="6"/>
    </row>
    <row r="106" ht="15.75" customHeight="1">
      <c r="B106" s="6"/>
      <c r="C106" s="6"/>
      <c r="D106" s="6"/>
      <c r="E106" s="6"/>
    </row>
    <row r="107" ht="15.75" customHeight="1">
      <c r="B107" s="6"/>
      <c r="C107" s="6"/>
      <c r="D107" s="6"/>
      <c r="E107" s="6"/>
    </row>
    <row r="108" ht="15.75" customHeight="1">
      <c r="B108" s="6"/>
      <c r="C108" s="6"/>
      <c r="D108" s="6"/>
      <c r="E108" s="6"/>
    </row>
    <row r="109" ht="15.75" customHeight="1">
      <c r="B109" s="6"/>
      <c r="C109" s="6"/>
      <c r="D109" s="6"/>
      <c r="E109" s="6"/>
    </row>
    <row r="110" ht="15.75" customHeight="1">
      <c r="B110" s="6"/>
      <c r="C110" s="6"/>
      <c r="D110" s="6"/>
      <c r="E110" s="6"/>
    </row>
    <row r="111" ht="15.75" customHeight="1">
      <c r="B111" s="6"/>
      <c r="C111" s="6"/>
      <c r="D111" s="6"/>
      <c r="E111" s="6"/>
    </row>
    <row r="112" ht="15.75" customHeight="1">
      <c r="B112" s="6"/>
      <c r="C112" s="6"/>
      <c r="D112" s="6"/>
      <c r="E112" s="6"/>
    </row>
    <row r="113" ht="15.75" customHeight="1">
      <c r="B113" s="6"/>
      <c r="C113" s="6"/>
      <c r="D113" s="6"/>
      <c r="E113" s="6"/>
    </row>
    <row r="114" ht="15.75" customHeight="1">
      <c r="B114" s="6"/>
      <c r="C114" s="6"/>
      <c r="D114" s="6"/>
      <c r="E114" s="6"/>
    </row>
    <row r="115" ht="15.75" customHeight="1">
      <c r="B115" s="6"/>
      <c r="C115" s="6"/>
      <c r="D115" s="6"/>
      <c r="E115" s="6"/>
    </row>
    <row r="116" ht="15.75" customHeight="1">
      <c r="B116" s="6"/>
      <c r="C116" s="6"/>
      <c r="D116" s="6"/>
      <c r="E116" s="6"/>
    </row>
    <row r="117" ht="15.75" customHeight="1">
      <c r="B117" s="6"/>
      <c r="C117" s="6"/>
      <c r="D117" s="6"/>
      <c r="E117" s="6"/>
    </row>
    <row r="118" ht="15.75" customHeight="1">
      <c r="B118" s="6"/>
      <c r="C118" s="6"/>
      <c r="D118" s="6"/>
      <c r="E118" s="6"/>
    </row>
    <row r="119" ht="15.75" customHeight="1">
      <c r="B119" s="6"/>
      <c r="C119" s="6"/>
      <c r="D119" s="6"/>
      <c r="E119" s="6"/>
    </row>
    <row r="120" ht="15.75" customHeight="1">
      <c r="B120" s="6"/>
      <c r="C120" s="6"/>
      <c r="D120" s="6"/>
      <c r="E120" s="6"/>
    </row>
    <row r="121" ht="15.75" customHeight="1">
      <c r="B121" s="6"/>
      <c r="C121" s="6"/>
      <c r="D121" s="6"/>
      <c r="E121" s="6"/>
    </row>
    <row r="122" ht="15.75" customHeight="1">
      <c r="B122" s="6"/>
      <c r="C122" s="6"/>
      <c r="D122" s="6"/>
      <c r="E122" s="6"/>
    </row>
    <row r="123" ht="15.75" customHeight="1">
      <c r="B123" s="6"/>
      <c r="C123" s="6"/>
      <c r="D123" s="6"/>
      <c r="E123" s="6"/>
    </row>
    <row r="124" ht="15.75" customHeight="1">
      <c r="B124" s="6"/>
      <c r="C124" s="6"/>
      <c r="D124" s="6"/>
      <c r="E124" s="6"/>
    </row>
    <row r="125" ht="15.75" customHeight="1">
      <c r="B125" s="6"/>
      <c r="C125" s="6"/>
      <c r="D125" s="6"/>
      <c r="E125" s="6"/>
    </row>
    <row r="126" ht="15.75" customHeight="1">
      <c r="B126" s="6"/>
      <c r="C126" s="6"/>
      <c r="D126" s="6"/>
      <c r="E126" s="6"/>
    </row>
    <row r="127" ht="15.75" customHeight="1">
      <c r="B127" s="6"/>
      <c r="C127" s="6"/>
      <c r="D127" s="6"/>
      <c r="E127" s="6"/>
    </row>
    <row r="128" ht="15.75" customHeight="1">
      <c r="B128" s="6"/>
      <c r="C128" s="6"/>
      <c r="D128" s="6"/>
      <c r="E128" s="6"/>
    </row>
    <row r="129" ht="15.75" customHeight="1">
      <c r="B129" s="6"/>
      <c r="C129" s="6"/>
      <c r="D129" s="6"/>
      <c r="E129" s="6"/>
    </row>
    <row r="130" ht="15.75" customHeight="1">
      <c r="B130" s="6"/>
      <c r="C130" s="6"/>
      <c r="D130" s="6"/>
      <c r="E130" s="6"/>
    </row>
    <row r="131" ht="15.75" customHeight="1">
      <c r="B131" s="6"/>
      <c r="C131" s="6"/>
      <c r="D131" s="6"/>
      <c r="E131" s="6"/>
    </row>
    <row r="132" ht="15.75" customHeight="1">
      <c r="B132" s="6"/>
      <c r="C132" s="6"/>
      <c r="D132" s="6"/>
      <c r="E132" s="6"/>
    </row>
    <row r="133" ht="15.75" customHeight="1">
      <c r="B133" s="6"/>
      <c r="C133" s="6"/>
      <c r="D133" s="6"/>
      <c r="E133" s="6"/>
    </row>
    <row r="134" ht="15.75" customHeight="1">
      <c r="B134" s="6"/>
      <c r="C134" s="6"/>
      <c r="D134" s="6"/>
      <c r="E134" s="6"/>
    </row>
    <row r="135" ht="15.75" customHeight="1">
      <c r="B135" s="6"/>
      <c r="C135" s="6"/>
      <c r="D135" s="6"/>
      <c r="E135" s="6"/>
    </row>
    <row r="136" ht="15.75" customHeight="1">
      <c r="B136" s="6"/>
      <c r="C136" s="6"/>
      <c r="D136" s="6"/>
      <c r="E136" s="6"/>
    </row>
    <row r="137" ht="15.75" customHeight="1">
      <c r="B137" s="6"/>
      <c r="C137" s="6"/>
      <c r="D137" s="6"/>
      <c r="E137" s="6"/>
    </row>
    <row r="138" ht="15.75" customHeight="1">
      <c r="B138" s="6"/>
      <c r="C138" s="6"/>
      <c r="D138" s="6"/>
      <c r="E138" s="6"/>
    </row>
    <row r="139" ht="15.75" customHeight="1">
      <c r="B139" s="6"/>
      <c r="C139" s="6"/>
      <c r="D139" s="6"/>
      <c r="E139" s="6"/>
    </row>
    <row r="140" ht="15.75" customHeight="1">
      <c r="B140" s="6"/>
      <c r="C140" s="6"/>
      <c r="D140" s="6"/>
      <c r="E140" s="6"/>
    </row>
    <row r="141" ht="15.75" customHeight="1">
      <c r="B141" s="6"/>
      <c r="C141" s="6"/>
      <c r="D141" s="6"/>
      <c r="E141" s="6"/>
    </row>
    <row r="142" ht="15.75" customHeight="1">
      <c r="B142" s="6"/>
      <c r="C142" s="6"/>
      <c r="D142" s="6"/>
      <c r="E142" s="6"/>
    </row>
    <row r="143" ht="15.75" customHeight="1">
      <c r="B143" s="6"/>
      <c r="C143" s="6"/>
      <c r="D143" s="6"/>
      <c r="E143" s="6"/>
    </row>
    <row r="144" ht="15.75" customHeight="1">
      <c r="B144" s="6"/>
      <c r="C144" s="6"/>
      <c r="D144" s="6"/>
      <c r="E144" s="6"/>
    </row>
    <row r="145" ht="15.75" customHeight="1">
      <c r="B145" s="6"/>
      <c r="C145" s="6"/>
      <c r="D145" s="6"/>
      <c r="E145" s="6"/>
    </row>
    <row r="146" ht="15.75" customHeight="1">
      <c r="B146" s="6"/>
      <c r="C146" s="6"/>
      <c r="D146" s="6"/>
      <c r="E146" s="6"/>
    </row>
    <row r="147" ht="15.75" customHeight="1">
      <c r="B147" s="6"/>
      <c r="C147" s="6"/>
      <c r="D147" s="6"/>
      <c r="E147" s="6"/>
    </row>
    <row r="148" ht="15.75" customHeight="1">
      <c r="B148" s="6"/>
      <c r="C148" s="6"/>
      <c r="D148" s="6"/>
      <c r="E148" s="6"/>
    </row>
    <row r="149" ht="15.75" customHeight="1">
      <c r="B149" s="6"/>
      <c r="C149" s="6"/>
      <c r="D149" s="6"/>
      <c r="E149" s="6"/>
    </row>
    <row r="150" ht="15.75" customHeight="1">
      <c r="B150" s="6"/>
      <c r="C150" s="6"/>
      <c r="D150" s="6"/>
      <c r="E150" s="6"/>
    </row>
    <row r="151" ht="15.75" customHeight="1">
      <c r="B151" s="6"/>
      <c r="C151" s="6"/>
      <c r="D151" s="6"/>
      <c r="E151" s="6"/>
    </row>
    <row r="152" ht="15.75" customHeight="1">
      <c r="B152" s="6"/>
      <c r="C152" s="6"/>
      <c r="D152" s="6"/>
      <c r="E152" s="6"/>
    </row>
    <row r="153" ht="15.75" customHeight="1">
      <c r="B153" s="6"/>
      <c r="C153" s="6"/>
      <c r="D153" s="6"/>
      <c r="E153" s="6"/>
    </row>
    <row r="154" ht="15.75" customHeight="1">
      <c r="B154" s="6"/>
      <c r="C154" s="6"/>
      <c r="D154" s="6"/>
      <c r="E154" s="6"/>
    </row>
    <row r="155" ht="15.75" customHeight="1">
      <c r="B155" s="6"/>
      <c r="C155" s="6"/>
      <c r="D155" s="6"/>
      <c r="E155" s="6"/>
    </row>
    <row r="156" ht="15.75" customHeight="1">
      <c r="B156" s="6"/>
      <c r="C156" s="6"/>
      <c r="D156" s="6"/>
      <c r="E156" s="6"/>
    </row>
    <row r="157" ht="15.75" customHeight="1">
      <c r="B157" s="6"/>
      <c r="C157" s="6"/>
      <c r="D157" s="6"/>
      <c r="E157" s="6"/>
    </row>
    <row r="158" ht="15.75" customHeight="1">
      <c r="B158" s="6"/>
      <c r="C158" s="6"/>
      <c r="D158" s="6"/>
      <c r="E158" s="6"/>
    </row>
    <row r="159" ht="15.75" customHeight="1">
      <c r="B159" s="6"/>
      <c r="C159" s="6"/>
      <c r="D159" s="6"/>
      <c r="E159" s="6"/>
    </row>
    <row r="160" ht="15.75" customHeight="1">
      <c r="B160" s="6"/>
      <c r="C160" s="6"/>
      <c r="D160" s="6"/>
      <c r="E160" s="6"/>
    </row>
    <row r="161" ht="15.75" customHeight="1">
      <c r="B161" s="6"/>
      <c r="C161" s="6"/>
      <c r="D161" s="6"/>
      <c r="E161" s="6"/>
    </row>
    <row r="162" ht="15.75" customHeight="1">
      <c r="B162" s="6"/>
      <c r="C162" s="6"/>
      <c r="D162" s="6"/>
      <c r="E162" s="6"/>
    </row>
    <row r="163" ht="15.75" customHeight="1">
      <c r="B163" s="6"/>
      <c r="C163" s="6"/>
      <c r="D163" s="6"/>
      <c r="E163" s="6"/>
    </row>
    <row r="164" ht="15.75" customHeight="1">
      <c r="B164" s="6"/>
      <c r="C164" s="6"/>
      <c r="D164" s="6"/>
      <c r="E164" s="6"/>
    </row>
    <row r="165" ht="15.75" customHeight="1">
      <c r="B165" s="6"/>
      <c r="C165" s="6"/>
      <c r="D165" s="6"/>
      <c r="E165" s="6"/>
    </row>
    <row r="166" ht="15.75" customHeight="1">
      <c r="B166" s="6"/>
      <c r="C166" s="6"/>
      <c r="D166" s="6"/>
      <c r="E166" s="6"/>
    </row>
    <row r="167" ht="15.75" customHeight="1">
      <c r="B167" s="6"/>
      <c r="C167" s="6"/>
      <c r="D167" s="6"/>
      <c r="E167" s="6"/>
    </row>
    <row r="168" ht="15.75" customHeight="1">
      <c r="B168" s="6"/>
      <c r="C168" s="6"/>
      <c r="D168" s="6"/>
      <c r="E168" s="6"/>
    </row>
    <row r="169" ht="15.75" customHeight="1">
      <c r="B169" s="6"/>
      <c r="C169" s="6"/>
      <c r="D169" s="6"/>
      <c r="E169" s="6"/>
    </row>
    <row r="170" ht="15.75" customHeight="1">
      <c r="B170" s="6"/>
      <c r="C170" s="6"/>
      <c r="D170" s="6"/>
      <c r="E170" s="6"/>
    </row>
    <row r="171" ht="15.75" customHeight="1">
      <c r="B171" s="6"/>
      <c r="C171" s="6"/>
      <c r="D171" s="6"/>
      <c r="E171" s="6"/>
    </row>
    <row r="172" ht="15.75" customHeight="1">
      <c r="B172" s="6"/>
      <c r="C172" s="6"/>
      <c r="D172" s="6"/>
      <c r="E172" s="6"/>
    </row>
    <row r="173" ht="15.75" customHeight="1">
      <c r="B173" s="6"/>
      <c r="C173" s="6"/>
      <c r="D173" s="6"/>
      <c r="E173" s="6"/>
    </row>
    <row r="174" ht="15.75" customHeight="1">
      <c r="B174" s="6"/>
      <c r="C174" s="6"/>
      <c r="D174" s="6"/>
      <c r="E174" s="6"/>
    </row>
    <row r="175" ht="15.75" customHeight="1">
      <c r="B175" s="6"/>
      <c r="C175" s="6"/>
      <c r="D175" s="6"/>
      <c r="E175" s="6"/>
    </row>
    <row r="176" ht="15.75" customHeight="1">
      <c r="B176" s="6"/>
      <c r="C176" s="6"/>
      <c r="D176" s="6"/>
      <c r="E176" s="6"/>
    </row>
    <row r="177" ht="15.75" customHeight="1">
      <c r="B177" s="6"/>
      <c r="C177" s="6"/>
      <c r="D177" s="6"/>
      <c r="E177" s="6"/>
    </row>
    <row r="178" ht="15.75" customHeight="1">
      <c r="B178" s="6"/>
      <c r="C178" s="6"/>
      <c r="D178" s="6"/>
      <c r="E178" s="6"/>
    </row>
    <row r="179" ht="15.75" customHeight="1">
      <c r="B179" s="6"/>
      <c r="C179" s="6"/>
      <c r="D179" s="6"/>
      <c r="E179" s="6"/>
    </row>
    <row r="180" ht="15.75" customHeight="1">
      <c r="B180" s="6"/>
      <c r="C180" s="6"/>
      <c r="D180" s="6"/>
      <c r="E180" s="6"/>
    </row>
    <row r="181" ht="15.75" customHeight="1">
      <c r="B181" s="6"/>
      <c r="C181" s="6"/>
      <c r="D181" s="6"/>
      <c r="E181" s="6"/>
    </row>
    <row r="182" ht="15.75" customHeight="1">
      <c r="B182" s="6"/>
      <c r="C182" s="6"/>
      <c r="D182" s="6"/>
      <c r="E182" s="6"/>
    </row>
    <row r="183" ht="15.75" customHeight="1">
      <c r="B183" s="6"/>
      <c r="C183" s="6"/>
      <c r="D183" s="6"/>
      <c r="E183" s="6"/>
    </row>
    <row r="184" ht="15.75" customHeight="1">
      <c r="B184" s="6"/>
      <c r="C184" s="6"/>
      <c r="D184" s="6"/>
      <c r="E184" s="6"/>
    </row>
    <row r="185" ht="15.75" customHeight="1">
      <c r="B185" s="6"/>
      <c r="C185" s="6"/>
      <c r="D185" s="6"/>
      <c r="E185" s="6"/>
    </row>
    <row r="186" ht="15.75" customHeight="1">
      <c r="B186" s="6"/>
      <c r="C186" s="6"/>
      <c r="D186" s="6"/>
      <c r="E186" s="6"/>
    </row>
    <row r="187" ht="15.75" customHeight="1">
      <c r="B187" s="6"/>
      <c r="C187" s="6"/>
      <c r="D187" s="6"/>
      <c r="E187" s="6"/>
    </row>
    <row r="188" ht="15.75" customHeight="1">
      <c r="B188" s="6"/>
      <c r="C188" s="6"/>
      <c r="D188" s="6"/>
      <c r="E188" s="6"/>
    </row>
    <row r="189" ht="15.75" customHeight="1">
      <c r="B189" s="6"/>
      <c r="C189" s="6"/>
      <c r="D189" s="6"/>
      <c r="E189" s="6"/>
    </row>
    <row r="190" ht="15.75" customHeight="1">
      <c r="B190" s="6"/>
      <c r="C190" s="6"/>
      <c r="D190" s="6"/>
      <c r="E190" s="6"/>
    </row>
    <row r="191" ht="15.75" customHeight="1">
      <c r="B191" s="6"/>
      <c r="C191" s="6"/>
      <c r="D191" s="6"/>
      <c r="E191" s="6"/>
    </row>
    <row r="192" ht="15.75" customHeight="1">
      <c r="B192" s="6"/>
      <c r="C192" s="6"/>
      <c r="D192" s="6"/>
      <c r="E192" s="6"/>
    </row>
    <row r="193" ht="15.75" customHeight="1">
      <c r="B193" s="6"/>
      <c r="C193" s="6"/>
      <c r="D193" s="6"/>
      <c r="E193" s="6"/>
    </row>
    <row r="194" ht="15.75" customHeight="1">
      <c r="B194" s="6"/>
      <c r="C194" s="6"/>
      <c r="D194" s="6"/>
      <c r="E194" s="6"/>
    </row>
    <row r="195" ht="15.75" customHeight="1">
      <c r="B195" s="6"/>
      <c r="C195" s="6"/>
      <c r="D195" s="6"/>
      <c r="E195" s="6"/>
    </row>
    <row r="196" ht="15.75" customHeight="1">
      <c r="B196" s="6"/>
      <c r="C196" s="6"/>
      <c r="D196" s="6"/>
      <c r="E196" s="6"/>
    </row>
    <row r="197" ht="15.75" customHeight="1">
      <c r="B197" s="6"/>
      <c r="C197" s="6"/>
      <c r="D197" s="6"/>
      <c r="E197" s="6"/>
    </row>
    <row r="198" ht="15.75" customHeight="1">
      <c r="B198" s="6"/>
      <c r="C198" s="6"/>
      <c r="D198" s="6"/>
      <c r="E198" s="6"/>
    </row>
    <row r="199" ht="15.75" customHeight="1">
      <c r="B199" s="6"/>
      <c r="C199" s="6"/>
      <c r="D199" s="6"/>
      <c r="E199" s="6"/>
    </row>
    <row r="200" ht="15.75" customHeight="1">
      <c r="B200" s="6"/>
      <c r="C200" s="6"/>
      <c r="D200" s="6"/>
      <c r="E200" s="6"/>
    </row>
    <row r="201" ht="15.75" customHeight="1">
      <c r="B201" s="6"/>
      <c r="C201" s="6"/>
      <c r="D201" s="6"/>
      <c r="E201" s="6"/>
    </row>
    <row r="202" ht="15.75" customHeight="1">
      <c r="B202" s="6"/>
      <c r="C202" s="6"/>
      <c r="D202" s="6"/>
      <c r="E202" s="6"/>
    </row>
    <row r="203" ht="15.75" customHeight="1">
      <c r="B203" s="6"/>
      <c r="C203" s="6"/>
      <c r="D203" s="6"/>
      <c r="E203" s="6"/>
    </row>
    <row r="204" ht="15.75" customHeight="1">
      <c r="B204" s="6"/>
      <c r="C204" s="6"/>
      <c r="D204" s="6"/>
      <c r="E204" s="6"/>
    </row>
    <row r="205" ht="15.75" customHeight="1">
      <c r="B205" s="6"/>
      <c r="C205" s="6"/>
      <c r="D205" s="6"/>
      <c r="E205" s="6"/>
    </row>
    <row r="206" ht="15.75" customHeight="1">
      <c r="B206" s="6"/>
      <c r="C206" s="6"/>
      <c r="D206" s="6"/>
      <c r="E206" s="6"/>
    </row>
    <row r="207" ht="15.75" customHeight="1">
      <c r="B207" s="6"/>
      <c r="C207" s="6"/>
      <c r="D207" s="6"/>
      <c r="E207" s="6"/>
    </row>
    <row r="208" ht="15.75" customHeight="1">
      <c r="B208" s="6"/>
      <c r="C208" s="6"/>
      <c r="D208" s="6"/>
      <c r="E208" s="6"/>
    </row>
    <row r="209" ht="15.75" customHeight="1">
      <c r="B209" s="6"/>
      <c r="C209" s="6"/>
      <c r="D209" s="6"/>
      <c r="E209" s="6"/>
    </row>
    <row r="210" ht="15.75" customHeight="1">
      <c r="B210" s="6"/>
      <c r="C210" s="6"/>
      <c r="D210" s="6"/>
      <c r="E210" s="6"/>
    </row>
    <row r="211" ht="15.75" customHeight="1">
      <c r="B211" s="6"/>
      <c r="C211" s="6"/>
      <c r="D211" s="6"/>
      <c r="E211" s="6"/>
    </row>
    <row r="212" ht="15.75" customHeight="1">
      <c r="B212" s="6"/>
      <c r="C212" s="6"/>
      <c r="D212" s="6"/>
      <c r="E212" s="6"/>
    </row>
    <row r="213" ht="15.75" customHeight="1">
      <c r="B213" s="6"/>
      <c r="C213" s="6"/>
      <c r="D213" s="6"/>
      <c r="E213" s="6"/>
    </row>
    <row r="214" ht="15.75" customHeight="1">
      <c r="B214" s="6"/>
      <c r="C214" s="6"/>
      <c r="D214" s="6"/>
      <c r="E214" s="6"/>
    </row>
    <row r="215" ht="15.75" customHeight="1">
      <c r="B215" s="6"/>
      <c r="C215" s="6"/>
      <c r="D215" s="6"/>
      <c r="E215" s="6"/>
    </row>
    <row r="216" ht="15.75" customHeight="1">
      <c r="B216" s="6"/>
      <c r="C216" s="6"/>
      <c r="D216" s="6"/>
      <c r="E216" s="6"/>
    </row>
    <row r="217" ht="15.75" customHeight="1">
      <c r="B217" s="6"/>
      <c r="C217" s="6"/>
      <c r="D217" s="6"/>
      <c r="E217" s="6"/>
    </row>
    <row r="218" ht="15.75" customHeight="1">
      <c r="B218" s="6"/>
      <c r="C218" s="6"/>
      <c r="D218" s="6"/>
      <c r="E218" s="6"/>
    </row>
    <row r="219" ht="15.75" customHeight="1">
      <c r="B219" s="6"/>
      <c r="C219" s="6"/>
      <c r="D219" s="6"/>
      <c r="E219" s="6"/>
    </row>
    <row r="220" ht="15.75" customHeight="1">
      <c r="B220" s="6"/>
      <c r="C220" s="6"/>
      <c r="D220" s="6"/>
      <c r="E220" s="6"/>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B4:E5"/>
    <mergeCell ref="B6:C8"/>
    <mergeCell ref="B10:E10"/>
    <mergeCell ref="B11:E11"/>
  </mergeCells>
  <printOptions horizontalCentered="1"/>
  <pageMargins bottom="0.75" footer="0.0" header="0.0" left="0.7" right="0.7" top="0.75"/>
  <pageSetup orientation="portrait"/>
  <headerFooter>
    <oddFooter>&amp;LEXTDOC-317 Rev. A</oddFooter>
  </headerFooter>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5588"/>
    <pageSetUpPr/>
  </sheetPr>
  <sheetViews>
    <sheetView showGridLines="0" workbookViewId="0"/>
  </sheetViews>
  <sheetFormatPr customHeight="1" defaultColWidth="12.63" defaultRowHeight="15.0" outlineLevelRow="1"/>
  <cols>
    <col customWidth="1" min="1" max="5" width="7.63"/>
    <col customWidth="1" min="6" max="6" width="28.13"/>
    <col customWidth="1" min="7" max="7" width="10.0"/>
    <col customWidth="1" min="8" max="8" width="9.13"/>
    <col customWidth="1" min="9" max="9" width="7.63"/>
    <col customWidth="1" min="10" max="10" width="13.5"/>
    <col customWidth="1" min="11" max="11" width="21.75"/>
    <col customWidth="1" min="12" max="18" width="7.63"/>
  </cols>
  <sheetData>
    <row r="1">
      <c r="A1" s="2" t="s">
        <v>0</v>
      </c>
      <c r="B1" s="2" t="s">
        <v>0</v>
      </c>
      <c r="C1" s="2" t="s">
        <v>2</v>
      </c>
      <c r="D1" s="2" t="s">
        <v>2</v>
      </c>
      <c r="O1" s="4"/>
    </row>
    <row r="2">
      <c r="A2" s="2" t="s">
        <v>3</v>
      </c>
      <c r="B2" s="2" t="s">
        <v>4</v>
      </c>
      <c r="C2" s="2" t="s">
        <v>5</v>
      </c>
      <c r="D2" s="2" t="s">
        <v>6</v>
      </c>
      <c r="F2" s="7" t="s">
        <v>7</v>
      </c>
      <c r="G2" s="8"/>
      <c r="H2" s="10"/>
      <c r="J2" s="12" t="s">
        <v>8</v>
      </c>
      <c r="O2" s="4"/>
    </row>
    <row r="3">
      <c r="A3" s="13">
        <v>1.0</v>
      </c>
      <c r="B3" s="18">
        <f t="shared" ref="B3:B1442" si="1">A3/G$10</f>
        <v>0.01056931917</v>
      </c>
      <c r="C3" s="13">
        <f t="shared" ref="C3:C1442" si="2">IF((CEILING(B3,1)*G$10-A3)&gt;G$10*(1-G$18),1,0)</f>
        <v>1</v>
      </c>
      <c r="D3" s="13">
        <f t="shared" ref="D3:D1442" si="3">IF((CEILING(B3,1)*G$10-A3)&gt;G$10*(1-G$18),0,1)</f>
        <v>0</v>
      </c>
      <c r="F3" s="29" t="s">
        <v>31</v>
      </c>
      <c r="G3" s="31">
        <v>500.0</v>
      </c>
      <c r="H3" s="33" t="s">
        <v>37</v>
      </c>
      <c r="I3" s="35" t="s">
        <v>39</v>
      </c>
      <c r="J3" s="36" t="s">
        <v>35</v>
      </c>
      <c r="O3" s="4"/>
    </row>
    <row r="4">
      <c r="A4" s="13">
        <f>A3+'Energy Balance'!$N$7</f>
        <v>2</v>
      </c>
      <c r="B4" s="18">
        <f t="shared" si="1"/>
        <v>0.02113863833</v>
      </c>
      <c r="C4" s="13">
        <f t="shared" si="2"/>
        <v>1</v>
      </c>
      <c r="D4" s="13">
        <f t="shared" si="3"/>
        <v>0</v>
      </c>
      <c r="F4" s="42" t="s">
        <v>47</v>
      </c>
      <c r="G4" s="44">
        <v>6378.0</v>
      </c>
      <c r="H4" s="46" t="s">
        <v>37</v>
      </c>
      <c r="J4" s="48" t="s">
        <v>48</v>
      </c>
      <c r="O4" s="4"/>
    </row>
    <row r="5">
      <c r="A5" s="13">
        <f>A4+'Energy Balance'!$N$7</f>
        <v>3</v>
      </c>
      <c r="B5" s="18">
        <f t="shared" si="1"/>
        <v>0.0317079575</v>
      </c>
      <c r="C5" s="13">
        <f t="shared" si="2"/>
        <v>1</v>
      </c>
      <c r="D5" s="13">
        <f t="shared" si="3"/>
        <v>0</v>
      </c>
      <c r="E5" s="52"/>
      <c r="F5" s="53" t="s">
        <v>50</v>
      </c>
      <c r="G5" s="55">
        <v>398600.4418</v>
      </c>
      <c r="H5" s="57" t="s">
        <v>52</v>
      </c>
      <c r="O5" s="4"/>
    </row>
    <row r="6">
      <c r="A6" s="13">
        <f>A5+'Energy Balance'!$N$7</f>
        <v>4</v>
      </c>
      <c r="B6" s="18">
        <f t="shared" si="1"/>
        <v>0.04227727666</v>
      </c>
      <c r="C6" s="13">
        <f t="shared" si="2"/>
        <v>1</v>
      </c>
      <c r="D6" s="13">
        <f t="shared" si="3"/>
        <v>0</v>
      </c>
      <c r="F6" s="95" t="s">
        <v>96</v>
      </c>
      <c r="G6" s="96"/>
      <c r="H6" s="97"/>
      <c r="O6" s="4"/>
    </row>
    <row r="7">
      <c r="A7" s="13">
        <f>A6+'Energy Balance'!$N$7</f>
        <v>5</v>
      </c>
      <c r="B7" s="18">
        <f t="shared" si="1"/>
        <v>0.05284659583</v>
      </c>
      <c r="C7" s="13">
        <f t="shared" si="2"/>
        <v>1</v>
      </c>
      <c r="D7" s="13">
        <f t="shared" si="3"/>
        <v>0</v>
      </c>
      <c r="F7" s="98" t="s">
        <v>121</v>
      </c>
      <c r="G7" s="99">
        <f>G3+G4</f>
        <v>6878</v>
      </c>
      <c r="H7" s="100" t="s">
        <v>37</v>
      </c>
      <c r="O7" s="4"/>
    </row>
    <row r="8">
      <c r="A8" s="13">
        <f>A7+'Energy Balance'!$N$7</f>
        <v>6</v>
      </c>
      <c r="B8" s="18">
        <f t="shared" si="1"/>
        <v>0.063415915</v>
      </c>
      <c r="C8" s="13">
        <f t="shared" si="2"/>
        <v>1</v>
      </c>
      <c r="D8" s="13">
        <f t="shared" si="3"/>
        <v>0</v>
      </c>
      <c r="F8" s="102" t="s">
        <v>124</v>
      </c>
      <c r="G8" s="103">
        <f>SQRT(G7^2-G4^2)</f>
        <v>2574.490241</v>
      </c>
      <c r="H8" s="104" t="s">
        <v>37</v>
      </c>
      <c r="O8" s="4"/>
    </row>
    <row r="9">
      <c r="A9" s="13">
        <f>A8+'Energy Balance'!$N$7</f>
        <v>7</v>
      </c>
      <c r="B9" s="18">
        <f t="shared" si="1"/>
        <v>0.07398523416</v>
      </c>
      <c r="C9" s="13">
        <f t="shared" si="2"/>
        <v>1</v>
      </c>
      <c r="D9" s="13">
        <f t="shared" si="3"/>
        <v>0</v>
      </c>
      <c r="F9" s="106" t="s">
        <v>129</v>
      </c>
      <c r="G9" s="109">
        <f>2*PI()*SQRT(G7^3/G5)</f>
        <v>5676.808417</v>
      </c>
      <c r="H9" s="33" t="s">
        <v>63</v>
      </c>
      <c r="O9" s="4"/>
    </row>
    <row r="10">
      <c r="A10" s="13">
        <f>A9+'Energy Balance'!$N$7</f>
        <v>8</v>
      </c>
      <c r="B10" s="18">
        <f t="shared" si="1"/>
        <v>0.08455455333</v>
      </c>
      <c r="C10" s="13">
        <f t="shared" si="2"/>
        <v>1</v>
      </c>
      <c r="D10" s="13">
        <f t="shared" si="3"/>
        <v>0</v>
      </c>
      <c r="F10" s="111"/>
      <c r="G10" s="112">
        <f>G9/60</f>
        <v>94.61347361</v>
      </c>
      <c r="H10" s="113" t="s">
        <v>56</v>
      </c>
      <c r="O10" s="4"/>
    </row>
    <row r="11">
      <c r="A11" s="13">
        <f>A10+'Energy Balance'!$N$7</f>
        <v>9</v>
      </c>
      <c r="B11" s="18">
        <f t="shared" si="1"/>
        <v>0.09512387249</v>
      </c>
      <c r="C11" s="13">
        <f t="shared" si="2"/>
        <v>1</v>
      </c>
      <c r="D11" s="13">
        <f t="shared" si="3"/>
        <v>0</v>
      </c>
      <c r="F11" s="114"/>
      <c r="G11" s="115">
        <f>G9/3600</f>
        <v>1.576891227</v>
      </c>
      <c r="H11" s="113" t="s">
        <v>131</v>
      </c>
      <c r="O11" s="4"/>
    </row>
    <row r="12">
      <c r="A12" s="13">
        <f>A11+'Energy Balance'!$N$7</f>
        <v>10</v>
      </c>
      <c r="B12" s="18">
        <f t="shared" si="1"/>
        <v>0.1056931917</v>
      </c>
      <c r="C12" s="13">
        <f t="shared" si="2"/>
        <v>1</v>
      </c>
      <c r="D12" s="13">
        <f t="shared" si="3"/>
        <v>0</v>
      </c>
      <c r="F12" s="116" t="s">
        <v>135</v>
      </c>
      <c r="G12" s="117">
        <f>24*3600/G9</f>
        <v>15.2198196</v>
      </c>
      <c r="H12" s="118" t="s">
        <v>136</v>
      </c>
      <c r="O12" s="4"/>
    </row>
    <row r="13">
      <c r="A13" s="13">
        <f>A12+'Energy Balance'!$N$7</f>
        <v>11</v>
      </c>
      <c r="B13" s="18">
        <f t="shared" si="1"/>
        <v>0.1162625108</v>
      </c>
      <c r="C13" s="13">
        <f t="shared" si="2"/>
        <v>1</v>
      </c>
      <c r="D13" s="13">
        <f t="shared" si="3"/>
        <v>0</v>
      </c>
      <c r="F13" s="116" t="s">
        <v>139</v>
      </c>
      <c r="G13" s="120">
        <f>2*PI()/G9</f>
        <v>0.001106816515</v>
      </c>
      <c r="H13" s="118" t="s">
        <v>140</v>
      </c>
      <c r="O13" s="4"/>
    </row>
    <row r="14">
      <c r="A14" s="13">
        <f>A13+'Energy Balance'!$N$7</f>
        <v>12</v>
      </c>
      <c r="B14" s="18">
        <f t="shared" si="1"/>
        <v>0.12683183</v>
      </c>
      <c r="C14" s="13">
        <f t="shared" si="2"/>
        <v>1</v>
      </c>
      <c r="D14" s="13">
        <f t="shared" si="3"/>
        <v>0</v>
      </c>
      <c r="F14" s="116" t="s">
        <v>143</v>
      </c>
      <c r="G14" s="117">
        <f>2*ACOS(G4/(G7))</f>
        <v>0.7673007686</v>
      </c>
      <c r="H14" s="118" t="s">
        <v>144</v>
      </c>
      <c r="O14" s="4"/>
    </row>
    <row r="15">
      <c r="A15" s="13">
        <f>A14+'Energy Balance'!$N$7</f>
        <v>13</v>
      </c>
      <c r="B15" s="18">
        <f t="shared" si="1"/>
        <v>0.1374011492</v>
      </c>
      <c r="C15" s="13">
        <f t="shared" si="2"/>
        <v>1</v>
      </c>
      <c r="D15" s="13">
        <f t="shared" si="3"/>
        <v>0</v>
      </c>
      <c r="F15" s="128" t="s">
        <v>145</v>
      </c>
      <c r="G15" s="129">
        <f>G14/G13</f>
        <v>693.2501985</v>
      </c>
      <c r="H15" s="118" t="s">
        <v>146</v>
      </c>
      <c r="O15" s="4"/>
    </row>
    <row r="16">
      <c r="A16" s="13">
        <f>A15+'Energy Balance'!$N$7</f>
        <v>14</v>
      </c>
      <c r="B16" s="18">
        <f t="shared" si="1"/>
        <v>0.1479704683</v>
      </c>
      <c r="C16" s="13">
        <f t="shared" si="2"/>
        <v>1</v>
      </c>
      <c r="D16" s="13">
        <f t="shared" si="3"/>
        <v>0</v>
      </c>
      <c r="F16" s="114"/>
      <c r="G16" s="117">
        <f>G15/60</f>
        <v>11.55416997</v>
      </c>
      <c r="H16" s="118" t="s">
        <v>56</v>
      </c>
      <c r="O16" s="4"/>
    </row>
    <row r="17" ht="14.25" customHeight="1">
      <c r="A17" s="13">
        <f>A16+'Energy Balance'!$N$7</f>
        <v>15</v>
      </c>
      <c r="B17" s="18">
        <f t="shared" si="1"/>
        <v>0.1585397875</v>
      </c>
      <c r="C17" s="13">
        <f t="shared" si="2"/>
        <v>1</v>
      </c>
      <c r="D17" s="13">
        <f t="shared" si="3"/>
        <v>0</v>
      </c>
      <c r="F17" s="116" t="s">
        <v>152</v>
      </c>
      <c r="G17" s="117">
        <f>PI()+G14</f>
        <v>3.908893422</v>
      </c>
      <c r="H17" s="118" t="s">
        <v>144</v>
      </c>
      <c r="O17" s="4"/>
      <c r="P17" s="4"/>
      <c r="Q17" s="4"/>
      <c r="R17" s="4"/>
    </row>
    <row r="18">
      <c r="A18" s="13">
        <f>A17+'Energy Balance'!$N$7</f>
        <v>16</v>
      </c>
      <c r="B18" s="18">
        <f t="shared" si="1"/>
        <v>0.1691091067</v>
      </c>
      <c r="C18" s="13">
        <f t="shared" si="2"/>
        <v>1</v>
      </c>
      <c r="D18" s="13">
        <f t="shared" si="3"/>
        <v>0</v>
      </c>
      <c r="F18" s="128" t="s">
        <v>154</v>
      </c>
      <c r="G18" s="135">
        <f>G17/(2*PI())</f>
        <v>0.6221197102</v>
      </c>
      <c r="H18" s="118" t="s">
        <v>156</v>
      </c>
      <c r="O18" s="4"/>
      <c r="P18" s="4"/>
      <c r="Q18" s="4"/>
      <c r="R18" s="4"/>
    </row>
    <row r="19">
      <c r="A19" s="13">
        <f>A18+'Energy Balance'!$N$7</f>
        <v>17</v>
      </c>
      <c r="B19" s="18">
        <f t="shared" si="1"/>
        <v>0.1796784258</v>
      </c>
      <c r="C19" s="13">
        <f t="shared" si="2"/>
        <v>1</v>
      </c>
      <c r="D19" s="13">
        <f t="shared" si="3"/>
        <v>0</v>
      </c>
      <c r="F19" s="111"/>
      <c r="G19" s="129">
        <f>G9*G18</f>
        <v>3531.654407</v>
      </c>
      <c r="H19" s="118" t="s">
        <v>63</v>
      </c>
      <c r="O19" s="4"/>
      <c r="P19" s="4"/>
      <c r="Q19" s="4"/>
      <c r="R19" s="4"/>
    </row>
    <row r="20">
      <c r="A20" s="13">
        <f>A19+'Energy Balance'!$N$7</f>
        <v>18</v>
      </c>
      <c r="B20" s="18">
        <f t="shared" si="1"/>
        <v>0.190247745</v>
      </c>
      <c r="C20" s="13">
        <f t="shared" si="2"/>
        <v>1</v>
      </c>
      <c r="D20" s="13">
        <f t="shared" si="3"/>
        <v>0</v>
      </c>
      <c r="F20" s="138"/>
      <c r="G20" s="139">
        <f>G10*G18</f>
        <v>58.86090678</v>
      </c>
      <c r="H20" s="140" t="s">
        <v>56</v>
      </c>
      <c r="O20" s="4"/>
      <c r="P20" s="4"/>
      <c r="Q20" s="4"/>
      <c r="R20" s="4"/>
    </row>
    <row r="21" ht="14.25" customHeight="1">
      <c r="A21" s="13">
        <f>A20+'Energy Balance'!$N$7</f>
        <v>19</v>
      </c>
      <c r="B21" s="18">
        <f t="shared" si="1"/>
        <v>0.2008170642</v>
      </c>
      <c r="C21" s="13">
        <f t="shared" si="2"/>
        <v>1</v>
      </c>
      <c r="D21" s="13">
        <f t="shared" si="3"/>
        <v>0</v>
      </c>
      <c r="F21" s="146" t="s">
        <v>170</v>
      </c>
      <c r="G21" s="147"/>
      <c r="H21" s="148"/>
      <c r="I21" s="149"/>
      <c r="O21" s="4"/>
      <c r="P21" s="4"/>
      <c r="Q21" s="4"/>
      <c r="R21" s="4"/>
    </row>
    <row r="22" ht="15.75" customHeight="1">
      <c r="A22" s="13">
        <f>A21+'Energy Balance'!$N$7</f>
        <v>20</v>
      </c>
      <c r="B22" s="18">
        <f t="shared" si="1"/>
        <v>0.2113863833</v>
      </c>
      <c r="C22" s="13">
        <f t="shared" si="2"/>
        <v>1</v>
      </c>
      <c r="D22" s="13">
        <f t="shared" si="3"/>
        <v>0</v>
      </c>
      <c r="F22" s="151"/>
      <c r="H22" s="81"/>
      <c r="O22" s="4"/>
      <c r="P22" s="4"/>
      <c r="Q22" s="4"/>
      <c r="R22" s="4"/>
    </row>
    <row r="23" ht="14.25" customHeight="1">
      <c r="A23" s="13">
        <f>A22+'Energy Balance'!$N$7</f>
        <v>21</v>
      </c>
      <c r="B23" s="18">
        <f t="shared" si="1"/>
        <v>0.2219557025</v>
      </c>
      <c r="C23" s="13">
        <f t="shared" si="2"/>
        <v>1</v>
      </c>
      <c r="D23" s="13">
        <f t="shared" si="3"/>
        <v>0</v>
      </c>
      <c r="F23" s="151"/>
      <c r="H23" s="81"/>
      <c r="O23" s="4"/>
      <c r="P23" s="4"/>
      <c r="Q23" s="4"/>
      <c r="R23" s="4"/>
    </row>
    <row r="24" ht="15.75" customHeight="1">
      <c r="A24" s="13">
        <f>A23+'Energy Balance'!$N$7</f>
        <v>22</v>
      </c>
      <c r="B24" s="18">
        <f t="shared" si="1"/>
        <v>0.2325250216</v>
      </c>
      <c r="C24" s="13">
        <f t="shared" si="2"/>
        <v>1</v>
      </c>
      <c r="D24" s="13">
        <f t="shared" si="3"/>
        <v>0</v>
      </c>
      <c r="F24" s="151"/>
      <c r="H24" s="81"/>
      <c r="O24" s="4"/>
      <c r="P24" s="4"/>
      <c r="Q24" s="4"/>
      <c r="R24" s="4"/>
    </row>
    <row r="25" ht="14.25" customHeight="1">
      <c r="A25" s="13">
        <f>A24+'Energy Balance'!$N$7</f>
        <v>23</v>
      </c>
      <c r="B25" s="18">
        <f t="shared" si="1"/>
        <v>0.2430943408</v>
      </c>
      <c r="C25" s="13">
        <f t="shared" si="2"/>
        <v>1</v>
      </c>
      <c r="D25" s="13">
        <f t="shared" si="3"/>
        <v>0</v>
      </c>
      <c r="F25" s="151"/>
      <c r="H25" s="81"/>
      <c r="O25" s="4"/>
      <c r="P25" s="4"/>
      <c r="Q25" s="4"/>
      <c r="R25" s="4"/>
    </row>
    <row r="26" ht="14.25" customHeight="1">
      <c r="A26" s="13">
        <f>A25+'Energy Balance'!$N$7</f>
        <v>24</v>
      </c>
      <c r="B26" s="18">
        <f t="shared" si="1"/>
        <v>0.25366366</v>
      </c>
      <c r="C26" s="13">
        <f t="shared" si="2"/>
        <v>1</v>
      </c>
      <c r="D26" s="13">
        <f t="shared" si="3"/>
        <v>0</v>
      </c>
      <c r="F26" s="151"/>
      <c r="H26" s="81"/>
      <c r="O26" s="4"/>
      <c r="P26" s="4"/>
      <c r="Q26" s="4"/>
      <c r="R26" s="4"/>
    </row>
    <row r="27" ht="15.75" customHeight="1">
      <c r="A27" s="13">
        <f>A26+'Energy Balance'!$N$7</f>
        <v>25</v>
      </c>
      <c r="B27" s="18">
        <f t="shared" si="1"/>
        <v>0.2642329791</v>
      </c>
      <c r="C27" s="13">
        <f t="shared" si="2"/>
        <v>1</v>
      </c>
      <c r="D27" s="13">
        <f t="shared" si="3"/>
        <v>0</v>
      </c>
      <c r="F27" s="153"/>
      <c r="G27" s="86"/>
      <c r="H27" s="88"/>
      <c r="O27" s="4"/>
      <c r="P27" s="4"/>
      <c r="Q27" s="4"/>
      <c r="R27" s="4"/>
    </row>
    <row r="28" ht="15.75" customHeight="1">
      <c r="A28" s="13">
        <f>A27+'Energy Balance'!$N$7</f>
        <v>26</v>
      </c>
      <c r="B28" s="18">
        <f t="shared" si="1"/>
        <v>0.2748022983</v>
      </c>
      <c r="C28" s="13">
        <f t="shared" si="2"/>
        <v>1</v>
      </c>
      <c r="D28" s="13">
        <f t="shared" si="3"/>
        <v>0</v>
      </c>
      <c r="O28" s="4"/>
      <c r="P28" s="4"/>
      <c r="Q28" s="4"/>
      <c r="R28" s="4"/>
    </row>
    <row r="29" ht="15.75" customHeight="1">
      <c r="A29" s="13">
        <f>A28+'Energy Balance'!$N$7</f>
        <v>27</v>
      </c>
      <c r="B29" s="18">
        <f t="shared" si="1"/>
        <v>0.2853716175</v>
      </c>
      <c r="C29" s="13">
        <f t="shared" si="2"/>
        <v>1</v>
      </c>
      <c r="D29" s="13">
        <f t="shared" si="3"/>
        <v>0</v>
      </c>
      <c r="O29" s="4"/>
      <c r="P29" s="4"/>
      <c r="Q29" s="4"/>
      <c r="R29" s="4"/>
    </row>
    <row r="30" ht="15.75" customHeight="1">
      <c r="A30" s="13">
        <f>A29+'Energy Balance'!$N$7</f>
        <v>28</v>
      </c>
      <c r="B30" s="18">
        <f t="shared" si="1"/>
        <v>0.2959409366</v>
      </c>
      <c r="C30" s="13">
        <f t="shared" si="2"/>
        <v>1</v>
      </c>
      <c r="D30" s="13">
        <f t="shared" si="3"/>
        <v>0</v>
      </c>
      <c r="O30" s="4"/>
      <c r="P30" s="4"/>
      <c r="Q30" s="4"/>
      <c r="R30" s="4"/>
    </row>
    <row r="31" ht="15.75" customHeight="1">
      <c r="A31" s="13">
        <f>A30+'Energy Balance'!$N$7</f>
        <v>29</v>
      </c>
      <c r="B31" s="18">
        <f t="shared" si="1"/>
        <v>0.3065102558</v>
      </c>
      <c r="C31" s="13">
        <f t="shared" si="2"/>
        <v>1</v>
      </c>
      <c r="D31" s="13">
        <f t="shared" si="3"/>
        <v>0</v>
      </c>
      <c r="O31" s="4"/>
      <c r="P31" s="4"/>
      <c r="Q31" s="4"/>
      <c r="R31" s="4"/>
    </row>
    <row r="32" ht="15.75" customHeight="1">
      <c r="A32" s="13">
        <f>A31+'Energy Balance'!$N$7</f>
        <v>30</v>
      </c>
      <c r="B32" s="18">
        <f t="shared" si="1"/>
        <v>0.317079575</v>
      </c>
      <c r="C32" s="13">
        <f t="shared" si="2"/>
        <v>1</v>
      </c>
      <c r="D32" s="13">
        <f t="shared" si="3"/>
        <v>0</v>
      </c>
      <c r="O32" s="4"/>
      <c r="P32" s="4"/>
      <c r="Q32" s="4"/>
      <c r="R32" s="4"/>
    </row>
    <row r="33" ht="15.75" customHeight="1">
      <c r="A33" s="13">
        <f>A32+'Energy Balance'!$N$7</f>
        <v>31</v>
      </c>
      <c r="B33" s="18">
        <f t="shared" si="1"/>
        <v>0.3276488941</v>
      </c>
      <c r="C33" s="13">
        <f t="shared" si="2"/>
        <v>1</v>
      </c>
      <c r="D33" s="13">
        <f t="shared" si="3"/>
        <v>0</v>
      </c>
      <c r="O33" s="4"/>
      <c r="P33" s="4"/>
      <c r="Q33" s="4"/>
      <c r="R33" s="4"/>
    </row>
    <row r="34" ht="15.75" customHeight="1">
      <c r="A34" s="13">
        <f>A33+'Energy Balance'!$N$7</f>
        <v>32</v>
      </c>
      <c r="B34" s="18">
        <f t="shared" si="1"/>
        <v>0.3382182133</v>
      </c>
      <c r="C34" s="13">
        <f t="shared" si="2"/>
        <v>1</v>
      </c>
      <c r="D34" s="13">
        <f t="shared" si="3"/>
        <v>0</v>
      </c>
      <c r="O34" s="4"/>
      <c r="P34" s="4"/>
      <c r="Q34" s="4"/>
      <c r="R34" s="4"/>
    </row>
    <row r="35" ht="15.75" customHeight="1">
      <c r="A35" s="13">
        <f>A34+'Energy Balance'!$N$7</f>
        <v>33</v>
      </c>
      <c r="B35" s="18">
        <f t="shared" si="1"/>
        <v>0.3487875325</v>
      </c>
      <c r="C35" s="13">
        <f t="shared" si="2"/>
        <v>1</v>
      </c>
      <c r="D35" s="13">
        <f t="shared" si="3"/>
        <v>0</v>
      </c>
      <c r="O35" s="4"/>
      <c r="P35" s="4"/>
      <c r="Q35" s="4"/>
      <c r="R35" s="4"/>
    </row>
    <row r="36" ht="15.75" customHeight="1">
      <c r="A36" s="13">
        <f>A35+'Energy Balance'!$N$7</f>
        <v>34</v>
      </c>
      <c r="B36" s="18">
        <f t="shared" si="1"/>
        <v>0.3593568516</v>
      </c>
      <c r="C36" s="13">
        <f t="shared" si="2"/>
        <v>1</v>
      </c>
      <c r="D36" s="13">
        <f t="shared" si="3"/>
        <v>0</v>
      </c>
      <c r="O36" s="4"/>
      <c r="P36" s="4"/>
      <c r="Q36" s="4"/>
      <c r="R36" s="4"/>
    </row>
    <row r="37" ht="15.75" customHeight="1">
      <c r="A37" s="13">
        <f>A36+'Energy Balance'!$N$7</f>
        <v>35</v>
      </c>
      <c r="B37" s="18">
        <f t="shared" si="1"/>
        <v>0.3699261708</v>
      </c>
      <c r="C37" s="13">
        <f t="shared" si="2"/>
        <v>1</v>
      </c>
      <c r="D37" s="13">
        <f t="shared" si="3"/>
        <v>0</v>
      </c>
      <c r="O37" s="4"/>
      <c r="P37" s="4"/>
      <c r="Q37" s="4"/>
      <c r="R37" s="4"/>
    </row>
    <row r="38" ht="15.75" customHeight="1">
      <c r="A38" s="13">
        <f>A37+'Energy Balance'!$N$7</f>
        <v>36</v>
      </c>
      <c r="B38" s="18">
        <f t="shared" si="1"/>
        <v>0.38049549</v>
      </c>
      <c r="C38" s="13">
        <f t="shared" si="2"/>
        <v>1</v>
      </c>
      <c r="D38" s="13">
        <f t="shared" si="3"/>
        <v>0</v>
      </c>
      <c r="O38" s="4"/>
      <c r="P38" s="4"/>
      <c r="Q38" s="4"/>
      <c r="R38" s="4"/>
    </row>
    <row r="39" ht="15.75" customHeight="1">
      <c r="A39" s="13">
        <f>A38+'Energy Balance'!$N$7</f>
        <v>37</v>
      </c>
      <c r="B39" s="18">
        <f t="shared" si="1"/>
        <v>0.3910648091</v>
      </c>
      <c r="C39" s="13">
        <f t="shared" si="2"/>
        <v>1</v>
      </c>
      <c r="D39" s="13">
        <f t="shared" si="3"/>
        <v>0</v>
      </c>
      <c r="O39" s="4"/>
      <c r="P39" s="4"/>
      <c r="Q39" s="4"/>
      <c r="R39" s="4"/>
    </row>
    <row r="40" ht="15.75" customHeight="1">
      <c r="A40" s="13">
        <f>A39+'Energy Balance'!$N$7</f>
        <v>38</v>
      </c>
      <c r="B40" s="18">
        <f t="shared" si="1"/>
        <v>0.4016341283</v>
      </c>
      <c r="C40" s="13">
        <f t="shared" si="2"/>
        <v>1</v>
      </c>
      <c r="D40" s="13">
        <f t="shared" si="3"/>
        <v>0</v>
      </c>
      <c r="O40" s="4"/>
      <c r="P40" s="4"/>
      <c r="Q40" s="4"/>
      <c r="R40" s="4"/>
    </row>
    <row r="41" ht="15.75" customHeight="1">
      <c r="A41" s="13">
        <f>A40+'Energy Balance'!$N$7</f>
        <v>39</v>
      </c>
      <c r="B41" s="18">
        <f t="shared" si="1"/>
        <v>0.4122034475</v>
      </c>
      <c r="C41" s="13">
        <f t="shared" si="2"/>
        <v>1</v>
      </c>
      <c r="D41" s="13">
        <f t="shared" si="3"/>
        <v>0</v>
      </c>
      <c r="O41" s="4"/>
      <c r="P41" s="4"/>
      <c r="Q41" s="4"/>
      <c r="R41" s="4"/>
    </row>
    <row r="42" ht="15.75" customHeight="1">
      <c r="A42" s="13">
        <f>A41+'Energy Balance'!$N$7</f>
        <v>40</v>
      </c>
      <c r="B42" s="18">
        <f t="shared" si="1"/>
        <v>0.4227727666</v>
      </c>
      <c r="C42" s="13">
        <f t="shared" si="2"/>
        <v>1</v>
      </c>
      <c r="D42" s="13">
        <f t="shared" si="3"/>
        <v>0</v>
      </c>
      <c r="O42" s="4"/>
      <c r="P42" s="4"/>
      <c r="Q42" s="4"/>
      <c r="R42" s="4"/>
    </row>
    <row r="43" ht="15.75" customHeight="1">
      <c r="A43" s="13">
        <f>A42+'Energy Balance'!$N$7</f>
        <v>41</v>
      </c>
      <c r="B43" s="18">
        <f t="shared" si="1"/>
        <v>0.4333420858</v>
      </c>
      <c r="C43" s="13">
        <f t="shared" si="2"/>
        <v>1</v>
      </c>
      <c r="D43" s="13">
        <f t="shared" si="3"/>
        <v>0</v>
      </c>
      <c r="O43" s="4"/>
      <c r="P43" s="4"/>
      <c r="Q43" s="4"/>
      <c r="R43" s="4"/>
    </row>
    <row r="44" ht="15.75" customHeight="1">
      <c r="A44" s="13">
        <f>A43+'Energy Balance'!$N$7</f>
        <v>42</v>
      </c>
      <c r="B44" s="18">
        <f t="shared" si="1"/>
        <v>0.443911405</v>
      </c>
      <c r="C44" s="13">
        <f t="shared" si="2"/>
        <v>1</v>
      </c>
      <c r="D44" s="13">
        <f t="shared" si="3"/>
        <v>0</v>
      </c>
      <c r="O44" s="4"/>
      <c r="P44" s="4"/>
      <c r="Q44" s="4"/>
      <c r="R44" s="4"/>
    </row>
    <row r="45" ht="15.75" customHeight="1">
      <c r="A45" s="13">
        <f>A44+'Energy Balance'!$N$7</f>
        <v>43</v>
      </c>
      <c r="B45" s="18">
        <f t="shared" si="1"/>
        <v>0.4544807241</v>
      </c>
      <c r="C45" s="13">
        <f t="shared" si="2"/>
        <v>1</v>
      </c>
      <c r="D45" s="13">
        <f t="shared" si="3"/>
        <v>0</v>
      </c>
      <c r="O45" s="4"/>
      <c r="P45" s="4"/>
      <c r="Q45" s="4"/>
      <c r="R45" s="4"/>
    </row>
    <row r="46" ht="15.75" customHeight="1">
      <c r="A46" s="13">
        <f>A45+'Energy Balance'!$N$7</f>
        <v>44</v>
      </c>
      <c r="B46" s="18">
        <f t="shared" si="1"/>
        <v>0.4650500433</v>
      </c>
      <c r="C46" s="13">
        <f t="shared" si="2"/>
        <v>1</v>
      </c>
      <c r="D46" s="13">
        <f t="shared" si="3"/>
        <v>0</v>
      </c>
      <c r="O46" s="4"/>
      <c r="P46" s="4"/>
      <c r="Q46" s="4"/>
      <c r="R46" s="4"/>
    </row>
    <row r="47" ht="15.75" customHeight="1">
      <c r="A47" s="13">
        <f>A46+'Energy Balance'!$N$7</f>
        <v>45</v>
      </c>
      <c r="B47" s="18">
        <f t="shared" si="1"/>
        <v>0.4756193625</v>
      </c>
      <c r="C47" s="13">
        <f t="shared" si="2"/>
        <v>1</v>
      </c>
      <c r="D47" s="13">
        <f t="shared" si="3"/>
        <v>0</v>
      </c>
      <c r="O47" s="4"/>
      <c r="P47" s="4"/>
      <c r="Q47" s="4"/>
      <c r="R47" s="4"/>
    </row>
    <row r="48" ht="15.75" customHeight="1">
      <c r="A48" s="13">
        <f>A47+'Energy Balance'!$N$7</f>
        <v>46</v>
      </c>
      <c r="B48" s="18">
        <f t="shared" si="1"/>
        <v>0.4861886816</v>
      </c>
      <c r="C48" s="13">
        <f t="shared" si="2"/>
        <v>1</v>
      </c>
      <c r="D48" s="13">
        <f t="shared" si="3"/>
        <v>0</v>
      </c>
      <c r="O48" s="4"/>
      <c r="P48" s="4"/>
      <c r="Q48" s="4"/>
      <c r="R48" s="4"/>
    </row>
    <row r="49" ht="15.75" customHeight="1">
      <c r="A49" s="13">
        <f>A48+'Energy Balance'!$N$7</f>
        <v>47</v>
      </c>
      <c r="B49" s="18">
        <f t="shared" si="1"/>
        <v>0.4967580008</v>
      </c>
      <c r="C49" s="13">
        <f t="shared" si="2"/>
        <v>1</v>
      </c>
      <c r="D49" s="13">
        <f t="shared" si="3"/>
        <v>0</v>
      </c>
      <c r="O49" s="4"/>
      <c r="P49" s="4"/>
      <c r="Q49" s="4"/>
      <c r="R49" s="4"/>
    </row>
    <row r="50" ht="15.75" customHeight="1">
      <c r="A50" s="13">
        <f>A49+'Energy Balance'!$N$7</f>
        <v>48</v>
      </c>
      <c r="B50" s="18">
        <f t="shared" si="1"/>
        <v>0.50732732</v>
      </c>
      <c r="C50" s="13">
        <f t="shared" si="2"/>
        <v>1</v>
      </c>
      <c r="D50" s="13">
        <f t="shared" si="3"/>
        <v>0</v>
      </c>
      <c r="O50" s="4"/>
      <c r="P50" s="4"/>
      <c r="Q50" s="4"/>
      <c r="R50" s="4"/>
    </row>
    <row r="51" ht="15.75" customHeight="1">
      <c r="A51" s="13">
        <f>A50+'Energy Balance'!$N$7</f>
        <v>49</v>
      </c>
      <c r="B51" s="18">
        <f t="shared" si="1"/>
        <v>0.5178966391</v>
      </c>
      <c r="C51" s="13">
        <f t="shared" si="2"/>
        <v>1</v>
      </c>
      <c r="D51" s="13">
        <f t="shared" si="3"/>
        <v>0</v>
      </c>
      <c r="O51" s="4"/>
      <c r="P51" s="4"/>
      <c r="Q51" s="4"/>
      <c r="R51" s="4"/>
    </row>
    <row r="52" ht="15.75" customHeight="1">
      <c r="A52" s="13">
        <f>A51+'Energy Balance'!$N$7</f>
        <v>50</v>
      </c>
      <c r="B52" s="18">
        <f t="shared" si="1"/>
        <v>0.5284659583</v>
      </c>
      <c r="C52" s="13">
        <f t="shared" si="2"/>
        <v>1</v>
      </c>
      <c r="D52" s="13">
        <f t="shared" si="3"/>
        <v>0</v>
      </c>
      <c r="O52" s="4"/>
      <c r="P52" s="4"/>
      <c r="Q52" s="4"/>
      <c r="R52" s="4"/>
    </row>
    <row r="53" ht="15.75" customHeight="1">
      <c r="A53" s="13">
        <f>A52+'Energy Balance'!$N$7</f>
        <v>51</v>
      </c>
      <c r="B53" s="18">
        <f t="shared" si="1"/>
        <v>0.5390352775</v>
      </c>
      <c r="C53" s="13">
        <f t="shared" si="2"/>
        <v>1</v>
      </c>
      <c r="D53" s="13">
        <f t="shared" si="3"/>
        <v>0</v>
      </c>
      <c r="O53" s="4"/>
      <c r="P53" s="4"/>
      <c r="Q53" s="4"/>
      <c r="R53" s="4"/>
    </row>
    <row r="54" ht="15.75" customHeight="1">
      <c r="A54" s="13">
        <f>A53+'Energy Balance'!$N$7</f>
        <v>52</v>
      </c>
      <c r="B54" s="18">
        <f t="shared" si="1"/>
        <v>0.5496045966</v>
      </c>
      <c r="C54" s="13">
        <f t="shared" si="2"/>
        <v>1</v>
      </c>
      <c r="D54" s="13">
        <f t="shared" si="3"/>
        <v>0</v>
      </c>
      <c r="O54" s="4"/>
      <c r="P54" s="4"/>
      <c r="Q54" s="4"/>
      <c r="R54" s="4"/>
    </row>
    <row r="55" ht="15.75" customHeight="1">
      <c r="A55" s="13">
        <f>A54+'Energy Balance'!$N$7</f>
        <v>53</v>
      </c>
      <c r="B55" s="18">
        <f t="shared" si="1"/>
        <v>0.5601739158</v>
      </c>
      <c r="C55" s="13">
        <f t="shared" si="2"/>
        <v>1</v>
      </c>
      <c r="D55" s="13">
        <f t="shared" si="3"/>
        <v>0</v>
      </c>
      <c r="O55" s="4"/>
      <c r="P55" s="4"/>
      <c r="Q55" s="4"/>
      <c r="R55" s="4"/>
    </row>
    <row r="56" ht="15.75" customHeight="1">
      <c r="A56" s="13">
        <f>A55+'Energy Balance'!$N$7</f>
        <v>54</v>
      </c>
      <c r="B56" s="18">
        <f t="shared" si="1"/>
        <v>0.570743235</v>
      </c>
      <c r="C56" s="13">
        <f t="shared" si="2"/>
        <v>1</v>
      </c>
      <c r="D56" s="13">
        <f t="shared" si="3"/>
        <v>0</v>
      </c>
      <c r="O56" s="4"/>
      <c r="P56" s="4"/>
      <c r="Q56" s="4"/>
      <c r="R56" s="4"/>
    </row>
    <row r="57" ht="15.75" customHeight="1">
      <c r="A57" s="13">
        <f>A56+'Energy Balance'!$N$7</f>
        <v>55</v>
      </c>
      <c r="B57" s="18">
        <f t="shared" si="1"/>
        <v>0.5813125541</v>
      </c>
      <c r="C57" s="13">
        <f t="shared" si="2"/>
        <v>1</v>
      </c>
      <c r="D57" s="13">
        <f t="shared" si="3"/>
        <v>0</v>
      </c>
      <c r="O57" s="4"/>
      <c r="P57" s="4"/>
      <c r="Q57" s="4"/>
      <c r="R57" s="4"/>
    </row>
    <row r="58" ht="15.75" customHeight="1">
      <c r="A58" s="13">
        <f>A57+'Energy Balance'!$N$7</f>
        <v>56</v>
      </c>
      <c r="B58" s="18">
        <f t="shared" si="1"/>
        <v>0.5918818733</v>
      </c>
      <c r="C58" s="13">
        <f t="shared" si="2"/>
        <v>1</v>
      </c>
      <c r="D58" s="13">
        <f t="shared" si="3"/>
        <v>0</v>
      </c>
      <c r="O58" s="4"/>
      <c r="P58" s="4"/>
      <c r="Q58" s="4"/>
      <c r="R58" s="4"/>
    </row>
    <row r="59" ht="15.75" customHeight="1">
      <c r="A59" s="13">
        <f>A58+'Energy Balance'!$N$7</f>
        <v>57</v>
      </c>
      <c r="B59" s="18">
        <f t="shared" si="1"/>
        <v>0.6024511925</v>
      </c>
      <c r="C59" s="13">
        <f t="shared" si="2"/>
        <v>1</v>
      </c>
      <c r="D59" s="13">
        <f t="shared" si="3"/>
        <v>0</v>
      </c>
      <c r="O59" s="4"/>
      <c r="P59" s="4"/>
      <c r="Q59" s="4"/>
      <c r="R59" s="4"/>
    </row>
    <row r="60" ht="15.75" customHeight="1">
      <c r="A60" s="13">
        <f>A59+'Energy Balance'!$N$7</f>
        <v>58</v>
      </c>
      <c r="B60" s="18">
        <f t="shared" si="1"/>
        <v>0.6130205116</v>
      </c>
      <c r="C60" s="13">
        <f t="shared" si="2"/>
        <v>1</v>
      </c>
      <c r="D60" s="13">
        <f t="shared" si="3"/>
        <v>0</v>
      </c>
      <c r="O60" s="4"/>
      <c r="P60" s="4"/>
      <c r="Q60" s="4"/>
      <c r="R60" s="4"/>
    </row>
    <row r="61" ht="15.75" customHeight="1">
      <c r="A61" s="13">
        <f>A60+'Energy Balance'!$N$7</f>
        <v>59</v>
      </c>
      <c r="B61" s="18">
        <f t="shared" si="1"/>
        <v>0.6235898308</v>
      </c>
      <c r="C61" s="13">
        <f t="shared" si="2"/>
        <v>0</v>
      </c>
      <c r="D61" s="13">
        <f t="shared" si="3"/>
        <v>1</v>
      </c>
      <c r="O61" s="4"/>
      <c r="P61" s="4"/>
      <c r="Q61" s="4"/>
      <c r="R61" s="4"/>
    </row>
    <row r="62" ht="15.75" customHeight="1">
      <c r="A62" s="13">
        <f>A61+'Energy Balance'!$N$7</f>
        <v>60</v>
      </c>
      <c r="B62" s="18">
        <f t="shared" si="1"/>
        <v>0.63415915</v>
      </c>
      <c r="C62" s="13">
        <f t="shared" si="2"/>
        <v>0</v>
      </c>
      <c r="D62" s="13">
        <f t="shared" si="3"/>
        <v>1</v>
      </c>
      <c r="O62" s="4"/>
      <c r="P62" s="4"/>
      <c r="Q62" s="4"/>
      <c r="R62" s="4"/>
    </row>
    <row r="63" ht="15.75" customHeight="1">
      <c r="A63" s="13">
        <f>A62+'Energy Balance'!$N$7</f>
        <v>61</v>
      </c>
      <c r="B63" s="18">
        <f t="shared" si="1"/>
        <v>0.6447284691</v>
      </c>
      <c r="C63" s="13">
        <f t="shared" si="2"/>
        <v>0</v>
      </c>
      <c r="D63" s="13">
        <f t="shared" si="3"/>
        <v>1</v>
      </c>
      <c r="O63" s="4"/>
      <c r="P63" s="4"/>
      <c r="Q63" s="4"/>
      <c r="R63" s="4"/>
    </row>
    <row r="64" ht="15.75" customHeight="1">
      <c r="A64" s="13">
        <f>A63+'Energy Balance'!$N$7</f>
        <v>62</v>
      </c>
      <c r="B64" s="18">
        <f t="shared" si="1"/>
        <v>0.6552977883</v>
      </c>
      <c r="C64" s="13">
        <f t="shared" si="2"/>
        <v>0</v>
      </c>
      <c r="D64" s="13">
        <f t="shared" si="3"/>
        <v>1</v>
      </c>
      <c r="O64" s="4"/>
      <c r="P64" s="4"/>
      <c r="Q64" s="4"/>
      <c r="R64" s="4"/>
    </row>
    <row r="65" ht="15.75" customHeight="1">
      <c r="A65" s="13">
        <f>A64+'Energy Balance'!$N$7</f>
        <v>63</v>
      </c>
      <c r="B65" s="18">
        <f t="shared" si="1"/>
        <v>0.6658671075</v>
      </c>
      <c r="C65" s="13">
        <f t="shared" si="2"/>
        <v>0</v>
      </c>
      <c r="D65" s="13">
        <f t="shared" si="3"/>
        <v>1</v>
      </c>
      <c r="O65" s="4"/>
      <c r="P65" s="4"/>
      <c r="Q65" s="4"/>
      <c r="R65" s="4"/>
    </row>
    <row r="66" ht="15.75" customHeight="1">
      <c r="A66" s="13">
        <f>A65+'Energy Balance'!$N$7</f>
        <v>64</v>
      </c>
      <c r="B66" s="18">
        <f t="shared" si="1"/>
        <v>0.6764364266</v>
      </c>
      <c r="C66" s="13">
        <f t="shared" si="2"/>
        <v>0</v>
      </c>
      <c r="D66" s="13">
        <f t="shared" si="3"/>
        <v>1</v>
      </c>
      <c r="O66" s="4"/>
      <c r="P66" s="4"/>
      <c r="Q66" s="4"/>
      <c r="R66" s="4"/>
    </row>
    <row r="67" ht="15.75" customHeight="1">
      <c r="A67" s="13">
        <f>A66+'Energy Balance'!$N$7</f>
        <v>65</v>
      </c>
      <c r="B67" s="18">
        <f t="shared" si="1"/>
        <v>0.6870057458</v>
      </c>
      <c r="C67" s="13">
        <f t="shared" si="2"/>
        <v>0</v>
      </c>
      <c r="D67" s="13">
        <f t="shared" si="3"/>
        <v>1</v>
      </c>
      <c r="O67" s="4"/>
      <c r="P67" s="4"/>
      <c r="Q67" s="4"/>
      <c r="R67" s="4"/>
    </row>
    <row r="68" ht="15.75" customHeight="1">
      <c r="A68" s="13">
        <f>A67+'Energy Balance'!$N$7</f>
        <v>66</v>
      </c>
      <c r="B68" s="18">
        <f t="shared" si="1"/>
        <v>0.6975750649</v>
      </c>
      <c r="C68" s="13">
        <f t="shared" si="2"/>
        <v>0</v>
      </c>
      <c r="D68" s="13">
        <f t="shared" si="3"/>
        <v>1</v>
      </c>
      <c r="O68" s="4"/>
      <c r="P68" s="4"/>
      <c r="Q68" s="4"/>
      <c r="R68" s="4"/>
    </row>
    <row r="69" ht="15.75" customHeight="1">
      <c r="A69" s="13">
        <f>A68+'Energy Balance'!$N$7</f>
        <v>67</v>
      </c>
      <c r="B69" s="18">
        <f t="shared" si="1"/>
        <v>0.7081443841</v>
      </c>
      <c r="C69" s="13">
        <f t="shared" si="2"/>
        <v>0</v>
      </c>
      <c r="D69" s="13">
        <f t="shared" si="3"/>
        <v>1</v>
      </c>
      <c r="O69" s="4"/>
      <c r="P69" s="4"/>
      <c r="Q69" s="4"/>
      <c r="R69" s="4"/>
    </row>
    <row r="70" ht="15.75" customHeight="1">
      <c r="A70" s="13">
        <f>A69+'Energy Balance'!$N$7</f>
        <v>68</v>
      </c>
      <c r="B70" s="18">
        <f t="shared" si="1"/>
        <v>0.7187137033</v>
      </c>
      <c r="C70" s="13">
        <f t="shared" si="2"/>
        <v>0</v>
      </c>
      <c r="D70" s="13">
        <f t="shared" si="3"/>
        <v>1</v>
      </c>
      <c r="O70" s="4"/>
      <c r="P70" s="4"/>
      <c r="Q70" s="4"/>
      <c r="R70" s="4"/>
    </row>
    <row r="71" ht="15.75" customHeight="1">
      <c r="A71" s="13">
        <f>A70+'Energy Balance'!$N$7</f>
        <v>69</v>
      </c>
      <c r="B71" s="18">
        <f t="shared" si="1"/>
        <v>0.7292830224</v>
      </c>
      <c r="C71" s="13">
        <f t="shared" si="2"/>
        <v>0</v>
      </c>
      <c r="D71" s="13">
        <f t="shared" si="3"/>
        <v>1</v>
      </c>
      <c r="O71" s="4"/>
      <c r="P71" s="4"/>
      <c r="Q71" s="4"/>
      <c r="R71" s="4"/>
    </row>
    <row r="72" ht="15.75" customHeight="1">
      <c r="A72" s="13">
        <f>A71+'Energy Balance'!$N$7</f>
        <v>70</v>
      </c>
      <c r="B72" s="18">
        <f t="shared" si="1"/>
        <v>0.7398523416</v>
      </c>
      <c r="C72" s="13">
        <f t="shared" si="2"/>
        <v>0</v>
      </c>
      <c r="D72" s="13">
        <f t="shared" si="3"/>
        <v>1</v>
      </c>
      <c r="O72" s="4"/>
      <c r="P72" s="4"/>
      <c r="Q72" s="4"/>
      <c r="R72" s="4"/>
    </row>
    <row r="73" ht="15.75" customHeight="1">
      <c r="A73" s="13">
        <f>A72+'Energy Balance'!$N$7</f>
        <v>71</v>
      </c>
      <c r="B73" s="18">
        <f t="shared" si="1"/>
        <v>0.7504216608</v>
      </c>
      <c r="C73" s="13">
        <f t="shared" si="2"/>
        <v>0</v>
      </c>
      <c r="D73" s="13">
        <f t="shared" si="3"/>
        <v>1</v>
      </c>
      <c r="O73" s="4"/>
      <c r="P73" s="4"/>
      <c r="Q73" s="4"/>
      <c r="R73" s="4"/>
    </row>
    <row r="74" ht="15.75" customHeight="1">
      <c r="A74" s="13">
        <f>A73+'Energy Balance'!$N$7</f>
        <v>72</v>
      </c>
      <c r="B74" s="18">
        <f t="shared" si="1"/>
        <v>0.7609909799</v>
      </c>
      <c r="C74" s="13">
        <f t="shared" si="2"/>
        <v>0</v>
      </c>
      <c r="D74" s="13">
        <f t="shared" si="3"/>
        <v>1</v>
      </c>
      <c r="O74" s="4"/>
      <c r="P74" s="4"/>
      <c r="Q74" s="4"/>
      <c r="R74" s="4"/>
    </row>
    <row r="75" ht="15.75" customHeight="1">
      <c r="A75" s="13">
        <f>A74+'Energy Balance'!$N$7</f>
        <v>73</v>
      </c>
      <c r="B75" s="18">
        <f t="shared" si="1"/>
        <v>0.7715602991</v>
      </c>
      <c r="C75" s="13">
        <f t="shared" si="2"/>
        <v>0</v>
      </c>
      <c r="D75" s="13">
        <f t="shared" si="3"/>
        <v>1</v>
      </c>
      <c r="O75" s="4"/>
      <c r="P75" s="4"/>
      <c r="Q75" s="4"/>
      <c r="R75" s="4"/>
    </row>
    <row r="76" ht="15.75" customHeight="1">
      <c r="A76" s="13">
        <f>A75+'Energy Balance'!$N$7</f>
        <v>74</v>
      </c>
      <c r="B76" s="18">
        <f t="shared" si="1"/>
        <v>0.7821296183</v>
      </c>
      <c r="C76" s="13">
        <f t="shared" si="2"/>
        <v>0</v>
      </c>
      <c r="D76" s="13">
        <f t="shared" si="3"/>
        <v>1</v>
      </c>
      <c r="O76" s="4"/>
      <c r="P76" s="4"/>
      <c r="Q76" s="4"/>
      <c r="R76" s="4"/>
    </row>
    <row r="77" ht="15.75" customHeight="1">
      <c r="A77" s="13">
        <f>A76+'Energy Balance'!$N$7</f>
        <v>75</v>
      </c>
      <c r="B77" s="18">
        <f t="shared" si="1"/>
        <v>0.7926989374</v>
      </c>
      <c r="C77" s="13">
        <f t="shared" si="2"/>
        <v>0</v>
      </c>
      <c r="D77" s="13">
        <f t="shared" si="3"/>
        <v>1</v>
      </c>
      <c r="O77" s="4"/>
      <c r="P77" s="4"/>
      <c r="Q77" s="4"/>
      <c r="R77" s="4"/>
    </row>
    <row r="78" ht="15.75" customHeight="1">
      <c r="A78" s="13">
        <f>A77+'Energy Balance'!$N$7</f>
        <v>76</v>
      </c>
      <c r="B78" s="18">
        <f t="shared" si="1"/>
        <v>0.8032682566</v>
      </c>
      <c r="C78" s="13">
        <f t="shared" si="2"/>
        <v>0</v>
      </c>
      <c r="D78" s="13">
        <f t="shared" si="3"/>
        <v>1</v>
      </c>
      <c r="O78" s="4"/>
      <c r="P78" s="4"/>
      <c r="Q78" s="4"/>
      <c r="R78" s="4"/>
    </row>
    <row r="79" ht="15.75" customHeight="1">
      <c r="A79" s="13">
        <f>A78+'Energy Balance'!$N$7</f>
        <v>77</v>
      </c>
      <c r="B79" s="18">
        <f t="shared" si="1"/>
        <v>0.8138375758</v>
      </c>
      <c r="C79" s="13">
        <f t="shared" si="2"/>
        <v>0</v>
      </c>
      <c r="D79" s="13">
        <f t="shared" si="3"/>
        <v>1</v>
      </c>
      <c r="O79" s="4"/>
      <c r="P79" s="4"/>
      <c r="Q79" s="4"/>
      <c r="R79" s="4"/>
    </row>
    <row r="80" ht="15.75" customHeight="1">
      <c r="A80" s="13">
        <f>A79+'Energy Balance'!$N$7</f>
        <v>78</v>
      </c>
      <c r="B80" s="18">
        <f t="shared" si="1"/>
        <v>0.8244068949</v>
      </c>
      <c r="C80" s="13">
        <f t="shared" si="2"/>
        <v>0</v>
      </c>
      <c r="D80" s="13">
        <f t="shared" si="3"/>
        <v>1</v>
      </c>
      <c r="O80" s="4"/>
      <c r="P80" s="4"/>
      <c r="Q80" s="4"/>
      <c r="R80" s="4"/>
    </row>
    <row r="81" ht="15.75" customHeight="1">
      <c r="A81" s="13">
        <f>A80+'Energy Balance'!$N$7</f>
        <v>79</v>
      </c>
      <c r="B81" s="18">
        <f t="shared" si="1"/>
        <v>0.8349762141</v>
      </c>
      <c r="C81" s="13">
        <f t="shared" si="2"/>
        <v>0</v>
      </c>
      <c r="D81" s="13">
        <f t="shared" si="3"/>
        <v>1</v>
      </c>
      <c r="O81" s="4"/>
      <c r="P81" s="4"/>
      <c r="Q81" s="4"/>
      <c r="R81" s="4"/>
    </row>
    <row r="82" ht="15.75" customHeight="1">
      <c r="A82" s="13">
        <f>A81+'Energy Balance'!$N$7</f>
        <v>80</v>
      </c>
      <c r="B82" s="18">
        <f t="shared" si="1"/>
        <v>0.8455455333</v>
      </c>
      <c r="C82" s="13">
        <f t="shared" si="2"/>
        <v>0</v>
      </c>
      <c r="D82" s="13">
        <f t="shared" si="3"/>
        <v>1</v>
      </c>
      <c r="O82" s="4"/>
      <c r="P82" s="4"/>
      <c r="Q82" s="4"/>
      <c r="R82" s="4"/>
    </row>
    <row r="83" ht="15.75" customHeight="1">
      <c r="A83" s="13">
        <f>A82+'Energy Balance'!$N$7</f>
        <v>81</v>
      </c>
      <c r="B83" s="18">
        <f t="shared" si="1"/>
        <v>0.8561148524</v>
      </c>
      <c r="C83" s="13">
        <f t="shared" si="2"/>
        <v>0</v>
      </c>
      <c r="D83" s="13">
        <f t="shared" si="3"/>
        <v>1</v>
      </c>
      <c r="O83" s="4"/>
      <c r="P83" s="4"/>
      <c r="Q83" s="4"/>
      <c r="R83" s="4"/>
    </row>
    <row r="84" ht="15.75" customHeight="1">
      <c r="A84" s="13">
        <f>A83+'Energy Balance'!$N$7</f>
        <v>82</v>
      </c>
      <c r="B84" s="18">
        <f t="shared" si="1"/>
        <v>0.8666841716</v>
      </c>
      <c r="C84" s="13">
        <f t="shared" si="2"/>
        <v>0</v>
      </c>
      <c r="D84" s="13">
        <f t="shared" si="3"/>
        <v>1</v>
      </c>
      <c r="O84" s="4"/>
      <c r="P84" s="4"/>
      <c r="Q84" s="4"/>
      <c r="R84" s="4"/>
    </row>
    <row r="85" ht="15.75" customHeight="1">
      <c r="A85" s="13">
        <f>A84+'Energy Balance'!$N$7</f>
        <v>83</v>
      </c>
      <c r="B85" s="18">
        <f t="shared" si="1"/>
        <v>0.8772534908</v>
      </c>
      <c r="C85" s="13">
        <f t="shared" si="2"/>
        <v>0</v>
      </c>
      <c r="D85" s="13">
        <f t="shared" si="3"/>
        <v>1</v>
      </c>
      <c r="O85" s="4"/>
      <c r="P85" s="4"/>
      <c r="Q85" s="4"/>
      <c r="R85" s="4"/>
    </row>
    <row r="86" ht="15.75" customHeight="1">
      <c r="A86" s="13">
        <f>A85+'Energy Balance'!$N$7</f>
        <v>84</v>
      </c>
      <c r="B86" s="18">
        <f t="shared" si="1"/>
        <v>0.8878228099</v>
      </c>
      <c r="C86" s="13">
        <f t="shared" si="2"/>
        <v>0</v>
      </c>
      <c r="D86" s="13">
        <f t="shared" si="3"/>
        <v>1</v>
      </c>
      <c r="O86" s="4"/>
      <c r="P86" s="4"/>
      <c r="Q86" s="4"/>
      <c r="R86" s="4"/>
    </row>
    <row r="87" ht="15.75" customHeight="1">
      <c r="A87" s="13">
        <f>A86+'Energy Balance'!$N$7</f>
        <v>85</v>
      </c>
      <c r="B87" s="18">
        <f t="shared" si="1"/>
        <v>0.8983921291</v>
      </c>
      <c r="C87" s="13">
        <f t="shared" si="2"/>
        <v>0</v>
      </c>
      <c r="D87" s="13">
        <f t="shared" si="3"/>
        <v>1</v>
      </c>
      <c r="O87" s="4"/>
      <c r="P87" s="4"/>
      <c r="Q87" s="4"/>
      <c r="R87" s="4"/>
    </row>
    <row r="88" ht="15.75" customHeight="1">
      <c r="A88" s="13">
        <f>A87+'Energy Balance'!$N$7</f>
        <v>86</v>
      </c>
      <c r="B88" s="18">
        <f t="shared" si="1"/>
        <v>0.9089614483</v>
      </c>
      <c r="C88" s="13">
        <f t="shared" si="2"/>
        <v>0</v>
      </c>
      <c r="D88" s="13">
        <f t="shared" si="3"/>
        <v>1</v>
      </c>
      <c r="O88" s="4"/>
      <c r="P88" s="4"/>
      <c r="Q88" s="4"/>
      <c r="R88" s="4"/>
    </row>
    <row r="89" ht="15.75" customHeight="1">
      <c r="A89" s="13">
        <f>A88+'Energy Balance'!$N$7</f>
        <v>87</v>
      </c>
      <c r="B89" s="18">
        <f t="shared" si="1"/>
        <v>0.9195307674</v>
      </c>
      <c r="C89" s="13">
        <f t="shared" si="2"/>
        <v>0</v>
      </c>
      <c r="D89" s="13">
        <f t="shared" si="3"/>
        <v>1</v>
      </c>
      <c r="O89" s="4"/>
      <c r="P89" s="4"/>
      <c r="Q89" s="4"/>
      <c r="R89" s="4"/>
    </row>
    <row r="90" ht="15.75" customHeight="1">
      <c r="A90" s="13">
        <f>A89+'Energy Balance'!$N$7</f>
        <v>88</v>
      </c>
      <c r="B90" s="18">
        <f t="shared" si="1"/>
        <v>0.9301000866</v>
      </c>
      <c r="C90" s="13">
        <f t="shared" si="2"/>
        <v>0</v>
      </c>
      <c r="D90" s="13">
        <f t="shared" si="3"/>
        <v>1</v>
      </c>
      <c r="O90" s="4"/>
      <c r="P90" s="4"/>
      <c r="Q90" s="4"/>
      <c r="R90" s="4"/>
    </row>
    <row r="91" ht="15.75" customHeight="1">
      <c r="A91" s="13">
        <f>A90+'Energy Balance'!$N$7</f>
        <v>89</v>
      </c>
      <c r="B91" s="18">
        <f t="shared" si="1"/>
        <v>0.9406694058</v>
      </c>
      <c r="C91" s="13">
        <f t="shared" si="2"/>
        <v>0</v>
      </c>
      <c r="D91" s="13">
        <f t="shared" si="3"/>
        <v>1</v>
      </c>
      <c r="O91" s="4"/>
      <c r="P91" s="4"/>
      <c r="Q91" s="4"/>
      <c r="R91" s="4"/>
    </row>
    <row r="92" ht="15.75" customHeight="1">
      <c r="A92" s="13">
        <f>A91+'Energy Balance'!$N$7</f>
        <v>90</v>
      </c>
      <c r="B92" s="18">
        <f t="shared" si="1"/>
        <v>0.9512387249</v>
      </c>
      <c r="C92" s="13">
        <f t="shared" si="2"/>
        <v>0</v>
      </c>
      <c r="D92" s="13">
        <f t="shared" si="3"/>
        <v>1</v>
      </c>
      <c r="O92" s="4"/>
      <c r="P92" s="4"/>
      <c r="Q92" s="4"/>
      <c r="R92" s="4"/>
    </row>
    <row r="93" ht="15.75" customHeight="1">
      <c r="A93" s="13">
        <f>A92+'Energy Balance'!$N$7</f>
        <v>91</v>
      </c>
      <c r="B93" s="18">
        <f t="shared" si="1"/>
        <v>0.9618080441</v>
      </c>
      <c r="C93" s="13">
        <f t="shared" si="2"/>
        <v>0</v>
      </c>
      <c r="D93" s="13">
        <f t="shared" si="3"/>
        <v>1</v>
      </c>
      <c r="O93" s="4"/>
      <c r="P93" s="4"/>
      <c r="Q93" s="4"/>
      <c r="R93" s="4"/>
    </row>
    <row r="94" ht="15.75" customHeight="1">
      <c r="A94" s="13">
        <f>A93+'Energy Balance'!$N$7</f>
        <v>92</v>
      </c>
      <c r="B94" s="18">
        <f t="shared" si="1"/>
        <v>0.9723773633</v>
      </c>
      <c r="C94" s="13">
        <f t="shared" si="2"/>
        <v>0</v>
      </c>
      <c r="D94" s="13">
        <f t="shared" si="3"/>
        <v>1</v>
      </c>
      <c r="O94" s="4"/>
      <c r="P94" s="4"/>
      <c r="Q94" s="4"/>
      <c r="R94" s="4"/>
    </row>
    <row r="95" ht="15.75" customHeight="1">
      <c r="A95" s="13">
        <f>A94+'Energy Balance'!$N$7</f>
        <v>93</v>
      </c>
      <c r="B95" s="18">
        <f t="shared" si="1"/>
        <v>0.9829466824</v>
      </c>
      <c r="C95" s="13">
        <f t="shared" si="2"/>
        <v>0</v>
      </c>
      <c r="D95" s="13">
        <f t="shared" si="3"/>
        <v>1</v>
      </c>
      <c r="O95" s="4"/>
      <c r="P95" s="4"/>
      <c r="Q95" s="4"/>
      <c r="R95" s="4"/>
    </row>
    <row r="96" ht="15.75" customHeight="1">
      <c r="A96" s="13">
        <f>A95+'Energy Balance'!$N$7</f>
        <v>94</v>
      </c>
      <c r="B96" s="18">
        <f t="shared" si="1"/>
        <v>0.9935160016</v>
      </c>
      <c r="C96" s="13">
        <f t="shared" si="2"/>
        <v>0</v>
      </c>
      <c r="D96" s="13">
        <f t="shared" si="3"/>
        <v>1</v>
      </c>
      <c r="O96" s="4"/>
      <c r="P96" s="4"/>
      <c r="Q96" s="4"/>
      <c r="R96" s="4"/>
    </row>
    <row r="97" ht="15.75" customHeight="1">
      <c r="A97" s="13">
        <f>A96+'Energy Balance'!$N$7</f>
        <v>95</v>
      </c>
      <c r="B97" s="18">
        <f t="shared" si="1"/>
        <v>1.004085321</v>
      </c>
      <c r="C97" s="13">
        <f t="shared" si="2"/>
        <v>1</v>
      </c>
      <c r="D97" s="13">
        <f t="shared" si="3"/>
        <v>0</v>
      </c>
      <c r="O97" s="4"/>
      <c r="P97" s="4"/>
      <c r="Q97" s="4"/>
      <c r="R97" s="4"/>
    </row>
    <row r="98" ht="15.75" customHeight="1">
      <c r="A98" s="13">
        <f>A97+'Energy Balance'!$N$7</f>
        <v>96</v>
      </c>
      <c r="B98" s="18">
        <f t="shared" si="1"/>
        <v>1.01465464</v>
      </c>
      <c r="C98" s="13">
        <f t="shared" si="2"/>
        <v>1</v>
      </c>
      <c r="D98" s="13">
        <f t="shared" si="3"/>
        <v>0</v>
      </c>
      <c r="O98" s="4"/>
      <c r="P98" s="4"/>
      <c r="Q98" s="4"/>
      <c r="R98" s="4"/>
    </row>
    <row r="99" ht="15.75" customHeight="1">
      <c r="A99" s="13">
        <f>A98+'Energy Balance'!$N$7</f>
        <v>97</v>
      </c>
      <c r="B99" s="18">
        <f t="shared" si="1"/>
        <v>1.025223959</v>
      </c>
      <c r="C99" s="13">
        <f t="shared" si="2"/>
        <v>1</v>
      </c>
      <c r="D99" s="13">
        <f t="shared" si="3"/>
        <v>0</v>
      </c>
      <c r="O99" s="4"/>
      <c r="P99" s="4"/>
      <c r="Q99" s="4"/>
      <c r="R99" s="4"/>
    </row>
    <row r="100" ht="15.75" customHeight="1">
      <c r="A100" s="13">
        <f>A99+'Energy Balance'!$N$7</f>
        <v>98</v>
      </c>
      <c r="B100" s="18">
        <f t="shared" si="1"/>
        <v>1.035793278</v>
      </c>
      <c r="C100" s="13">
        <f t="shared" si="2"/>
        <v>1</v>
      </c>
      <c r="D100" s="13">
        <f t="shared" si="3"/>
        <v>0</v>
      </c>
      <c r="O100" s="4"/>
      <c r="P100" s="4"/>
      <c r="Q100" s="4"/>
      <c r="R100" s="4"/>
    </row>
    <row r="101" ht="15.75" customHeight="1">
      <c r="A101" s="13">
        <f>A100+'Energy Balance'!$N$7</f>
        <v>99</v>
      </c>
      <c r="B101" s="18">
        <f t="shared" si="1"/>
        <v>1.046362597</v>
      </c>
      <c r="C101" s="13">
        <f t="shared" si="2"/>
        <v>1</v>
      </c>
      <c r="D101" s="13">
        <f t="shared" si="3"/>
        <v>0</v>
      </c>
      <c r="O101" s="4"/>
      <c r="P101" s="4"/>
      <c r="Q101" s="4"/>
      <c r="R101" s="4"/>
    </row>
    <row r="102" ht="15.75" customHeight="1">
      <c r="A102" s="13">
        <f>A101+'Energy Balance'!$N$7</f>
        <v>100</v>
      </c>
      <c r="B102" s="18">
        <f t="shared" si="1"/>
        <v>1.056931917</v>
      </c>
      <c r="C102" s="13">
        <f t="shared" si="2"/>
        <v>1</v>
      </c>
      <c r="D102" s="13">
        <f t="shared" si="3"/>
        <v>0</v>
      </c>
      <c r="O102" s="4"/>
      <c r="P102" s="4"/>
      <c r="Q102" s="4"/>
      <c r="R102" s="4"/>
    </row>
    <row r="103" ht="15.75" customHeight="1">
      <c r="A103" s="13">
        <f>A102+'Energy Balance'!$N$7</f>
        <v>101</v>
      </c>
      <c r="B103" s="18">
        <f t="shared" si="1"/>
        <v>1.067501236</v>
      </c>
      <c r="C103" s="13">
        <f t="shared" si="2"/>
        <v>1</v>
      </c>
      <c r="D103" s="13">
        <f t="shared" si="3"/>
        <v>0</v>
      </c>
      <c r="O103" s="4"/>
      <c r="P103" s="4"/>
      <c r="Q103" s="4"/>
      <c r="R103" s="4"/>
    </row>
    <row r="104" ht="15.75" customHeight="1">
      <c r="A104" s="13">
        <f>A103+'Energy Balance'!$N$7</f>
        <v>102</v>
      </c>
      <c r="B104" s="18">
        <f t="shared" si="1"/>
        <v>1.078070555</v>
      </c>
      <c r="C104" s="13">
        <f t="shared" si="2"/>
        <v>1</v>
      </c>
      <c r="D104" s="13">
        <f t="shared" si="3"/>
        <v>0</v>
      </c>
      <c r="O104" s="4"/>
      <c r="P104" s="4"/>
      <c r="Q104" s="4"/>
      <c r="R104" s="4"/>
    </row>
    <row r="105" ht="15.75" customHeight="1">
      <c r="A105" s="13">
        <f>A104+'Energy Balance'!$N$7</f>
        <v>103</v>
      </c>
      <c r="B105" s="18">
        <f t="shared" si="1"/>
        <v>1.088639874</v>
      </c>
      <c r="C105" s="13">
        <f t="shared" si="2"/>
        <v>1</v>
      </c>
      <c r="D105" s="13">
        <f t="shared" si="3"/>
        <v>0</v>
      </c>
      <c r="O105" s="4"/>
      <c r="P105" s="4"/>
      <c r="Q105" s="4"/>
      <c r="R105" s="4"/>
    </row>
    <row r="106" ht="15.75" customHeight="1">
      <c r="A106" s="13">
        <f>A105+'Energy Balance'!$N$7</f>
        <v>104</v>
      </c>
      <c r="B106" s="18">
        <f t="shared" si="1"/>
        <v>1.099209193</v>
      </c>
      <c r="C106" s="13">
        <f t="shared" si="2"/>
        <v>1</v>
      </c>
      <c r="D106" s="13">
        <f t="shared" si="3"/>
        <v>0</v>
      </c>
      <c r="O106" s="4"/>
      <c r="P106" s="4"/>
      <c r="Q106" s="4"/>
      <c r="R106" s="4"/>
    </row>
    <row r="107" ht="15.75" customHeight="1">
      <c r="A107" s="13">
        <f>A106+'Energy Balance'!$N$7</f>
        <v>105</v>
      </c>
      <c r="B107" s="18">
        <f t="shared" si="1"/>
        <v>1.109778512</v>
      </c>
      <c r="C107" s="13">
        <f t="shared" si="2"/>
        <v>1</v>
      </c>
      <c r="D107" s="13">
        <f t="shared" si="3"/>
        <v>0</v>
      </c>
      <c r="O107" s="4"/>
      <c r="P107" s="4"/>
      <c r="Q107" s="4"/>
      <c r="R107" s="4"/>
    </row>
    <row r="108" ht="15.75" customHeight="1">
      <c r="A108" s="13">
        <f>A107+'Energy Balance'!$N$7</f>
        <v>106</v>
      </c>
      <c r="B108" s="18">
        <f t="shared" si="1"/>
        <v>1.120347832</v>
      </c>
      <c r="C108" s="13">
        <f t="shared" si="2"/>
        <v>1</v>
      </c>
      <c r="D108" s="13">
        <f t="shared" si="3"/>
        <v>0</v>
      </c>
      <c r="O108" s="4"/>
      <c r="P108" s="4"/>
      <c r="Q108" s="4"/>
      <c r="R108" s="4"/>
    </row>
    <row r="109" ht="15.75" customHeight="1">
      <c r="A109" s="13">
        <f>A108+'Energy Balance'!$N$7</f>
        <v>107</v>
      </c>
      <c r="B109" s="18">
        <f t="shared" si="1"/>
        <v>1.130917151</v>
      </c>
      <c r="C109" s="13">
        <f t="shared" si="2"/>
        <v>1</v>
      </c>
      <c r="D109" s="13">
        <f t="shared" si="3"/>
        <v>0</v>
      </c>
      <c r="O109" s="4"/>
      <c r="P109" s="4"/>
      <c r="Q109" s="4"/>
      <c r="R109" s="4"/>
    </row>
    <row r="110" ht="15.75" customHeight="1">
      <c r="A110" s="13">
        <f>A109+'Energy Balance'!$N$7</f>
        <v>108</v>
      </c>
      <c r="B110" s="18">
        <f t="shared" si="1"/>
        <v>1.14148647</v>
      </c>
      <c r="C110" s="13">
        <f t="shared" si="2"/>
        <v>1</v>
      </c>
      <c r="D110" s="13">
        <f t="shared" si="3"/>
        <v>0</v>
      </c>
      <c r="O110" s="4"/>
      <c r="P110" s="4"/>
      <c r="Q110" s="4"/>
      <c r="R110" s="4"/>
    </row>
    <row r="111" ht="15.75" customHeight="1">
      <c r="A111" s="13">
        <f>A110+'Energy Balance'!$N$7</f>
        <v>109</v>
      </c>
      <c r="B111" s="18">
        <f t="shared" si="1"/>
        <v>1.152055789</v>
      </c>
      <c r="C111" s="13">
        <f t="shared" si="2"/>
        <v>1</v>
      </c>
      <c r="D111" s="13">
        <f t="shared" si="3"/>
        <v>0</v>
      </c>
      <c r="O111" s="4"/>
      <c r="P111" s="4"/>
      <c r="Q111" s="4"/>
      <c r="R111" s="4"/>
    </row>
    <row r="112" ht="15.75" customHeight="1">
      <c r="A112" s="13">
        <f>A111+'Energy Balance'!$N$7</f>
        <v>110</v>
      </c>
      <c r="B112" s="18">
        <f t="shared" si="1"/>
        <v>1.162625108</v>
      </c>
      <c r="C112" s="13">
        <f t="shared" si="2"/>
        <v>1</v>
      </c>
      <c r="D112" s="13">
        <f t="shared" si="3"/>
        <v>0</v>
      </c>
      <c r="O112" s="4"/>
      <c r="P112" s="4"/>
      <c r="Q112" s="4"/>
      <c r="R112" s="4"/>
    </row>
    <row r="113" ht="15.75" customHeight="1">
      <c r="A113" s="13">
        <f>A112+'Energy Balance'!$N$7</f>
        <v>111</v>
      </c>
      <c r="B113" s="18">
        <f t="shared" si="1"/>
        <v>1.173194427</v>
      </c>
      <c r="C113" s="13">
        <f t="shared" si="2"/>
        <v>1</v>
      </c>
      <c r="D113" s="13">
        <f t="shared" si="3"/>
        <v>0</v>
      </c>
      <c r="O113" s="4"/>
      <c r="P113" s="4"/>
      <c r="Q113" s="4"/>
      <c r="R113" s="4"/>
    </row>
    <row r="114" ht="15.75" customHeight="1">
      <c r="A114" s="13">
        <f>A113+'Energy Balance'!$N$7</f>
        <v>112</v>
      </c>
      <c r="B114" s="18">
        <f t="shared" si="1"/>
        <v>1.183763747</v>
      </c>
      <c r="C114" s="13">
        <f t="shared" si="2"/>
        <v>1</v>
      </c>
      <c r="D114" s="13">
        <f t="shared" si="3"/>
        <v>0</v>
      </c>
      <c r="O114" s="4"/>
      <c r="P114" s="4"/>
      <c r="Q114" s="4"/>
      <c r="R114" s="4"/>
    </row>
    <row r="115" ht="15.75" customHeight="1">
      <c r="A115" s="13">
        <f>A114+'Energy Balance'!$N$7</f>
        <v>113</v>
      </c>
      <c r="B115" s="18">
        <f t="shared" si="1"/>
        <v>1.194333066</v>
      </c>
      <c r="C115" s="13">
        <f t="shared" si="2"/>
        <v>1</v>
      </c>
      <c r="D115" s="13">
        <f t="shared" si="3"/>
        <v>0</v>
      </c>
      <c r="O115" s="4"/>
      <c r="P115" s="4"/>
      <c r="Q115" s="4"/>
      <c r="R115" s="4"/>
    </row>
    <row r="116" ht="15.75" customHeight="1">
      <c r="A116" s="13">
        <f>A115+'Energy Balance'!$N$7</f>
        <v>114</v>
      </c>
      <c r="B116" s="18">
        <f t="shared" si="1"/>
        <v>1.204902385</v>
      </c>
      <c r="C116" s="13">
        <f t="shared" si="2"/>
        <v>1</v>
      </c>
      <c r="D116" s="13">
        <f t="shared" si="3"/>
        <v>0</v>
      </c>
      <c r="O116" s="4"/>
      <c r="P116" s="4"/>
      <c r="Q116" s="4"/>
      <c r="R116" s="4"/>
    </row>
    <row r="117" ht="15.75" customHeight="1">
      <c r="A117" s="13">
        <f>A116+'Energy Balance'!$N$7</f>
        <v>115</v>
      </c>
      <c r="B117" s="18">
        <f t="shared" si="1"/>
        <v>1.215471704</v>
      </c>
      <c r="C117" s="13">
        <f t="shared" si="2"/>
        <v>1</v>
      </c>
      <c r="D117" s="13">
        <f t="shared" si="3"/>
        <v>0</v>
      </c>
      <c r="O117" s="4"/>
      <c r="P117" s="4"/>
      <c r="Q117" s="4"/>
      <c r="R117" s="4"/>
    </row>
    <row r="118" ht="15.75" customHeight="1">
      <c r="A118" s="13">
        <f>A117+'Energy Balance'!$N$7</f>
        <v>116</v>
      </c>
      <c r="B118" s="18">
        <f t="shared" si="1"/>
        <v>1.226041023</v>
      </c>
      <c r="C118" s="13">
        <f t="shared" si="2"/>
        <v>1</v>
      </c>
      <c r="D118" s="13">
        <f t="shared" si="3"/>
        <v>0</v>
      </c>
      <c r="O118" s="4"/>
      <c r="P118" s="4"/>
      <c r="Q118" s="4"/>
      <c r="R118" s="4"/>
    </row>
    <row r="119" ht="15.75" customHeight="1">
      <c r="A119" s="13">
        <f>A118+'Energy Balance'!$N$7</f>
        <v>117</v>
      </c>
      <c r="B119" s="18">
        <f t="shared" si="1"/>
        <v>1.236610342</v>
      </c>
      <c r="C119" s="13">
        <f t="shared" si="2"/>
        <v>1</v>
      </c>
      <c r="D119" s="13">
        <f t="shared" si="3"/>
        <v>0</v>
      </c>
      <c r="O119" s="4"/>
      <c r="P119" s="4"/>
      <c r="Q119" s="4"/>
      <c r="R119" s="4"/>
    </row>
    <row r="120" ht="15.75" customHeight="1">
      <c r="A120" s="13">
        <f>A119+'Energy Balance'!$N$7</f>
        <v>118</v>
      </c>
      <c r="B120" s="18">
        <f t="shared" si="1"/>
        <v>1.247179662</v>
      </c>
      <c r="C120" s="13">
        <f t="shared" si="2"/>
        <v>1</v>
      </c>
      <c r="D120" s="13">
        <f t="shared" si="3"/>
        <v>0</v>
      </c>
      <c r="O120" s="4"/>
      <c r="P120" s="4"/>
      <c r="Q120" s="4"/>
      <c r="R120" s="4"/>
    </row>
    <row r="121" ht="15.75" customHeight="1">
      <c r="A121" s="13">
        <f>A120+'Energy Balance'!$N$7</f>
        <v>119</v>
      </c>
      <c r="B121" s="18">
        <f t="shared" si="1"/>
        <v>1.257748981</v>
      </c>
      <c r="C121" s="13">
        <f t="shared" si="2"/>
        <v>1</v>
      </c>
      <c r="D121" s="13">
        <f t="shared" si="3"/>
        <v>0</v>
      </c>
      <c r="O121" s="4"/>
      <c r="P121" s="4"/>
      <c r="Q121" s="4"/>
      <c r="R121" s="4"/>
    </row>
    <row r="122" ht="15.75" customHeight="1">
      <c r="A122" s="13">
        <f>A121+'Energy Balance'!$N$7</f>
        <v>120</v>
      </c>
      <c r="B122" s="18">
        <f t="shared" si="1"/>
        <v>1.2683183</v>
      </c>
      <c r="C122" s="13">
        <f t="shared" si="2"/>
        <v>1</v>
      </c>
      <c r="D122" s="13">
        <f t="shared" si="3"/>
        <v>0</v>
      </c>
      <c r="O122" s="4"/>
      <c r="P122" s="4"/>
      <c r="Q122" s="4"/>
      <c r="R122" s="4"/>
    </row>
    <row r="123" ht="15.75" customHeight="1">
      <c r="A123" s="13">
        <f>A122+'Energy Balance'!$N$7</f>
        <v>121</v>
      </c>
      <c r="B123" s="18">
        <f t="shared" si="1"/>
        <v>1.278887619</v>
      </c>
      <c r="C123" s="13">
        <f t="shared" si="2"/>
        <v>1</v>
      </c>
      <c r="D123" s="13">
        <f t="shared" si="3"/>
        <v>0</v>
      </c>
      <c r="O123" s="4"/>
      <c r="P123" s="4"/>
      <c r="Q123" s="4"/>
      <c r="R123" s="4"/>
    </row>
    <row r="124" ht="15.75" customHeight="1">
      <c r="A124" s="13">
        <f>A123+'Energy Balance'!$N$7</f>
        <v>122</v>
      </c>
      <c r="B124" s="18">
        <f t="shared" si="1"/>
        <v>1.289456938</v>
      </c>
      <c r="C124" s="13">
        <f t="shared" si="2"/>
        <v>1</v>
      </c>
      <c r="D124" s="13">
        <f t="shared" si="3"/>
        <v>0</v>
      </c>
      <c r="O124" s="4"/>
      <c r="P124" s="4"/>
      <c r="Q124" s="4"/>
      <c r="R124" s="4"/>
    </row>
    <row r="125" ht="15.75" customHeight="1">
      <c r="A125" s="13">
        <f>A124+'Energy Balance'!$N$7</f>
        <v>123</v>
      </c>
      <c r="B125" s="18">
        <f t="shared" si="1"/>
        <v>1.300026257</v>
      </c>
      <c r="C125" s="13">
        <f t="shared" si="2"/>
        <v>1</v>
      </c>
      <c r="D125" s="13">
        <f t="shared" si="3"/>
        <v>0</v>
      </c>
      <c r="O125" s="4"/>
      <c r="P125" s="4"/>
      <c r="Q125" s="4"/>
      <c r="R125" s="4"/>
    </row>
    <row r="126" ht="15.75" customHeight="1">
      <c r="A126" s="13">
        <f>A125+'Energy Balance'!$N$7</f>
        <v>124</v>
      </c>
      <c r="B126" s="18">
        <f t="shared" si="1"/>
        <v>1.310595577</v>
      </c>
      <c r="C126" s="13">
        <f t="shared" si="2"/>
        <v>1</v>
      </c>
      <c r="D126" s="13">
        <f t="shared" si="3"/>
        <v>0</v>
      </c>
      <c r="O126" s="4"/>
      <c r="P126" s="4"/>
      <c r="Q126" s="4"/>
      <c r="R126" s="4"/>
    </row>
    <row r="127" ht="15.75" customHeight="1">
      <c r="A127" s="13">
        <f>A126+'Energy Balance'!$N$7</f>
        <v>125</v>
      </c>
      <c r="B127" s="18">
        <f t="shared" si="1"/>
        <v>1.321164896</v>
      </c>
      <c r="C127" s="13">
        <f t="shared" si="2"/>
        <v>1</v>
      </c>
      <c r="D127" s="13">
        <f t="shared" si="3"/>
        <v>0</v>
      </c>
      <c r="O127" s="4"/>
      <c r="P127" s="4"/>
      <c r="Q127" s="4"/>
      <c r="R127" s="4"/>
    </row>
    <row r="128" ht="15.75" customHeight="1">
      <c r="A128" s="13">
        <f>A127+'Energy Balance'!$N$7</f>
        <v>126</v>
      </c>
      <c r="B128" s="18">
        <f t="shared" si="1"/>
        <v>1.331734215</v>
      </c>
      <c r="C128" s="13">
        <f t="shared" si="2"/>
        <v>1</v>
      </c>
      <c r="D128" s="13">
        <f t="shared" si="3"/>
        <v>0</v>
      </c>
      <c r="O128" s="4"/>
      <c r="P128" s="4"/>
      <c r="Q128" s="4"/>
      <c r="R128" s="4"/>
    </row>
    <row r="129" ht="15.75" customHeight="1">
      <c r="A129" s="13">
        <f>A128+'Energy Balance'!$N$7</f>
        <v>127</v>
      </c>
      <c r="B129" s="18">
        <f t="shared" si="1"/>
        <v>1.342303534</v>
      </c>
      <c r="C129" s="13">
        <f t="shared" si="2"/>
        <v>1</v>
      </c>
      <c r="D129" s="13">
        <f t="shared" si="3"/>
        <v>0</v>
      </c>
      <c r="O129" s="4"/>
      <c r="P129" s="4"/>
      <c r="Q129" s="4"/>
      <c r="R129" s="4"/>
    </row>
    <row r="130" ht="15.75" customHeight="1">
      <c r="A130" s="13">
        <f>A129+'Energy Balance'!$N$7</f>
        <v>128</v>
      </c>
      <c r="B130" s="18">
        <f t="shared" si="1"/>
        <v>1.352872853</v>
      </c>
      <c r="C130" s="13">
        <f t="shared" si="2"/>
        <v>1</v>
      </c>
      <c r="D130" s="13">
        <f t="shared" si="3"/>
        <v>0</v>
      </c>
      <c r="O130" s="4"/>
      <c r="P130" s="4"/>
      <c r="Q130" s="4"/>
      <c r="R130" s="4"/>
    </row>
    <row r="131" ht="15.75" customHeight="1">
      <c r="A131" s="13">
        <f>A130+'Energy Balance'!$N$7</f>
        <v>129</v>
      </c>
      <c r="B131" s="18">
        <f t="shared" si="1"/>
        <v>1.363442172</v>
      </c>
      <c r="C131" s="13">
        <f t="shared" si="2"/>
        <v>1</v>
      </c>
      <c r="D131" s="13">
        <f t="shared" si="3"/>
        <v>0</v>
      </c>
      <c r="O131" s="4"/>
      <c r="P131" s="4"/>
      <c r="Q131" s="4"/>
      <c r="R131" s="4"/>
    </row>
    <row r="132" ht="15.75" customHeight="1">
      <c r="A132" s="13">
        <f>A131+'Energy Balance'!$N$7</f>
        <v>130</v>
      </c>
      <c r="B132" s="18">
        <f t="shared" si="1"/>
        <v>1.374011492</v>
      </c>
      <c r="C132" s="13">
        <f t="shared" si="2"/>
        <v>1</v>
      </c>
      <c r="D132" s="13">
        <f t="shared" si="3"/>
        <v>0</v>
      </c>
      <c r="O132" s="4"/>
      <c r="P132" s="4"/>
      <c r="Q132" s="4"/>
      <c r="R132" s="4"/>
    </row>
    <row r="133" ht="15.75" customHeight="1">
      <c r="A133" s="13">
        <f>A132+'Energy Balance'!$N$7</f>
        <v>131</v>
      </c>
      <c r="B133" s="18">
        <f t="shared" si="1"/>
        <v>1.384580811</v>
      </c>
      <c r="C133" s="13">
        <f t="shared" si="2"/>
        <v>1</v>
      </c>
      <c r="D133" s="13">
        <f t="shared" si="3"/>
        <v>0</v>
      </c>
      <c r="O133" s="4"/>
      <c r="P133" s="4"/>
      <c r="Q133" s="4"/>
      <c r="R133" s="4"/>
    </row>
    <row r="134" ht="15.75" customHeight="1">
      <c r="A134" s="13">
        <f>A133+'Energy Balance'!$N$7</f>
        <v>132</v>
      </c>
      <c r="B134" s="18">
        <f t="shared" si="1"/>
        <v>1.39515013</v>
      </c>
      <c r="C134" s="13">
        <f t="shared" si="2"/>
        <v>1</v>
      </c>
      <c r="D134" s="13">
        <f t="shared" si="3"/>
        <v>0</v>
      </c>
      <c r="O134" s="4"/>
      <c r="P134" s="4"/>
      <c r="Q134" s="4"/>
      <c r="R134" s="4"/>
    </row>
    <row r="135" ht="15.75" customHeight="1">
      <c r="A135" s="13">
        <f>A134+'Energy Balance'!$N$7</f>
        <v>133</v>
      </c>
      <c r="B135" s="18">
        <f t="shared" si="1"/>
        <v>1.405719449</v>
      </c>
      <c r="C135" s="13">
        <f t="shared" si="2"/>
        <v>1</v>
      </c>
      <c r="D135" s="13">
        <f t="shared" si="3"/>
        <v>0</v>
      </c>
      <c r="O135" s="4"/>
      <c r="P135" s="4"/>
      <c r="Q135" s="4"/>
      <c r="R135" s="4"/>
    </row>
    <row r="136" ht="15.75" customHeight="1">
      <c r="A136" s="13">
        <f>A135+'Energy Balance'!$N$7</f>
        <v>134</v>
      </c>
      <c r="B136" s="18">
        <f t="shared" si="1"/>
        <v>1.416288768</v>
      </c>
      <c r="C136" s="13">
        <f t="shared" si="2"/>
        <v>1</v>
      </c>
      <c r="D136" s="13">
        <f t="shared" si="3"/>
        <v>0</v>
      </c>
      <c r="O136" s="4"/>
      <c r="P136" s="4"/>
      <c r="Q136" s="4"/>
      <c r="R136" s="4"/>
    </row>
    <row r="137" ht="15.75" customHeight="1">
      <c r="A137" s="13">
        <f>A136+'Energy Balance'!$N$7</f>
        <v>135</v>
      </c>
      <c r="B137" s="18">
        <f t="shared" si="1"/>
        <v>1.426858087</v>
      </c>
      <c r="C137" s="13">
        <f t="shared" si="2"/>
        <v>1</v>
      </c>
      <c r="D137" s="13">
        <f t="shared" si="3"/>
        <v>0</v>
      </c>
      <c r="O137" s="4"/>
      <c r="P137" s="4"/>
      <c r="Q137" s="4"/>
      <c r="R137" s="4"/>
    </row>
    <row r="138" ht="15.75" customHeight="1">
      <c r="A138" s="13">
        <f>A137+'Energy Balance'!$N$7</f>
        <v>136</v>
      </c>
      <c r="B138" s="18">
        <f t="shared" si="1"/>
        <v>1.437427407</v>
      </c>
      <c r="C138" s="13">
        <f t="shared" si="2"/>
        <v>1</v>
      </c>
      <c r="D138" s="13">
        <f t="shared" si="3"/>
        <v>0</v>
      </c>
      <c r="O138" s="4"/>
      <c r="P138" s="4"/>
      <c r="Q138" s="4"/>
      <c r="R138" s="4"/>
    </row>
    <row r="139" ht="15.75" customHeight="1">
      <c r="A139" s="13">
        <f>A138+'Energy Balance'!$N$7</f>
        <v>137</v>
      </c>
      <c r="B139" s="18">
        <f t="shared" si="1"/>
        <v>1.447996726</v>
      </c>
      <c r="C139" s="13">
        <f t="shared" si="2"/>
        <v>1</v>
      </c>
      <c r="D139" s="13">
        <f t="shared" si="3"/>
        <v>0</v>
      </c>
      <c r="O139" s="4"/>
      <c r="P139" s="4"/>
      <c r="Q139" s="4"/>
      <c r="R139" s="4"/>
    </row>
    <row r="140" ht="15.75" customHeight="1">
      <c r="A140" s="13">
        <f>A139+'Energy Balance'!$N$7</f>
        <v>138</v>
      </c>
      <c r="B140" s="18">
        <f t="shared" si="1"/>
        <v>1.458566045</v>
      </c>
      <c r="C140" s="13">
        <f t="shared" si="2"/>
        <v>1</v>
      </c>
      <c r="D140" s="13">
        <f t="shared" si="3"/>
        <v>0</v>
      </c>
      <c r="O140" s="4"/>
      <c r="P140" s="4"/>
      <c r="Q140" s="4"/>
      <c r="R140" s="4"/>
    </row>
    <row r="141" ht="15.75" customHeight="1">
      <c r="A141" s="13">
        <f>A140+'Energy Balance'!$N$7</f>
        <v>139</v>
      </c>
      <c r="B141" s="18">
        <f t="shared" si="1"/>
        <v>1.469135364</v>
      </c>
      <c r="C141" s="13">
        <f t="shared" si="2"/>
        <v>1</v>
      </c>
      <c r="D141" s="13">
        <f t="shared" si="3"/>
        <v>0</v>
      </c>
      <c r="O141" s="4"/>
      <c r="P141" s="4"/>
      <c r="Q141" s="4"/>
      <c r="R141" s="4"/>
    </row>
    <row r="142" ht="15.75" customHeight="1">
      <c r="A142" s="13">
        <f>A141+'Energy Balance'!$N$7</f>
        <v>140</v>
      </c>
      <c r="B142" s="18">
        <f t="shared" si="1"/>
        <v>1.479704683</v>
      </c>
      <c r="C142" s="13">
        <f t="shared" si="2"/>
        <v>1</v>
      </c>
      <c r="D142" s="13">
        <f t="shared" si="3"/>
        <v>0</v>
      </c>
      <c r="O142" s="4"/>
      <c r="P142" s="4"/>
      <c r="Q142" s="4"/>
      <c r="R142" s="4"/>
    </row>
    <row r="143" ht="15.75" customHeight="1">
      <c r="A143" s="13">
        <f>A142+'Energy Balance'!$N$7</f>
        <v>141</v>
      </c>
      <c r="B143" s="18">
        <f t="shared" si="1"/>
        <v>1.490274002</v>
      </c>
      <c r="C143" s="13">
        <f t="shared" si="2"/>
        <v>1</v>
      </c>
      <c r="D143" s="13">
        <f t="shared" si="3"/>
        <v>0</v>
      </c>
      <c r="O143" s="4"/>
      <c r="P143" s="4"/>
      <c r="Q143" s="4"/>
      <c r="R143" s="4"/>
    </row>
    <row r="144" ht="15.75" customHeight="1">
      <c r="A144" s="13">
        <f>A143+'Energy Balance'!$N$7</f>
        <v>142</v>
      </c>
      <c r="B144" s="18">
        <f t="shared" si="1"/>
        <v>1.500843322</v>
      </c>
      <c r="C144" s="13">
        <f t="shared" si="2"/>
        <v>1</v>
      </c>
      <c r="D144" s="13">
        <f t="shared" si="3"/>
        <v>0</v>
      </c>
      <c r="O144" s="4"/>
      <c r="P144" s="4"/>
      <c r="Q144" s="4"/>
      <c r="R144" s="4"/>
    </row>
    <row r="145" ht="15.75" customHeight="1">
      <c r="A145" s="13">
        <f>A144+'Energy Balance'!$N$7</f>
        <v>143</v>
      </c>
      <c r="B145" s="18">
        <f t="shared" si="1"/>
        <v>1.511412641</v>
      </c>
      <c r="C145" s="13">
        <f t="shared" si="2"/>
        <v>1</v>
      </c>
      <c r="D145" s="13">
        <f t="shared" si="3"/>
        <v>0</v>
      </c>
      <c r="O145" s="4"/>
      <c r="P145" s="4"/>
      <c r="Q145" s="4"/>
      <c r="R145" s="4"/>
    </row>
    <row r="146" ht="15.75" customHeight="1">
      <c r="A146" s="13">
        <f>A145+'Energy Balance'!$N$7</f>
        <v>144</v>
      </c>
      <c r="B146" s="18">
        <f t="shared" si="1"/>
        <v>1.52198196</v>
      </c>
      <c r="C146" s="13">
        <f t="shared" si="2"/>
        <v>1</v>
      </c>
      <c r="D146" s="13">
        <f t="shared" si="3"/>
        <v>0</v>
      </c>
      <c r="O146" s="4"/>
      <c r="P146" s="4"/>
      <c r="Q146" s="4"/>
      <c r="R146" s="4"/>
    </row>
    <row r="147" ht="15.75" customHeight="1">
      <c r="A147" s="13">
        <f>A146+'Energy Balance'!$N$7</f>
        <v>145</v>
      </c>
      <c r="B147" s="18">
        <f t="shared" si="1"/>
        <v>1.532551279</v>
      </c>
      <c r="C147" s="13">
        <f t="shared" si="2"/>
        <v>1</v>
      </c>
      <c r="D147" s="13">
        <f t="shared" si="3"/>
        <v>0</v>
      </c>
      <c r="O147" s="4"/>
      <c r="P147" s="4"/>
      <c r="Q147" s="4"/>
      <c r="R147" s="4"/>
    </row>
    <row r="148" ht="15.75" customHeight="1">
      <c r="A148" s="13">
        <f>A147+'Energy Balance'!$N$7</f>
        <v>146</v>
      </c>
      <c r="B148" s="18">
        <f t="shared" si="1"/>
        <v>1.543120598</v>
      </c>
      <c r="C148" s="13">
        <f t="shared" si="2"/>
        <v>1</v>
      </c>
      <c r="D148" s="13">
        <f t="shared" si="3"/>
        <v>0</v>
      </c>
      <c r="O148" s="4"/>
      <c r="P148" s="4"/>
      <c r="Q148" s="4"/>
      <c r="R148" s="4"/>
    </row>
    <row r="149" ht="15.75" customHeight="1">
      <c r="A149" s="13">
        <f>A148+'Energy Balance'!$N$7</f>
        <v>147</v>
      </c>
      <c r="B149" s="18">
        <f t="shared" si="1"/>
        <v>1.553689917</v>
      </c>
      <c r="C149" s="13">
        <f t="shared" si="2"/>
        <v>1</v>
      </c>
      <c r="D149" s="13">
        <f t="shared" si="3"/>
        <v>0</v>
      </c>
      <c r="O149" s="4"/>
      <c r="P149" s="4"/>
      <c r="Q149" s="4"/>
      <c r="R149" s="4"/>
    </row>
    <row r="150" ht="15.75" customHeight="1">
      <c r="A150" s="13">
        <f>A149+'Energy Balance'!$N$7</f>
        <v>148</v>
      </c>
      <c r="B150" s="18">
        <f t="shared" si="1"/>
        <v>1.564259237</v>
      </c>
      <c r="C150" s="13">
        <f t="shared" si="2"/>
        <v>1</v>
      </c>
      <c r="D150" s="13">
        <f t="shared" si="3"/>
        <v>0</v>
      </c>
      <c r="O150" s="4"/>
      <c r="P150" s="4"/>
      <c r="Q150" s="4"/>
      <c r="R150" s="4"/>
    </row>
    <row r="151" ht="15.75" customHeight="1">
      <c r="A151" s="13">
        <f>A150+'Energy Balance'!$N$7</f>
        <v>149</v>
      </c>
      <c r="B151" s="18">
        <f t="shared" si="1"/>
        <v>1.574828556</v>
      </c>
      <c r="C151" s="13">
        <f t="shared" si="2"/>
        <v>1</v>
      </c>
      <c r="D151" s="13">
        <f t="shared" si="3"/>
        <v>0</v>
      </c>
      <c r="O151" s="4"/>
      <c r="P151" s="4"/>
      <c r="Q151" s="4"/>
      <c r="R151" s="4"/>
    </row>
    <row r="152" ht="15.75" customHeight="1">
      <c r="A152" s="13">
        <f>A151+'Energy Balance'!$N$7</f>
        <v>150</v>
      </c>
      <c r="B152" s="18">
        <f t="shared" si="1"/>
        <v>1.585397875</v>
      </c>
      <c r="C152" s="13">
        <f t="shared" si="2"/>
        <v>1</v>
      </c>
      <c r="D152" s="13">
        <f t="shared" si="3"/>
        <v>0</v>
      </c>
      <c r="O152" s="4"/>
      <c r="P152" s="4"/>
      <c r="Q152" s="4"/>
      <c r="R152" s="4"/>
    </row>
    <row r="153" ht="15.75" customHeight="1">
      <c r="A153" s="13">
        <f>A152+'Energy Balance'!$N$7</f>
        <v>151</v>
      </c>
      <c r="B153" s="18">
        <f t="shared" si="1"/>
        <v>1.595967194</v>
      </c>
      <c r="C153" s="13">
        <f t="shared" si="2"/>
        <v>1</v>
      </c>
      <c r="D153" s="13">
        <f t="shared" si="3"/>
        <v>0</v>
      </c>
      <c r="O153" s="4"/>
      <c r="P153" s="4"/>
      <c r="Q153" s="4"/>
      <c r="R153" s="4"/>
    </row>
    <row r="154" ht="15.75" customHeight="1">
      <c r="A154" s="13">
        <f>A153+'Energy Balance'!$N$7</f>
        <v>152</v>
      </c>
      <c r="B154" s="18">
        <f t="shared" si="1"/>
        <v>1.606536513</v>
      </c>
      <c r="C154" s="13">
        <f t="shared" si="2"/>
        <v>1</v>
      </c>
      <c r="D154" s="13">
        <f t="shared" si="3"/>
        <v>0</v>
      </c>
      <c r="O154" s="4"/>
      <c r="P154" s="4"/>
      <c r="Q154" s="4"/>
      <c r="R154" s="4"/>
    </row>
    <row r="155" ht="15.75" customHeight="1">
      <c r="A155" s="13">
        <f>A154+'Energy Balance'!$N$7</f>
        <v>153</v>
      </c>
      <c r="B155" s="18">
        <f t="shared" si="1"/>
        <v>1.617105832</v>
      </c>
      <c r="C155" s="13">
        <f t="shared" si="2"/>
        <v>1</v>
      </c>
      <c r="D155" s="13">
        <f t="shared" si="3"/>
        <v>0</v>
      </c>
      <c r="O155" s="4"/>
      <c r="P155" s="4"/>
      <c r="Q155" s="4"/>
      <c r="R155" s="4"/>
    </row>
    <row r="156" ht="15.75" customHeight="1">
      <c r="A156" s="13">
        <f>A155+'Energy Balance'!$N$7</f>
        <v>154</v>
      </c>
      <c r="B156" s="18">
        <f t="shared" si="1"/>
        <v>1.627675152</v>
      </c>
      <c r="C156" s="13">
        <f t="shared" si="2"/>
        <v>0</v>
      </c>
      <c r="D156" s="13">
        <f t="shared" si="3"/>
        <v>1</v>
      </c>
      <c r="O156" s="4"/>
      <c r="P156" s="4"/>
      <c r="Q156" s="4"/>
      <c r="R156" s="4"/>
    </row>
    <row r="157" ht="15.75" customHeight="1">
      <c r="A157" s="13">
        <f>A156+'Energy Balance'!$N$7</f>
        <v>155</v>
      </c>
      <c r="B157" s="18">
        <f t="shared" si="1"/>
        <v>1.638244471</v>
      </c>
      <c r="C157" s="13">
        <f t="shared" si="2"/>
        <v>0</v>
      </c>
      <c r="D157" s="13">
        <f t="shared" si="3"/>
        <v>1</v>
      </c>
      <c r="O157" s="4"/>
      <c r="P157" s="4"/>
      <c r="Q157" s="4"/>
      <c r="R157" s="4"/>
    </row>
    <row r="158" ht="15.75" customHeight="1">
      <c r="A158" s="13">
        <f>A157+'Energy Balance'!$N$7</f>
        <v>156</v>
      </c>
      <c r="B158" s="18">
        <f t="shared" si="1"/>
        <v>1.64881379</v>
      </c>
      <c r="C158" s="13">
        <f t="shared" si="2"/>
        <v>0</v>
      </c>
      <c r="D158" s="13">
        <f t="shared" si="3"/>
        <v>1</v>
      </c>
      <c r="O158" s="4"/>
      <c r="P158" s="4"/>
      <c r="Q158" s="4"/>
      <c r="R158" s="4"/>
    </row>
    <row r="159" ht="15.75" customHeight="1">
      <c r="A159" s="13">
        <f>A158+'Energy Balance'!$N$7</f>
        <v>157</v>
      </c>
      <c r="B159" s="18">
        <f t="shared" si="1"/>
        <v>1.659383109</v>
      </c>
      <c r="C159" s="13">
        <f t="shared" si="2"/>
        <v>0</v>
      </c>
      <c r="D159" s="13">
        <f t="shared" si="3"/>
        <v>1</v>
      </c>
      <c r="O159" s="4"/>
      <c r="P159" s="4"/>
      <c r="Q159" s="4"/>
      <c r="R159" s="4"/>
    </row>
    <row r="160" ht="15.75" customHeight="1">
      <c r="A160" s="13">
        <f>A159+'Energy Balance'!$N$7</f>
        <v>158</v>
      </c>
      <c r="B160" s="18">
        <f t="shared" si="1"/>
        <v>1.669952428</v>
      </c>
      <c r="C160" s="13">
        <f t="shared" si="2"/>
        <v>0</v>
      </c>
      <c r="D160" s="13">
        <f t="shared" si="3"/>
        <v>1</v>
      </c>
      <c r="O160" s="4"/>
      <c r="P160" s="4"/>
      <c r="Q160" s="4"/>
      <c r="R160" s="4"/>
    </row>
    <row r="161" ht="15.75" customHeight="1">
      <c r="A161" s="13">
        <f>A160+'Energy Balance'!$N$7</f>
        <v>159</v>
      </c>
      <c r="B161" s="18">
        <f t="shared" si="1"/>
        <v>1.680521747</v>
      </c>
      <c r="C161" s="13">
        <f t="shared" si="2"/>
        <v>0</v>
      </c>
      <c r="D161" s="13">
        <f t="shared" si="3"/>
        <v>1</v>
      </c>
      <c r="O161" s="4"/>
      <c r="P161" s="4"/>
      <c r="Q161" s="4"/>
      <c r="R161" s="4"/>
    </row>
    <row r="162" ht="15.75" customHeight="1">
      <c r="A162" s="13">
        <f>A161+'Energy Balance'!$N$7</f>
        <v>160</v>
      </c>
      <c r="B162" s="18">
        <f t="shared" si="1"/>
        <v>1.691091067</v>
      </c>
      <c r="C162" s="13">
        <f t="shared" si="2"/>
        <v>0</v>
      </c>
      <c r="D162" s="13">
        <f t="shared" si="3"/>
        <v>1</v>
      </c>
      <c r="O162" s="4"/>
      <c r="P162" s="4"/>
      <c r="Q162" s="4"/>
      <c r="R162" s="4"/>
    </row>
    <row r="163" ht="15.75" customHeight="1">
      <c r="A163" s="13">
        <f>A162+'Energy Balance'!$N$7</f>
        <v>161</v>
      </c>
      <c r="B163" s="18">
        <f t="shared" si="1"/>
        <v>1.701660386</v>
      </c>
      <c r="C163" s="13">
        <f t="shared" si="2"/>
        <v>0</v>
      </c>
      <c r="D163" s="13">
        <f t="shared" si="3"/>
        <v>1</v>
      </c>
      <c r="O163" s="4"/>
      <c r="P163" s="4"/>
      <c r="Q163" s="4"/>
      <c r="R163" s="4"/>
    </row>
    <row r="164" ht="15.75" customHeight="1">
      <c r="A164" s="13">
        <f>A163+'Energy Balance'!$N$7</f>
        <v>162</v>
      </c>
      <c r="B164" s="18">
        <f t="shared" si="1"/>
        <v>1.712229705</v>
      </c>
      <c r="C164" s="13">
        <f t="shared" si="2"/>
        <v>0</v>
      </c>
      <c r="D164" s="13">
        <f t="shared" si="3"/>
        <v>1</v>
      </c>
      <c r="O164" s="4"/>
      <c r="P164" s="4"/>
      <c r="Q164" s="4"/>
      <c r="R164" s="4"/>
    </row>
    <row r="165" ht="15.75" customHeight="1">
      <c r="A165" s="13">
        <f>A164+'Energy Balance'!$N$7</f>
        <v>163</v>
      </c>
      <c r="B165" s="18">
        <f t="shared" si="1"/>
        <v>1.722799024</v>
      </c>
      <c r="C165" s="13">
        <f t="shared" si="2"/>
        <v>0</v>
      </c>
      <c r="D165" s="13">
        <f t="shared" si="3"/>
        <v>1</v>
      </c>
      <c r="O165" s="4"/>
      <c r="P165" s="4"/>
      <c r="Q165" s="4"/>
      <c r="R165" s="4"/>
    </row>
    <row r="166" ht="15.75" customHeight="1">
      <c r="A166" s="13">
        <f>A165+'Energy Balance'!$N$7</f>
        <v>164</v>
      </c>
      <c r="B166" s="18">
        <f t="shared" si="1"/>
        <v>1.733368343</v>
      </c>
      <c r="C166" s="13">
        <f t="shared" si="2"/>
        <v>0</v>
      </c>
      <c r="D166" s="13">
        <f t="shared" si="3"/>
        <v>1</v>
      </c>
      <c r="O166" s="4"/>
      <c r="P166" s="4"/>
      <c r="Q166" s="4"/>
      <c r="R166" s="4"/>
    </row>
    <row r="167" ht="15.75" customHeight="1">
      <c r="A167" s="13">
        <f>A166+'Energy Balance'!$N$7</f>
        <v>165</v>
      </c>
      <c r="B167" s="18">
        <f t="shared" si="1"/>
        <v>1.743937662</v>
      </c>
      <c r="C167" s="13">
        <f t="shared" si="2"/>
        <v>0</v>
      </c>
      <c r="D167" s="13">
        <f t="shared" si="3"/>
        <v>1</v>
      </c>
      <c r="O167" s="4"/>
      <c r="P167" s="4"/>
      <c r="Q167" s="4"/>
      <c r="R167" s="4"/>
    </row>
    <row r="168" ht="15.75" customHeight="1">
      <c r="A168" s="13">
        <f>A167+'Energy Balance'!$N$7</f>
        <v>166</v>
      </c>
      <c r="B168" s="18">
        <f t="shared" si="1"/>
        <v>1.754506982</v>
      </c>
      <c r="C168" s="13">
        <f t="shared" si="2"/>
        <v>0</v>
      </c>
      <c r="D168" s="13">
        <f t="shared" si="3"/>
        <v>1</v>
      </c>
      <c r="O168" s="4"/>
      <c r="P168" s="4"/>
      <c r="Q168" s="4"/>
      <c r="R168" s="4"/>
    </row>
    <row r="169" ht="15.75" customHeight="1">
      <c r="A169" s="13">
        <f>A168+'Energy Balance'!$N$7</f>
        <v>167</v>
      </c>
      <c r="B169" s="18">
        <f t="shared" si="1"/>
        <v>1.765076301</v>
      </c>
      <c r="C169" s="13">
        <f t="shared" si="2"/>
        <v>0</v>
      </c>
      <c r="D169" s="13">
        <f t="shared" si="3"/>
        <v>1</v>
      </c>
      <c r="O169" s="4"/>
      <c r="P169" s="4"/>
      <c r="Q169" s="4"/>
      <c r="R169" s="4"/>
    </row>
    <row r="170" ht="15.75" customHeight="1">
      <c r="A170" s="13">
        <f>A169+'Energy Balance'!$N$7</f>
        <v>168</v>
      </c>
      <c r="B170" s="18">
        <f t="shared" si="1"/>
        <v>1.77564562</v>
      </c>
      <c r="C170" s="13">
        <f t="shared" si="2"/>
        <v>0</v>
      </c>
      <c r="D170" s="13">
        <f t="shared" si="3"/>
        <v>1</v>
      </c>
      <c r="O170" s="4"/>
      <c r="P170" s="4"/>
      <c r="Q170" s="4"/>
      <c r="R170" s="4"/>
    </row>
    <row r="171" ht="15.75" customHeight="1">
      <c r="A171" s="13">
        <f>A170+'Energy Balance'!$N$7</f>
        <v>169</v>
      </c>
      <c r="B171" s="18">
        <f t="shared" si="1"/>
        <v>1.786214939</v>
      </c>
      <c r="C171" s="13">
        <f t="shared" si="2"/>
        <v>0</v>
      </c>
      <c r="D171" s="13">
        <f t="shared" si="3"/>
        <v>1</v>
      </c>
      <c r="O171" s="4"/>
      <c r="P171" s="4"/>
      <c r="Q171" s="4"/>
      <c r="R171" s="4"/>
    </row>
    <row r="172" ht="15.75" customHeight="1">
      <c r="A172" s="13">
        <f>A171+'Energy Balance'!$N$7</f>
        <v>170</v>
      </c>
      <c r="B172" s="18">
        <f t="shared" si="1"/>
        <v>1.796784258</v>
      </c>
      <c r="C172" s="13">
        <f t="shared" si="2"/>
        <v>0</v>
      </c>
      <c r="D172" s="13">
        <f t="shared" si="3"/>
        <v>1</v>
      </c>
      <c r="O172" s="4"/>
      <c r="P172" s="4"/>
      <c r="Q172" s="4"/>
      <c r="R172" s="4"/>
    </row>
    <row r="173" ht="15.75" customHeight="1">
      <c r="A173" s="13">
        <f>A172+'Energy Balance'!$N$7</f>
        <v>171</v>
      </c>
      <c r="B173" s="18">
        <f t="shared" si="1"/>
        <v>1.807353577</v>
      </c>
      <c r="C173" s="13">
        <f t="shared" si="2"/>
        <v>0</v>
      </c>
      <c r="D173" s="13">
        <f t="shared" si="3"/>
        <v>1</v>
      </c>
      <c r="O173" s="4"/>
      <c r="P173" s="4"/>
      <c r="Q173" s="4"/>
      <c r="R173" s="4"/>
    </row>
    <row r="174" ht="15.75" customHeight="1">
      <c r="A174" s="13">
        <f>A173+'Energy Balance'!$N$7</f>
        <v>172</v>
      </c>
      <c r="B174" s="18">
        <f t="shared" si="1"/>
        <v>1.817922897</v>
      </c>
      <c r="C174" s="13">
        <f t="shared" si="2"/>
        <v>0</v>
      </c>
      <c r="D174" s="13">
        <f t="shared" si="3"/>
        <v>1</v>
      </c>
      <c r="O174" s="4"/>
      <c r="P174" s="4"/>
      <c r="Q174" s="4"/>
      <c r="R174" s="4"/>
    </row>
    <row r="175" ht="15.75" customHeight="1">
      <c r="A175" s="13">
        <f>A174+'Energy Balance'!$N$7</f>
        <v>173</v>
      </c>
      <c r="B175" s="18">
        <f t="shared" si="1"/>
        <v>1.828492216</v>
      </c>
      <c r="C175" s="13">
        <f t="shared" si="2"/>
        <v>0</v>
      </c>
      <c r="D175" s="13">
        <f t="shared" si="3"/>
        <v>1</v>
      </c>
      <c r="O175" s="4"/>
      <c r="P175" s="4"/>
      <c r="Q175" s="4"/>
      <c r="R175" s="4"/>
    </row>
    <row r="176" ht="15.75" customHeight="1">
      <c r="A176" s="13">
        <f>A175+'Energy Balance'!$N$7</f>
        <v>174</v>
      </c>
      <c r="B176" s="18">
        <f t="shared" si="1"/>
        <v>1.839061535</v>
      </c>
      <c r="C176" s="13">
        <f t="shared" si="2"/>
        <v>0</v>
      </c>
      <c r="D176" s="13">
        <f t="shared" si="3"/>
        <v>1</v>
      </c>
      <c r="O176" s="4"/>
      <c r="P176" s="4"/>
      <c r="Q176" s="4"/>
      <c r="R176" s="4"/>
    </row>
    <row r="177" ht="15.75" customHeight="1">
      <c r="A177" s="13">
        <f>A176+'Energy Balance'!$N$7</f>
        <v>175</v>
      </c>
      <c r="B177" s="18">
        <f t="shared" si="1"/>
        <v>1.849630854</v>
      </c>
      <c r="C177" s="13">
        <f t="shared" si="2"/>
        <v>0</v>
      </c>
      <c r="D177" s="13">
        <f t="shared" si="3"/>
        <v>1</v>
      </c>
      <c r="O177" s="4"/>
      <c r="P177" s="4"/>
      <c r="Q177" s="4"/>
      <c r="R177" s="4"/>
    </row>
    <row r="178" ht="15.75" customHeight="1">
      <c r="A178" s="13">
        <f>A177+'Energy Balance'!$N$7</f>
        <v>176</v>
      </c>
      <c r="B178" s="18">
        <f t="shared" si="1"/>
        <v>1.860200173</v>
      </c>
      <c r="C178" s="13">
        <f t="shared" si="2"/>
        <v>0</v>
      </c>
      <c r="D178" s="13">
        <f t="shared" si="3"/>
        <v>1</v>
      </c>
      <c r="O178" s="4"/>
      <c r="P178" s="4"/>
      <c r="Q178" s="4"/>
      <c r="R178" s="4"/>
    </row>
    <row r="179" ht="15.75" customHeight="1">
      <c r="A179" s="13">
        <f>A178+'Energy Balance'!$N$7</f>
        <v>177</v>
      </c>
      <c r="B179" s="18">
        <f t="shared" si="1"/>
        <v>1.870769492</v>
      </c>
      <c r="C179" s="13">
        <f t="shared" si="2"/>
        <v>0</v>
      </c>
      <c r="D179" s="13">
        <f t="shared" si="3"/>
        <v>1</v>
      </c>
      <c r="O179" s="4"/>
      <c r="P179" s="4"/>
      <c r="Q179" s="4"/>
      <c r="R179" s="4"/>
    </row>
    <row r="180" ht="15.75" customHeight="1">
      <c r="A180" s="13">
        <f>A179+'Energy Balance'!$N$7</f>
        <v>178</v>
      </c>
      <c r="B180" s="18">
        <f t="shared" si="1"/>
        <v>1.881338812</v>
      </c>
      <c r="C180" s="13">
        <f t="shared" si="2"/>
        <v>0</v>
      </c>
      <c r="D180" s="13">
        <f t="shared" si="3"/>
        <v>1</v>
      </c>
      <c r="O180" s="4"/>
      <c r="P180" s="4"/>
      <c r="Q180" s="4"/>
      <c r="R180" s="4"/>
    </row>
    <row r="181" ht="15.75" customHeight="1">
      <c r="A181" s="13">
        <f>A180+'Energy Balance'!$N$7</f>
        <v>179</v>
      </c>
      <c r="B181" s="18">
        <f t="shared" si="1"/>
        <v>1.891908131</v>
      </c>
      <c r="C181" s="13">
        <f t="shared" si="2"/>
        <v>0</v>
      </c>
      <c r="D181" s="13">
        <f t="shared" si="3"/>
        <v>1</v>
      </c>
      <c r="O181" s="4"/>
      <c r="P181" s="4"/>
      <c r="Q181" s="4"/>
      <c r="R181" s="4"/>
    </row>
    <row r="182" ht="15.75" customHeight="1">
      <c r="A182" s="13">
        <f>A181+'Energy Balance'!$N$7</f>
        <v>180</v>
      </c>
      <c r="B182" s="18">
        <f t="shared" si="1"/>
        <v>1.90247745</v>
      </c>
      <c r="C182" s="13">
        <f t="shared" si="2"/>
        <v>0</v>
      </c>
      <c r="D182" s="13">
        <f t="shared" si="3"/>
        <v>1</v>
      </c>
      <c r="O182" s="4"/>
      <c r="P182" s="4"/>
      <c r="Q182" s="4"/>
      <c r="R182" s="4"/>
    </row>
    <row r="183" ht="15.75" customHeight="1">
      <c r="A183" s="13">
        <f>A182+'Energy Balance'!$N$7</f>
        <v>181</v>
      </c>
      <c r="B183" s="18">
        <f t="shared" si="1"/>
        <v>1.913046769</v>
      </c>
      <c r="C183" s="13">
        <f t="shared" si="2"/>
        <v>0</v>
      </c>
      <c r="D183" s="13">
        <f t="shared" si="3"/>
        <v>1</v>
      </c>
      <c r="O183" s="4"/>
      <c r="P183" s="4"/>
      <c r="Q183" s="4"/>
      <c r="R183" s="4"/>
    </row>
    <row r="184" ht="15.75" customHeight="1">
      <c r="A184" s="13">
        <f>A183+'Energy Balance'!$N$7</f>
        <v>182</v>
      </c>
      <c r="B184" s="18">
        <f t="shared" si="1"/>
        <v>1.923616088</v>
      </c>
      <c r="C184" s="13">
        <f t="shared" si="2"/>
        <v>0</v>
      </c>
      <c r="D184" s="13">
        <f t="shared" si="3"/>
        <v>1</v>
      </c>
      <c r="O184" s="4"/>
      <c r="P184" s="4"/>
      <c r="Q184" s="4"/>
      <c r="R184" s="4"/>
    </row>
    <row r="185" ht="15.75" customHeight="1">
      <c r="A185" s="13">
        <f>A184+'Energy Balance'!$N$7</f>
        <v>183</v>
      </c>
      <c r="B185" s="18">
        <f t="shared" si="1"/>
        <v>1.934185407</v>
      </c>
      <c r="C185" s="13">
        <f t="shared" si="2"/>
        <v>0</v>
      </c>
      <c r="D185" s="13">
        <f t="shared" si="3"/>
        <v>1</v>
      </c>
      <c r="O185" s="4"/>
      <c r="P185" s="4"/>
      <c r="Q185" s="4"/>
      <c r="R185" s="4"/>
    </row>
    <row r="186" ht="15.75" customHeight="1">
      <c r="A186" s="13">
        <f>A185+'Energy Balance'!$N$7</f>
        <v>184</v>
      </c>
      <c r="B186" s="18">
        <f t="shared" si="1"/>
        <v>1.944754727</v>
      </c>
      <c r="C186" s="13">
        <f t="shared" si="2"/>
        <v>0</v>
      </c>
      <c r="D186" s="13">
        <f t="shared" si="3"/>
        <v>1</v>
      </c>
      <c r="O186" s="4"/>
      <c r="P186" s="4"/>
      <c r="Q186" s="4"/>
      <c r="R186" s="4"/>
    </row>
    <row r="187" ht="15.75" customHeight="1">
      <c r="A187" s="13">
        <f>A186+'Energy Balance'!$N$7</f>
        <v>185</v>
      </c>
      <c r="B187" s="18">
        <f t="shared" si="1"/>
        <v>1.955324046</v>
      </c>
      <c r="C187" s="13">
        <f t="shared" si="2"/>
        <v>0</v>
      </c>
      <c r="D187" s="13">
        <f t="shared" si="3"/>
        <v>1</v>
      </c>
      <c r="O187" s="4"/>
      <c r="P187" s="4"/>
      <c r="Q187" s="4"/>
      <c r="R187" s="4"/>
    </row>
    <row r="188" ht="15.75" customHeight="1">
      <c r="A188" s="13">
        <f>A187+'Energy Balance'!$N$7</f>
        <v>186</v>
      </c>
      <c r="B188" s="18">
        <f t="shared" si="1"/>
        <v>1.965893365</v>
      </c>
      <c r="C188" s="13">
        <f t="shared" si="2"/>
        <v>0</v>
      </c>
      <c r="D188" s="13">
        <f t="shared" si="3"/>
        <v>1</v>
      </c>
      <c r="O188" s="4"/>
      <c r="P188" s="4"/>
      <c r="Q188" s="4"/>
      <c r="R188" s="4"/>
    </row>
    <row r="189" ht="15.75" customHeight="1">
      <c r="A189" s="13">
        <f>A188+'Energy Balance'!$N$7</f>
        <v>187</v>
      </c>
      <c r="B189" s="18">
        <f t="shared" si="1"/>
        <v>1.976462684</v>
      </c>
      <c r="C189" s="13">
        <f t="shared" si="2"/>
        <v>0</v>
      </c>
      <c r="D189" s="13">
        <f t="shared" si="3"/>
        <v>1</v>
      </c>
      <c r="O189" s="4"/>
      <c r="P189" s="4"/>
      <c r="Q189" s="4"/>
      <c r="R189" s="4"/>
    </row>
    <row r="190" ht="15.75" customHeight="1">
      <c r="A190" s="13">
        <f>A189+'Energy Balance'!$N$7</f>
        <v>188</v>
      </c>
      <c r="B190" s="18">
        <f t="shared" si="1"/>
        <v>1.987032003</v>
      </c>
      <c r="C190" s="13">
        <f t="shared" si="2"/>
        <v>0</v>
      </c>
      <c r="D190" s="13">
        <f t="shared" si="3"/>
        <v>1</v>
      </c>
      <c r="O190" s="4"/>
      <c r="P190" s="4"/>
      <c r="Q190" s="4"/>
      <c r="R190" s="4"/>
    </row>
    <row r="191" ht="15.75" customHeight="1">
      <c r="A191" s="13">
        <f>A190+'Energy Balance'!$N$7</f>
        <v>189</v>
      </c>
      <c r="B191" s="18">
        <f t="shared" si="1"/>
        <v>1.997601322</v>
      </c>
      <c r="C191" s="13">
        <f t="shared" si="2"/>
        <v>0</v>
      </c>
      <c r="D191" s="13">
        <f t="shared" si="3"/>
        <v>1</v>
      </c>
      <c r="O191" s="4"/>
      <c r="P191" s="4"/>
      <c r="Q191" s="4"/>
      <c r="R191" s="4"/>
    </row>
    <row r="192" ht="15.75" customHeight="1">
      <c r="A192" s="13">
        <f>A191+'Energy Balance'!$N$7</f>
        <v>190</v>
      </c>
      <c r="B192" s="18">
        <f t="shared" si="1"/>
        <v>2.008170642</v>
      </c>
      <c r="C192" s="13">
        <f t="shared" si="2"/>
        <v>1</v>
      </c>
      <c r="D192" s="13">
        <f t="shared" si="3"/>
        <v>0</v>
      </c>
      <c r="O192" s="4"/>
      <c r="P192" s="4"/>
      <c r="Q192" s="4"/>
      <c r="R192" s="4"/>
    </row>
    <row r="193" ht="15.75" customHeight="1">
      <c r="A193" s="13">
        <f>A192+'Energy Balance'!$N$7</f>
        <v>191</v>
      </c>
      <c r="B193" s="18">
        <f t="shared" si="1"/>
        <v>2.018739961</v>
      </c>
      <c r="C193" s="13">
        <f t="shared" si="2"/>
        <v>1</v>
      </c>
      <c r="D193" s="13">
        <f t="shared" si="3"/>
        <v>0</v>
      </c>
      <c r="O193" s="4"/>
      <c r="P193" s="4"/>
      <c r="Q193" s="4"/>
      <c r="R193" s="4"/>
    </row>
    <row r="194" ht="15.75" customHeight="1">
      <c r="A194" s="13">
        <f>A193+'Energy Balance'!$N$7</f>
        <v>192</v>
      </c>
      <c r="B194" s="18">
        <f t="shared" si="1"/>
        <v>2.02930928</v>
      </c>
      <c r="C194" s="13">
        <f t="shared" si="2"/>
        <v>1</v>
      </c>
      <c r="D194" s="13">
        <f t="shared" si="3"/>
        <v>0</v>
      </c>
      <c r="O194" s="4"/>
      <c r="P194" s="4"/>
      <c r="Q194" s="4"/>
      <c r="R194" s="4"/>
    </row>
    <row r="195" ht="15.75" customHeight="1">
      <c r="A195" s="13">
        <f>A194+'Energy Balance'!$N$7</f>
        <v>193</v>
      </c>
      <c r="B195" s="18">
        <f t="shared" si="1"/>
        <v>2.039878599</v>
      </c>
      <c r="C195" s="13">
        <f t="shared" si="2"/>
        <v>1</v>
      </c>
      <c r="D195" s="13">
        <f t="shared" si="3"/>
        <v>0</v>
      </c>
      <c r="O195" s="4"/>
      <c r="P195" s="4"/>
      <c r="Q195" s="4"/>
      <c r="R195" s="4"/>
    </row>
    <row r="196" ht="15.75" customHeight="1">
      <c r="A196" s="13">
        <f>A195+'Energy Balance'!$N$7</f>
        <v>194</v>
      </c>
      <c r="B196" s="18">
        <f t="shared" si="1"/>
        <v>2.050447918</v>
      </c>
      <c r="C196" s="13">
        <f t="shared" si="2"/>
        <v>1</v>
      </c>
      <c r="D196" s="13">
        <f t="shared" si="3"/>
        <v>0</v>
      </c>
      <c r="O196" s="4"/>
      <c r="P196" s="4"/>
      <c r="Q196" s="4"/>
      <c r="R196" s="4"/>
    </row>
    <row r="197" ht="15.75" customHeight="1">
      <c r="A197" s="13">
        <f>A196+'Energy Balance'!$N$7</f>
        <v>195</v>
      </c>
      <c r="B197" s="18">
        <f t="shared" si="1"/>
        <v>2.061017237</v>
      </c>
      <c r="C197" s="13">
        <f t="shared" si="2"/>
        <v>1</v>
      </c>
      <c r="D197" s="13">
        <f t="shared" si="3"/>
        <v>0</v>
      </c>
      <c r="O197" s="4"/>
      <c r="P197" s="4"/>
      <c r="Q197" s="4"/>
      <c r="R197" s="4"/>
    </row>
    <row r="198" ht="15.75" customHeight="1">
      <c r="A198" s="13">
        <f>A197+'Energy Balance'!$N$7</f>
        <v>196</v>
      </c>
      <c r="B198" s="18">
        <f t="shared" si="1"/>
        <v>2.071586557</v>
      </c>
      <c r="C198" s="13">
        <f t="shared" si="2"/>
        <v>1</v>
      </c>
      <c r="D198" s="13">
        <f t="shared" si="3"/>
        <v>0</v>
      </c>
      <c r="O198" s="4"/>
      <c r="P198" s="4"/>
      <c r="Q198" s="4"/>
      <c r="R198" s="4"/>
    </row>
    <row r="199" ht="15.75" customHeight="1">
      <c r="A199" s="13">
        <f>A198+'Energy Balance'!$N$7</f>
        <v>197</v>
      </c>
      <c r="B199" s="18">
        <f t="shared" si="1"/>
        <v>2.082155876</v>
      </c>
      <c r="C199" s="13">
        <f t="shared" si="2"/>
        <v>1</v>
      </c>
      <c r="D199" s="13">
        <f t="shared" si="3"/>
        <v>0</v>
      </c>
      <c r="O199" s="4"/>
      <c r="P199" s="4"/>
      <c r="Q199" s="4"/>
      <c r="R199" s="4"/>
    </row>
    <row r="200" ht="15.75" customHeight="1">
      <c r="A200" s="13">
        <f>A199+'Energy Balance'!$N$7</f>
        <v>198</v>
      </c>
      <c r="B200" s="18">
        <f t="shared" si="1"/>
        <v>2.092725195</v>
      </c>
      <c r="C200" s="13">
        <f t="shared" si="2"/>
        <v>1</v>
      </c>
      <c r="D200" s="13">
        <f t="shared" si="3"/>
        <v>0</v>
      </c>
      <c r="O200" s="4"/>
      <c r="P200" s="4"/>
      <c r="Q200" s="4"/>
      <c r="R200" s="4"/>
    </row>
    <row r="201" ht="15.75" customHeight="1">
      <c r="A201" s="13">
        <f>A200+'Energy Balance'!$N$7</f>
        <v>199</v>
      </c>
      <c r="B201" s="18">
        <f t="shared" si="1"/>
        <v>2.103294514</v>
      </c>
      <c r="C201" s="13">
        <f t="shared" si="2"/>
        <v>1</v>
      </c>
      <c r="D201" s="13">
        <f t="shared" si="3"/>
        <v>0</v>
      </c>
      <c r="O201" s="4"/>
      <c r="P201" s="4"/>
      <c r="Q201" s="4"/>
      <c r="R201" s="4"/>
    </row>
    <row r="202" ht="15.75" customHeight="1">
      <c r="A202" s="13">
        <f>A201+'Energy Balance'!$N$7</f>
        <v>200</v>
      </c>
      <c r="B202" s="18">
        <f t="shared" si="1"/>
        <v>2.113863833</v>
      </c>
      <c r="C202" s="13">
        <f t="shared" si="2"/>
        <v>1</v>
      </c>
      <c r="D202" s="13">
        <f t="shared" si="3"/>
        <v>0</v>
      </c>
      <c r="O202" s="4"/>
      <c r="P202" s="4"/>
      <c r="Q202" s="4"/>
      <c r="R202" s="4"/>
    </row>
    <row r="203" ht="15.75" customHeight="1">
      <c r="A203" s="13">
        <f>A202+'Energy Balance'!$N$7</f>
        <v>201</v>
      </c>
      <c r="B203" s="18">
        <f t="shared" si="1"/>
        <v>2.124433152</v>
      </c>
      <c r="C203" s="13">
        <f t="shared" si="2"/>
        <v>1</v>
      </c>
      <c r="D203" s="13">
        <f t="shared" si="3"/>
        <v>0</v>
      </c>
      <c r="O203" s="4"/>
      <c r="P203" s="4"/>
      <c r="Q203" s="4"/>
      <c r="R203" s="4"/>
    </row>
    <row r="204" ht="15.75" customHeight="1">
      <c r="A204" s="13">
        <f>A203+'Energy Balance'!$N$7</f>
        <v>202</v>
      </c>
      <c r="B204" s="18">
        <f t="shared" si="1"/>
        <v>2.135002472</v>
      </c>
      <c r="C204" s="13">
        <f t="shared" si="2"/>
        <v>1</v>
      </c>
      <c r="D204" s="13">
        <f t="shared" si="3"/>
        <v>0</v>
      </c>
      <c r="O204" s="4"/>
      <c r="P204" s="4"/>
      <c r="Q204" s="4"/>
      <c r="R204" s="4"/>
    </row>
    <row r="205" ht="15.75" customHeight="1">
      <c r="A205" s="13">
        <f>A204+'Energy Balance'!$N$7</f>
        <v>203</v>
      </c>
      <c r="B205" s="18">
        <f t="shared" si="1"/>
        <v>2.145571791</v>
      </c>
      <c r="C205" s="13">
        <f t="shared" si="2"/>
        <v>1</v>
      </c>
      <c r="D205" s="13">
        <f t="shared" si="3"/>
        <v>0</v>
      </c>
      <c r="O205" s="4"/>
      <c r="P205" s="4"/>
      <c r="Q205" s="4"/>
      <c r="R205" s="4"/>
    </row>
    <row r="206" ht="15.75" customHeight="1">
      <c r="A206" s="13">
        <f>A205+'Energy Balance'!$N$7</f>
        <v>204</v>
      </c>
      <c r="B206" s="18">
        <f t="shared" si="1"/>
        <v>2.15614111</v>
      </c>
      <c r="C206" s="13">
        <f t="shared" si="2"/>
        <v>1</v>
      </c>
      <c r="D206" s="13">
        <f t="shared" si="3"/>
        <v>0</v>
      </c>
      <c r="O206" s="4"/>
      <c r="P206" s="4"/>
      <c r="Q206" s="4"/>
      <c r="R206" s="4"/>
    </row>
    <row r="207" ht="15.75" customHeight="1">
      <c r="A207" s="13">
        <f>A206+'Energy Balance'!$N$7</f>
        <v>205</v>
      </c>
      <c r="B207" s="18">
        <f t="shared" si="1"/>
        <v>2.166710429</v>
      </c>
      <c r="C207" s="13">
        <f t="shared" si="2"/>
        <v>1</v>
      </c>
      <c r="D207" s="13">
        <f t="shared" si="3"/>
        <v>0</v>
      </c>
      <c r="O207" s="4"/>
      <c r="P207" s="4"/>
      <c r="Q207" s="4"/>
      <c r="R207" s="4"/>
    </row>
    <row r="208" ht="15.75" customHeight="1">
      <c r="A208" s="13">
        <f>A207+'Energy Balance'!$N$7</f>
        <v>206</v>
      </c>
      <c r="B208" s="18">
        <f t="shared" si="1"/>
        <v>2.177279748</v>
      </c>
      <c r="C208" s="13">
        <f t="shared" si="2"/>
        <v>1</v>
      </c>
      <c r="D208" s="13">
        <f t="shared" si="3"/>
        <v>0</v>
      </c>
      <c r="O208" s="4"/>
      <c r="P208" s="4"/>
      <c r="Q208" s="4"/>
      <c r="R208" s="4"/>
    </row>
    <row r="209" ht="15.75" customHeight="1">
      <c r="A209" s="13">
        <f>A208+'Energy Balance'!$N$7</f>
        <v>207</v>
      </c>
      <c r="B209" s="18">
        <f t="shared" si="1"/>
        <v>2.187849067</v>
      </c>
      <c r="C209" s="13">
        <f t="shared" si="2"/>
        <v>1</v>
      </c>
      <c r="D209" s="13">
        <f t="shared" si="3"/>
        <v>0</v>
      </c>
      <c r="O209" s="4"/>
      <c r="P209" s="4"/>
      <c r="Q209" s="4"/>
      <c r="R209" s="4"/>
    </row>
    <row r="210" ht="15.75" customHeight="1">
      <c r="A210" s="13">
        <f>A209+'Energy Balance'!$N$7</f>
        <v>208</v>
      </c>
      <c r="B210" s="18">
        <f t="shared" si="1"/>
        <v>2.198418387</v>
      </c>
      <c r="C210" s="13">
        <f t="shared" si="2"/>
        <v>1</v>
      </c>
      <c r="D210" s="13">
        <f t="shared" si="3"/>
        <v>0</v>
      </c>
      <c r="O210" s="4"/>
      <c r="P210" s="4"/>
      <c r="Q210" s="4"/>
      <c r="R210" s="4"/>
    </row>
    <row r="211" ht="15.75" customHeight="1">
      <c r="A211" s="13">
        <f>A210+'Energy Balance'!$N$7</f>
        <v>209</v>
      </c>
      <c r="B211" s="18">
        <f t="shared" si="1"/>
        <v>2.208987706</v>
      </c>
      <c r="C211" s="13">
        <f t="shared" si="2"/>
        <v>1</v>
      </c>
      <c r="D211" s="13">
        <f t="shared" si="3"/>
        <v>0</v>
      </c>
      <c r="O211" s="4"/>
      <c r="P211" s="4"/>
      <c r="Q211" s="4"/>
      <c r="R211" s="4"/>
    </row>
    <row r="212" ht="15.75" customHeight="1">
      <c r="A212" s="13">
        <f>A211+'Energy Balance'!$N$7</f>
        <v>210</v>
      </c>
      <c r="B212" s="18">
        <f t="shared" si="1"/>
        <v>2.219557025</v>
      </c>
      <c r="C212" s="13">
        <f t="shared" si="2"/>
        <v>1</v>
      </c>
      <c r="D212" s="13">
        <f t="shared" si="3"/>
        <v>0</v>
      </c>
      <c r="O212" s="4"/>
      <c r="P212" s="4"/>
      <c r="Q212" s="4"/>
      <c r="R212" s="4"/>
    </row>
    <row r="213" ht="15.75" customHeight="1">
      <c r="A213" s="13">
        <f>A212+'Energy Balance'!$N$7</f>
        <v>211</v>
      </c>
      <c r="B213" s="18">
        <f t="shared" si="1"/>
        <v>2.230126344</v>
      </c>
      <c r="C213" s="13">
        <f t="shared" si="2"/>
        <v>1</v>
      </c>
      <c r="D213" s="13">
        <f t="shared" si="3"/>
        <v>0</v>
      </c>
      <c r="O213" s="4"/>
      <c r="P213" s="4"/>
      <c r="Q213" s="4"/>
      <c r="R213" s="4"/>
    </row>
    <row r="214" ht="15.75" customHeight="1">
      <c r="A214" s="13">
        <f>A213+'Energy Balance'!$N$7</f>
        <v>212</v>
      </c>
      <c r="B214" s="18">
        <f t="shared" si="1"/>
        <v>2.240695663</v>
      </c>
      <c r="C214" s="13">
        <f t="shared" si="2"/>
        <v>1</v>
      </c>
      <c r="D214" s="13">
        <f t="shared" si="3"/>
        <v>0</v>
      </c>
      <c r="O214" s="4"/>
      <c r="P214" s="4"/>
      <c r="Q214" s="4"/>
      <c r="R214" s="4"/>
    </row>
    <row r="215" ht="15.75" customHeight="1">
      <c r="A215" s="13">
        <f>A214+'Energy Balance'!$N$7</f>
        <v>213</v>
      </c>
      <c r="B215" s="18">
        <f t="shared" si="1"/>
        <v>2.251264982</v>
      </c>
      <c r="C215" s="13">
        <f t="shared" si="2"/>
        <v>1</v>
      </c>
      <c r="D215" s="13">
        <f t="shared" si="3"/>
        <v>0</v>
      </c>
      <c r="O215" s="4"/>
      <c r="P215" s="4"/>
      <c r="Q215" s="4"/>
      <c r="R215" s="4"/>
    </row>
    <row r="216" ht="15.75" customHeight="1">
      <c r="A216" s="13">
        <f>A215+'Energy Balance'!$N$7</f>
        <v>214</v>
      </c>
      <c r="B216" s="18">
        <f t="shared" si="1"/>
        <v>2.261834301</v>
      </c>
      <c r="C216" s="13">
        <f t="shared" si="2"/>
        <v>1</v>
      </c>
      <c r="D216" s="13">
        <f t="shared" si="3"/>
        <v>0</v>
      </c>
      <c r="O216" s="4"/>
      <c r="P216" s="4"/>
      <c r="Q216" s="4"/>
      <c r="R216" s="4"/>
    </row>
    <row r="217" ht="15.75" customHeight="1">
      <c r="A217" s="13">
        <f>A216+'Energy Balance'!$N$7</f>
        <v>215</v>
      </c>
      <c r="B217" s="18">
        <f t="shared" si="1"/>
        <v>2.272403621</v>
      </c>
      <c r="C217" s="13">
        <f t="shared" si="2"/>
        <v>1</v>
      </c>
      <c r="D217" s="13">
        <f t="shared" si="3"/>
        <v>0</v>
      </c>
      <c r="O217" s="4"/>
      <c r="P217" s="4"/>
      <c r="Q217" s="4"/>
      <c r="R217" s="4"/>
    </row>
    <row r="218" ht="15.75" customHeight="1">
      <c r="A218" s="13">
        <f>A217+'Energy Balance'!$N$7</f>
        <v>216</v>
      </c>
      <c r="B218" s="18">
        <f t="shared" si="1"/>
        <v>2.28297294</v>
      </c>
      <c r="C218" s="13">
        <f t="shared" si="2"/>
        <v>1</v>
      </c>
      <c r="D218" s="13">
        <f t="shared" si="3"/>
        <v>0</v>
      </c>
      <c r="O218" s="4"/>
      <c r="P218" s="4"/>
      <c r="Q218" s="4"/>
      <c r="R218" s="4"/>
    </row>
    <row r="219" ht="15.75" customHeight="1">
      <c r="A219" s="13">
        <f>A218+'Energy Balance'!$N$7</f>
        <v>217</v>
      </c>
      <c r="B219" s="18">
        <f t="shared" si="1"/>
        <v>2.293542259</v>
      </c>
      <c r="C219" s="13">
        <f t="shared" si="2"/>
        <v>1</v>
      </c>
      <c r="D219" s="13">
        <f t="shared" si="3"/>
        <v>0</v>
      </c>
      <c r="O219" s="4"/>
      <c r="P219" s="4"/>
      <c r="Q219" s="4"/>
      <c r="R219" s="4"/>
    </row>
    <row r="220" ht="15.75" customHeight="1">
      <c r="A220" s="13">
        <f>A219+'Energy Balance'!$N$7</f>
        <v>218</v>
      </c>
      <c r="B220" s="18">
        <f t="shared" si="1"/>
        <v>2.304111578</v>
      </c>
      <c r="C220" s="13">
        <f t="shared" si="2"/>
        <v>1</v>
      </c>
      <c r="D220" s="13">
        <f t="shared" si="3"/>
        <v>0</v>
      </c>
      <c r="O220" s="4"/>
      <c r="P220" s="4"/>
      <c r="Q220" s="4"/>
      <c r="R220" s="4"/>
    </row>
    <row r="221" ht="15.75" customHeight="1">
      <c r="A221" s="13">
        <f>A220+'Energy Balance'!$N$7</f>
        <v>219</v>
      </c>
      <c r="B221" s="18">
        <f t="shared" si="1"/>
        <v>2.314680897</v>
      </c>
      <c r="C221" s="13">
        <f t="shared" si="2"/>
        <v>1</v>
      </c>
      <c r="D221" s="13">
        <f t="shared" si="3"/>
        <v>0</v>
      </c>
      <c r="O221" s="4"/>
      <c r="P221" s="4"/>
      <c r="Q221" s="4"/>
      <c r="R221" s="4"/>
    </row>
    <row r="222" ht="15.75" customHeight="1">
      <c r="A222" s="13">
        <f>A221+'Energy Balance'!$N$7</f>
        <v>220</v>
      </c>
      <c r="B222" s="18">
        <f t="shared" si="1"/>
        <v>2.325250216</v>
      </c>
      <c r="C222" s="13">
        <f t="shared" si="2"/>
        <v>1</v>
      </c>
      <c r="D222" s="13">
        <f t="shared" si="3"/>
        <v>0</v>
      </c>
      <c r="O222" s="4"/>
      <c r="P222" s="4"/>
      <c r="Q222" s="4"/>
      <c r="R222" s="4"/>
    </row>
    <row r="223" ht="15.75" customHeight="1">
      <c r="A223" s="13">
        <f>A222+'Energy Balance'!$N$7</f>
        <v>221</v>
      </c>
      <c r="B223" s="18">
        <f t="shared" si="1"/>
        <v>2.335819536</v>
      </c>
      <c r="C223" s="13">
        <f t="shared" si="2"/>
        <v>1</v>
      </c>
      <c r="D223" s="13">
        <f t="shared" si="3"/>
        <v>0</v>
      </c>
      <c r="O223" s="4"/>
      <c r="P223" s="4"/>
      <c r="Q223" s="4"/>
      <c r="R223" s="4"/>
    </row>
    <row r="224" ht="15.75" customHeight="1">
      <c r="A224" s="13">
        <f>A223+'Energy Balance'!$N$7</f>
        <v>222</v>
      </c>
      <c r="B224" s="18">
        <f t="shared" si="1"/>
        <v>2.346388855</v>
      </c>
      <c r="C224" s="13">
        <f t="shared" si="2"/>
        <v>1</v>
      </c>
      <c r="D224" s="13">
        <f t="shared" si="3"/>
        <v>0</v>
      </c>
      <c r="O224" s="4"/>
      <c r="P224" s="4"/>
      <c r="Q224" s="4"/>
      <c r="R224" s="4"/>
    </row>
    <row r="225" ht="15.75" customHeight="1">
      <c r="A225" s="13">
        <f>A224+'Energy Balance'!$N$7</f>
        <v>223</v>
      </c>
      <c r="B225" s="18">
        <f t="shared" si="1"/>
        <v>2.356958174</v>
      </c>
      <c r="C225" s="13">
        <f t="shared" si="2"/>
        <v>1</v>
      </c>
      <c r="D225" s="13">
        <f t="shared" si="3"/>
        <v>0</v>
      </c>
      <c r="O225" s="4"/>
      <c r="P225" s="4"/>
      <c r="Q225" s="4"/>
      <c r="R225" s="4"/>
    </row>
    <row r="226" ht="15.75" customHeight="1">
      <c r="A226" s="13">
        <f>A225+'Energy Balance'!$N$7</f>
        <v>224</v>
      </c>
      <c r="B226" s="18">
        <f t="shared" si="1"/>
        <v>2.367527493</v>
      </c>
      <c r="C226" s="13">
        <f t="shared" si="2"/>
        <v>1</v>
      </c>
      <c r="D226" s="13">
        <f t="shared" si="3"/>
        <v>0</v>
      </c>
      <c r="O226" s="4"/>
      <c r="P226" s="4"/>
      <c r="Q226" s="4"/>
      <c r="R226" s="4"/>
    </row>
    <row r="227" ht="15.75" customHeight="1">
      <c r="A227" s="13">
        <f>A226+'Energy Balance'!$N$7</f>
        <v>225</v>
      </c>
      <c r="B227" s="18">
        <f t="shared" si="1"/>
        <v>2.378096812</v>
      </c>
      <c r="C227" s="13">
        <f t="shared" si="2"/>
        <v>1</v>
      </c>
      <c r="D227" s="13">
        <f t="shared" si="3"/>
        <v>0</v>
      </c>
      <c r="O227" s="4"/>
      <c r="P227" s="4"/>
      <c r="Q227" s="4"/>
      <c r="R227" s="4"/>
    </row>
    <row r="228" ht="15.75" customHeight="1">
      <c r="A228" s="13">
        <f>A227+'Energy Balance'!$N$7</f>
        <v>226</v>
      </c>
      <c r="B228" s="18">
        <f t="shared" si="1"/>
        <v>2.388666131</v>
      </c>
      <c r="C228" s="13">
        <f t="shared" si="2"/>
        <v>1</v>
      </c>
      <c r="D228" s="13">
        <f t="shared" si="3"/>
        <v>0</v>
      </c>
      <c r="O228" s="4"/>
      <c r="P228" s="4"/>
      <c r="Q228" s="4"/>
      <c r="R228" s="4"/>
    </row>
    <row r="229" ht="15.75" customHeight="1">
      <c r="A229" s="13">
        <f>A228+'Energy Balance'!$N$7</f>
        <v>227</v>
      </c>
      <c r="B229" s="18">
        <f t="shared" si="1"/>
        <v>2.399235451</v>
      </c>
      <c r="C229" s="13">
        <f t="shared" si="2"/>
        <v>1</v>
      </c>
      <c r="D229" s="13">
        <f t="shared" si="3"/>
        <v>0</v>
      </c>
      <c r="O229" s="4"/>
      <c r="P229" s="4"/>
      <c r="Q229" s="4"/>
      <c r="R229" s="4"/>
    </row>
    <row r="230" ht="15.75" customHeight="1">
      <c r="A230" s="13">
        <f>A229+'Energy Balance'!$N$7</f>
        <v>228</v>
      </c>
      <c r="B230" s="18">
        <f t="shared" si="1"/>
        <v>2.40980477</v>
      </c>
      <c r="C230" s="13">
        <f t="shared" si="2"/>
        <v>1</v>
      </c>
      <c r="D230" s="13">
        <f t="shared" si="3"/>
        <v>0</v>
      </c>
      <c r="O230" s="4"/>
      <c r="P230" s="4"/>
      <c r="Q230" s="4"/>
      <c r="R230" s="4"/>
    </row>
    <row r="231" ht="15.75" customHeight="1">
      <c r="A231" s="13">
        <f>A230+'Energy Balance'!$N$7</f>
        <v>229</v>
      </c>
      <c r="B231" s="18">
        <f t="shared" si="1"/>
        <v>2.420374089</v>
      </c>
      <c r="C231" s="13">
        <f t="shared" si="2"/>
        <v>1</v>
      </c>
      <c r="D231" s="13">
        <f t="shared" si="3"/>
        <v>0</v>
      </c>
      <c r="O231" s="4"/>
      <c r="P231" s="4"/>
      <c r="Q231" s="4"/>
      <c r="R231" s="4"/>
    </row>
    <row r="232" ht="15.75" customHeight="1">
      <c r="A232" s="13">
        <f>A231+'Energy Balance'!$N$7</f>
        <v>230</v>
      </c>
      <c r="B232" s="18">
        <f t="shared" si="1"/>
        <v>2.430943408</v>
      </c>
      <c r="C232" s="13">
        <f t="shared" si="2"/>
        <v>1</v>
      </c>
      <c r="D232" s="13">
        <f t="shared" si="3"/>
        <v>0</v>
      </c>
      <c r="O232" s="4"/>
      <c r="P232" s="4"/>
      <c r="Q232" s="4"/>
      <c r="R232" s="4"/>
    </row>
    <row r="233" ht="15.75" customHeight="1">
      <c r="A233" s="13">
        <f>A232+'Energy Balance'!$N$7</f>
        <v>231</v>
      </c>
      <c r="B233" s="18">
        <f t="shared" si="1"/>
        <v>2.441512727</v>
      </c>
      <c r="C233" s="13">
        <f t="shared" si="2"/>
        <v>1</v>
      </c>
      <c r="D233" s="13">
        <f t="shared" si="3"/>
        <v>0</v>
      </c>
      <c r="O233" s="4"/>
      <c r="P233" s="4"/>
      <c r="Q233" s="4"/>
      <c r="R233" s="4"/>
    </row>
    <row r="234" ht="15.75" customHeight="1">
      <c r="A234" s="13">
        <f>A233+'Energy Balance'!$N$7</f>
        <v>232</v>
      </c>
      <c r="B234" s="18">
        <f t="shared" si="1"/>
        <v>2.452082046</v>
      </c>
      <c r="C234" s="13">
        <f t="shared" si="2"/>
        <v>1</v>
      </c>
      <c r="D234" s="13">
        <f t="shared" si="3"/>
        <v>0</v>
      </c>
      <c r="O234" s="4"/>
      <c r="P234" s="4"/>
      <c r="Q234" s="4"/>
      <c r="R234" s="4"/>
    </row>
    <row r="235" ht="15.75" customHeight="1">
      <c r="A235" s="13">
        <f>A234+'Energy Balance'!$N$7</f>
        <v>233</v>
      </c>
      <c r="B235" s="18">
        <f t="shared" si="1"/>
        <v>2.462651366</v>
      </c>
      <c r="C235" s="13">
        <f t="shared" si="2"/>
        <v>1</v>
      </c>
      <c r="D235" s="13">
        <f t="shared" si="3"/>
        <v>0</v>
      </c>
      <c r="O235" s="4"/>
      <c r="P235" s="4"/>
      <c r="Q235" s="4"/>
      <c r="R235" s="4"/>
    </row>
    <row r="236" ht="15.75" customHeight="1">
      <c r="A236" s="13">
        <f>A235+'Energy Balance'!$N$7</f>
        <v>234</v>
      </c>
      <c r="B236" s="18">
        <f t="shared" si="1"/>
        <v>2.473220685</v>
      </c>
      <c r="C236" s="13">
        <f t="shared" si="2"/>
        <v>1</v>
      </c>
      <c r="D236" s="13">
        <f t="shared" si="3"/>
        <v>0</v>
      </c>
      <c r="O236" s="4"/>
      <c r="P236" s="4"/>
      <c r="Q236" s="4"/>
      <c r="R236" s="4"/>
    </row>
    <row r="237" ht="15.75" customHeight="1">
      <c r="A237" s="13">
        <f>A236+'Energy Balance'!$N$7</f>
        <v>235</v>
      </c>
      <c r="B237" s="18">
        <f t="shared" si="1"/>
        <v>2.483790004</v>
      </c>
      <c r="C237" s="13">
        <f t="shared" si="2"/>
        <v>1</v>
      </c>
      <c r="D237" s="13">
        <f t="shared" si="3"/>
        <v>0</v>
      </c>
      <c r="O237" s="4"/>
      <c r="P237" s="4"/>
      <c r="Q237" s="4"/>
      <c r="R237" s="4"/>
    </row>
    <row r="238" ht="15.75" customHeight="1">
      <c r="A238" s="13">
        <f>A237+'Energy Balance'!$N$7</f>
        <v>236</v>
      </c>
      <c r="B238" s="18">
        <f t="shared" si="1"/>
        <v>2.494359323</v>
      </c>
      <c r="C238" s="13">
        <f t="shared" si="2"/>
        <v>1</v>
      </c>
      <c r="D238" s="13">
        <f t="shared" si="3"/>
        <v>0</v>
      </c>
      <c r="O238" s="4"/>
      <c r="P238" s="4"/>
      <c r="Q238" s="4"/>
      <c r="R238" s="4"/>
    </row>
    <row r="239" ht="15.75" customHeight="1">
      <c r="A239" s="13">
        <f>A238+'Energy Balance'!$N$7</f>
        <v>237</v>
      </c>
      <c r="B239" s="18">
        <f t="shared" si="1"/>
        <v>2.504928642</v>
      </c>
      <c r="C239" s="13">
        <f t="shared" si="2"/>
        <v>1</v>
      </c>
      <c r="D239" s="13">
        <f t="shared" si="3"/>
        <v>0</v>
      </c>
      <c r="O239" s="4"/>
      <c r="P239" s="4"/>
      <c r="Q239" s="4"/>
      <c r="R239" s="4"/>
    </row>
    <row r="240" ht="15.75" customHeight="1">
      <c r="A240" s="13">
        <f>A239+'Energy Balance'!$N$7</f>
        <v>238</v>
      </c>
      <c r="B240" s="18">
        <f t="shared" si="1"/>
        <v>2.515497961</v>
      </c>
      <c r="C240" s="13">
        <f t="shared" si="2"/>
        <v>1</v>
      </c>
      <c r="D240" s="13">
        <f t="shared" si="3"/>
        <v>0</v>
      </c>
      <c r="O240" s="4"/>
      <c r="P240" s="4"/>
      <c r="Q240" s="4"/>
      <c r="R240" s="4"/>
    </row>
    <row r="241" ht="15.75" customHeight="1">
      <c r="A241" s="13">
        <f>A240+'Energy Balance'!$N$7</f>
        <v>239</v>
      </c>
      <c r="B241" s="18">
        <f t="shared" si="1"/>
        <v>2.526067281</v>
      </c>
      <c r="C241" s="13">
        <f t="shared" si="2"/>
        <v>1</v>
      </c>
      <c r="D241" s="13">
        <f t="shared" si="3"/>
        <v>0</v>
      </c>
      <c r="O241" s="4"/>
      <c r="P241" s="4"/>
      <c r="Q241" s="4"/>
      <c r="R241" s="4"/>
    </row>
    <row r="242" ht="15.75" customHeight="1">
      <c r="A242" s="13">
        <f>A241+'Energy Balance'!$N$7</f>
        <v>240</v>
      </c>
      <c r="B242" s="18">
        <f t="shared" si="1"/>
        <v>2.5366366</v>
      </c>
      <c r="C242" s="13">
        <f t="shared" si="2"/>
        <v>1</v>
      </c>
      <c r="D242" s="13">
        <f t="shared" si="3"/>
        <v>0</v>
      </c>
      <c r="O242" s="4"/>
      <c r="P242" s="4"/>
      <c r="Q242" s="4"/>
      <c r="R242" s="4"/>
    </row>
    <row r="243" ht="15.75" customHeight="1">
      <c r="A243" s="13">
        <f>A242+'Energy Balance'!$N$7</f>
        <v>241</v>
      </c>
      <c r="B243" s="18">
        <f t="shared" si="1"/>
        <v>2.547205919</v>
      </c>
      <c r="C243" s="13">
        <f t="shared" si="2"/>
        <v>1</v>
      </c>
      <c r="D243" s="13">
        <f t="shared" si="3"/>
        <v>0</v>
      </c>
      <c r="O243" s="4"/>
      <c r="P243" s="4"/>
      <c r="Q243" s="4"/>
      <c r="R243" s="4"/>
    </row>
    <row r="244" ht="15.75" customHeight="1">
      <c r="A244" s="13">
        <f>A243+'Energy Balance'!$N$7</f>
        <v>242</v>
      </c>
      <c r="B244" s="18">
        <f t="shared" si="1"/>
        <v>2.557775238</v>
      </c>
      <c r="C244" s="13">
        <f t="shared" si="2"/>
        <v>1</v>
      </c>
      <c r="D244" s="13">
        <f t="shared" si="3"/>
        <v>0</v>
      </c>
      <c r="O244" s="4"/>
      <c r="P244" s="4"/>
      <c r="Q244" s="4"/>
      <c r="R244" s="4"/>
    </row>
    <row r="245" ht="15.75" customHeight="1">
      <c r="A245" s="13">
        <f>A244+'Energy Balance'!$N$7</f>
        <v>243</v>
      </c>
      <c r="B245" s="18">
        <f t="shared" si="1"/>
        <v>2.568344557</v>
      </c>
      <c r="C245" s="13">
        <f t="shared" si="2"/>
        <v>1</v>
      </c>
      <c r="D245" s="13">
        <f t="shared" si="3"/>
        <v>0</v>
      </c>
      <c r="O245" s="4"/>
      <c r="P245" s="4"/>
      <c r="Q245" s="4"/>
      <c r="R245" s="4"/>
    </row>
    <row r="246" ht="15.75" customHeight="1">
      <c r="A246" s="13">
        <f>A245+'Energy Balance'!$N$7</f>
        <v>244</v>
      </c>
      <c r="B246" s="18">
        <f t="shared" si="1"/>
        <v>2.578913876</v>
      </c>
      <c r="C246" s="13">
        <f t="shared" si="2"/>
        <v>1</v>
      </c>
      <c r="D246" s="13">
        <f t="shared" si="3"/>
        <v>0</v>
      </c>
      <c r="O246" s="4"/>
      <c r="P246" s="4"/>
      <c r="Q246" s="4"/>
      <c r="R246" s="4"/>
    </row>
    <row r="247" ht="15.75" customHeight="1">
      <c r="A247" s="13">
        <f>A246+'Energy Balance'!$N$7</f>
        <v>245</v>
      </c>
      <c r="B247" s="18">
        <f t="shared" si="1"/>
        <v>2.589483196</v>
      </c>
      <c r="C247" s="13">
        <f t="shared" si="2"/>
        <v>1</v>
      </c>
      <c r="D247" s="13">
        <f t="shared" si="3"/>
        <v>0</v>
      </c>
      <c r="O247" s="4"/>
      <c r="P247" s="4"/>
      <c r="Q247" s="4"/>
      <c r="R247" s="4"/>
    </row>
    <row r="248" ht="15.75" customHeight="1">
      <c r="A248" s="13">
        <f>A247+'Energy Balance'!$N$7</f>
        <v>246</v>
      </c>
      <c r="B248" s="18">
        <f t="shared" si="1"/>
        <v>2.600052515</v>
      </c>
      <c r="C248" s="13">
        <f t="shared" si="2"/>
        <v>1</v>
      </c>
      <c r="D248" s="13">
        <f t="shared" si="3"/>
        <v>0</v>
      </c>
      <c r="O248" s="4"/>
      <c r="P248" s="4"/>
      <c r="Q248" s="4"/>
      <c r="R248" s="4"/>
    </row>
    <row r="249" ht="15.75" customHeight="1">
      <c r="A249" s="13">
        <f>A248+'Energy Balance'!$N$7</f>
        <v>247</v>
      </c>
      <c r="B249" s="18">
        <f t="shared" si="1"/>
        <v>2.610621834</v>
      </c>
      <c r="C249" s="13">
        <f t="shared" si="2"/>
        <v>1</v>
      </c>
      <c r="D249" s="13">
        <f t="shared" si="3"/>
        <v>0</v>
      </c>
      <c r="O249" s="4"/>
      <c r="P249" s="4"/>
      <c r="Q249" s="4"/>
      <c r="R249" s="4"/>
    </row>
    <row r="250" ht="15.75" customHeight="1">
      <c r="A250" s="13">
        <f>A249+'Energy Balance'!$N$7</f>
        <v>248</v>
      </c>
      <c r="B250" s="18">
        <f t="shared" si="1"/>
        <v>2.621191153</v>
      </c>
      <c r="C250" s="13">
        <f t="shared" si="2"/>
        <v>1</v>
      </c>
      <c r="D250" s="13">
        <f t="shared" si="3"/>
        <v>0</v>
      </c>
      <c r="O250" s="4"/>
      <c r="P250" s="4"/>
      <c r="Q250" s="4"/>
      <c r="R250" s="4"/>
    </row>
    <row r="251" ht="15.75" customHeight="1">
      <c r="A251" s="13">
        <f>A250+'Energy Balance'!$N$7</f>
        <v>249</v>
      </c>
      <c r="B251" s="18">
        <f t="shared" si="1"/>
        <v>2.631760472</v>
      </c>
      <c r="C251" s="13">
        <f t="shared" si="2"/>
        <v>0</v>
      </c>
      <c r="D251" s="13">
        <f t="shared" si="3"/>
        <v>1</v>
      </c>
      <c r="O251" s="4"/>
      <c r="P251" s="4"/>
      <c r="Q251" s="4"/>
      <c r="R251" s="4"/>
    </row>
    <row r="252" ht="15.75" customHeight="1">
      <c r="A252" s="13">
        <f>A251+'Energy Balance'!$N$7</f>
        <v>250</v>
      </c>
      <c r="B252" s="18">
        <f t="shared" si="1"/>
        <v>2.642329791</v>
      </c>
      <c r="C252" s="13">
        <f t="shared" si="2"/>
        <v>0</v>
      </c>
      <c r="D252" s="13">
        <f t="shared" si="3"/>
        <v>1</v>
      </c>
      <c r="O252" s="4"/>
      <c r="P252" s="4"/>
      <c r="Q252" s="4"/>
      <c r="R252" s="4"/>
    </row>
    <row r="253" ht="15.75" customHeight="1">
      <c r="A253" s="13">
        <f>A252+'Energy Balance'!$N$7</f>
        <v>251</v>
      </c>
      <c r="B253" s="18">
        <f t="shared" si="1"/>
        <v>2.652899111</v>
      </c>
      <c r="C253" s="13">
        <f t="shared" si="2"/>
        <v>0</v>
      </c>
      <c r="D253" s="13">
        <f t="shared" si="3"/>
        <v>1</v>
      </c>
      <c r="O253" s="4"/>
      <c r="P253" s="4"/>
      <c r="Q253" s="4"/>
      <c r="R253" s="4"/>
    </row>
    <row r="254" ht="15.75" customHeight="1">
      <c r="A254" s="13">
        <f>A253+'Energy Balance'!$N$7</f>
        <v>252</v>
      </c>
      <c r="B254" s="18">
        <f t="shared" si="1"/>
        <v>2.66346843</v>
      </c>
      <c r="C254" s="13">
        <f t="shared" si="2"/>
        <v>0</v>
      </c>
      <c r="D254" s="13">
        <f t="shared" si="3"/>
        <v>1</v>
      </c>
      <c r="O254" s="4"/>
      <c r="P254" s="4"/>
      <c r="Q254" s="4"/>
      <c r="R254" s="4"/>
    </row>
    <row r="255" ht="15.75" customHeight="1">
      <c r="A255" s="13">
        <f>A254+'Energy Balance'!$N$7</f>
        <v>253</v>
      </c>
      <c r="B255" s="18">
        <f t="shared" si="1"/>
        <v>2.674037749</v>
      </c>
      <c r="C255" s="13">
        <f t="shared" si="2"/>
        <v>0</v>
      </c>
      <c r="D255" s="13">
        <f t="shared" si="3"/>
        <v>1</v>
      </c>
      <c r="O255" s="4"/>
      <c r="P255" s="4"/>
      <c r="Q255" s="4"/>
      <c r="R255" s="4"/>
    </row>
    <row r="256" ht="15.75" customHeight="1">
      <c r="A256" s="13">
        <f>A255+'Energy Balance'!$N$7</f>
        <v>254</v>
      </c>
      <c r="B256" s="18">
        <f t="shared" si="1"/>
        <v>2.684607068</v>
      </c>
      <c r="C256" s="13">
        <f t="shared" si="2"/>
        <v>0</v>
      </c>
      <c r="D256" s="13">
        <f t="shared" si="3"/>
        <v>1</v>
      </c>
      <c r="O256" s="4"/>
      <c r="P256" s="4"/>
      <c r="Q256" s="4"/>
      <c r="R256" s="4"/>
    </row>
    <row r="257" ht="15.75" customHeight="1">
      <c r="A257" s="13">
        <f>A256+'Energy Balance'!$N$7</f>
        <v>255</v>
      </c>
      <c r="B257" s="18">
        <f t="shared" si="1"/>
        <v>2.695176387</v>
      </c>
      <c r="C257" s="13">
        <f t="shared" si="2"/>
        <v>0</v>
      </c>
      <c r="D257" s="13">
        <f t="shared" si="3"/>
        <v>1</v>
      </c>
      <c r="O257" s="4"/>
      <c r="P257" s="4"/>
      <c r="Q257" s="4"/>
      <c r="R257" s="4"/>
    </row>
    <row r="258" ht="15.75" customHeight="1">
      <c r="A258" s="13">
        <f>A257+'Energy Balance'!$N$7</f>
        <v>256</v>
      </c>
      <c r="B258" s="18">
        <f t="shared" si="1"/>
        <v>2.705745706</v>
      </c>
      <c r="C258" s="13">
        <f t="shared" si="2"/>
        <v>0</v>
      </c>
      <c r="D258" s="13">
        <f t="shared" si="3"/>
        <v>1</v>
      </c>
      <c r="O258" s="4"/>
      <c r="P258" s="4"/>
      <c r="Q258" s="4"/>
      <c r="R258" s="4"/>
    </row>
    <row r="259" ht="15.75" customHeight="1">
      <c r="A259" s="13">
        <f>A258+'Energy Balance'!$N$7</f>
        <v>257</v>
      </c>
      <c r="B259" s="18">
        <f t="shared" si="1"/>
        <v>2.716315026</v>
      </c>
      <c r="C259" s="13">
        <f t="shared" si="2"/>
        <v>0</v>
      </c>
      <c r="D259" s="13">
        <f t="shared" si="3"/>
        <v>1</v>
      </c>
      <c r="O259" s="4"/>
      <c r="P259" s="4"/>
      <c r="Q259" s="4"/>
      <c r="R259" s="4"/>
    </row>
    <row r="260" ht="15.75" customHeight="1">
      <c r="A260" s="13">
        <f>A259+'Energy Balance'!$N$7</f>
        <v>258</v>
      </c>
      <c r="B260" s="18">
        <f t="shared" si="1"/>
        <v>2.726884345</v>
      </c>
      <c r="C260" s="13">
        <f t="shared" si="2"/>
        <v>0</v>
      </c>
      <c r="D260" s="13">
        <f t="shared" si="3"/>
        <v>1</v>
      </c>
      <c r="O260" s="4"/>
      <c r="P260" s="4"/>
      <c r="Q260" s="4"/>
      <c r="R260" s="4"/>
    </row>
    <row r="261" ht="15.75" customHeight="1">
      <c r="A261" s="13">
        <f>A260+'Energy Balance'!$N$7</f>
        <v>259</v>
      </c>
      <c r="B261" s="18">
        <f t="shared" si="1"/>
        <v>2.737453664</v>
      </c>
      <c r="C261" s="13">
        <f t="shared" si="2"/>
        <v>0</v>
      </c>
      <c r="D261" s="13">
        <f t="shared" si="3"/>
        <v>1</v>
      </c>
      <c r="O261" s="4"/>
      <c r="P261" s="4"/>
      <c r="Q261" s="4"/>
      <c r="R261" s="4"/>
    </row>
    <row r="262" ht="15.75" customHeight="1">
      <c r="A262" s="13">
        <f>A261+'Energy Balance'!$N$7</f>
        <v>260</v>
      </c>
      <c r="B262" s="18">
        <f t="shared" si="1"/>
        <v>2.748022983</v>
      </c>
      <c r="C262" s="13">
        <f t="shared" si="2"/>
        <v>0</v>
      </c>
      <c r="D262" s="13">
        <f t="shared" si="3"/>
        <v>1</v>
      </c>
      <c r="O262" s="4"/>
      <c r="P262" s="4"/>
      <c r="Q262" s="4"/>
      <c r="R262" s="4"/>
    </row>
    <row r="263" ht="15.75" customHeight="1">
      <c r="A263" s="13">
        <f>A262+'Energy Balance'!$N$7</f>
        <v>261</v>
      </c>
      <c r="B263" s="18">
        <f t="shared" si="1"/>
        <v>2.758592302</v>
      </c>
      <c r="C263" s="13">
        <f t="shared" si="2"/>
        <v>0</v>
      </c>
      <c r="D263" s="13">
        <f t="shared" si="3"/>
        <v>1</v>
      </c>
      <c r="O263" s="4"/>
      <c r="P263" s="4"/>
      <c r="Q263" s="4"/>
      <c r="R263" s="4"/>
    </row>
    <row r="264" ht="15.75" customHeight="1">
      <c r="A264" s="13">
        <f>A263+'Energy Balance'!$N$7</f>
        <v>262</v>
      </c>
      <c r="B264" s="18">
        <f t="shared" si="1"/>
        <v>2.769161621</v>
      </c>
      <c r="C264" s="13">
        <f t="shared" si="2"/>
        <v>0</v>
      </c>
      <c r="D264" s="13">
        <f t="shared" si="3"/>
        <v>1</v>
      </c>
      <c r="O264" s="4"/>
      <c r="P264" s="4"/>
      <c r="Q264" s="4"/>
      <c r="R264" s="4"/>
    </row>
    <row r="265" ht="15.75" customHeight="1">
      <c r="A265" s="13">
        <f>A264+'Energy Balance'!$N$7</f>
        <v>263</v>
      </c>
      <c r="B265" s="18">
        <f t="shared" si="1"/>
        <v>2.779730941</v>
      </c>
      <c r="C265" s="13">
        <f t="shared" si="2"/>
        <v>0</v>
      </c>
      <c r="D265" s="13">
        <f t="shared" si="3"/>
        <v>1</v>
      </c>
      <c r="O265" s="4"/>
      <c r="P265" s="4"/>
      <c r="Q265" s="4"/>
      <c r="R265" s="4"/>
    </row>
    <row r="266" ht="15.75" customHeight="1">
      <c r="A266" s="13">
        <f>A265+'Energy Balance'!$N$7</f>
        <v>264</v>
      </c>
      <c r="B266" s="18">
        <f t="shared" si="1"/>
        <v>2.79030026</v>
      </c>
      <c r="C266" s="13">
        <f t="shared" si="2"/>
        <v>0</v>
      </c>
      <c r="D266" s="13">
        <f t="shared" si="3"/>
        <v>1</v>
      </c>
      <c r="O266" s="4"/>
      <c r="P266" s="4"/>
      <c r="Q266" s="4"/>
      <c r="R266" s="4"/>
    </row>
    <row r="267" ht="15.75" customHeight="1">
      <c r="A267" s="13">
        <f>A266+'Energy Balance'!$N$7</f>
        <v>265</v>
      </c>
      <c r="B267" s="18">
        <f t="shared" si="1"/>
        <v>2.800869579</v>
      </c>
      <c r="C267" s="13">
        <f t="shared" si="2"/>
        <v>0</v>
      </c>
      <c r="D267" s="13">
        <f t="shared" si="3"/>
        <v>1</v>
      </c>
      <c r="O267" s="4"/>
      <c r="P267" s="4"/>
      <c r="Q267" s="4"/>
      <c r="R267" s="4"/>
    </row>
    <row r="268" ht="15.75" customHeight="1">
      <c r="A268" s="13">
        <f>A267+'Energy Balance'!$N$7</f>
        <v>266</v>
      </c>
      <c r="B268" s="18">
        <f t="shared" si="1"/>
        <v>2.811438898</v>
      </c>
      <c r="C268" s="13">
        <f t="shared" si="2"/>
        <v>0</v>
      </c>
      <c r="D268" s="13">
        <f t="shared" si="3"/>
        <v>1</v>
      </c>
      <c r="O268" s="4"/>
      <c r="P268" s="4"/>
      <c r="Q268" s="4"/>
      <c r="R268" s="4"/>
    </row>
    <row r="269" ht="15.75" customHeight="1">
      <c r="A269" s="13">
        <f>A268+'Energy Balance'!$N$7</f>
        <v>267</v>
      </c>
      <c r="B269" s="18">
        <f t="shared" si="1"/>
        <v>2.822008217</v>
      </c>
      <c r="C269" s="13">
        <f t="shared" si="2"/>
        <v>0</v>
      </c>
      <c r="D269" s="13">
        <f t="shared" si="3"/>
        <v>1</v>
      </c>
      <c r="O269" s="4"/>
      <c r="P269" s="4"/>
      <c r="Q269" s="4"/>
      <c r="R269" s="4"/>
    </row>
    <row r="270" ht="15.75" customHeight="1">
      <c r="A270" s="13">
        <f>A269+'Energy Balance'!$N$7</f>
        <v>268</v>
      </c>
      <c r="B270" s="18">
        <f t="shared" si="1"/>
        <v>2.832577536</v>
      </c>
      <c r="C270" s="13">
        <f t="shared" si="2"/>
        <v>0</v>
      </c>
      <c r="D270" s="13">
        <f t="shared" si="3"/>
        <v>1</v>
      </c>
      <c r="O270" s="4"/>
      <c r="P270" s="4"/>
      <c r="Q270" s="4"/>
      <c r="R270" s="4"/>
    </row>
    <row r="271" ht="15.75" customHeight="1">
      <c r="A271" s="13">
        <f>A270+'Energy Balance'!$N$7</f>
        <v>269</v>
      </c>
      <c r="B271" s="18">
        <f t="shared" si="1"/>
        <v>2.843146856</v>
      </c>
      <c r="C271" s="13">
        <f t="shared" si="2"/>
        <v>0</v>
      </c>
      <c r="D271" s="13">
        <f t="shared" si="3"/>
        <v>1</v>
      </c>
      <c r="O271" s="4"/>
      <c r="P271" s="4"/>
      <c r="Q271" s="4"/>
      <c r="R271" s="4"/>
    </row>
    <row r="272" ht="15.75" customHeight="1">
      <c r="A272" s="13">
        <f>A271+'Energy Balance'!$N$7</f>
        <v>270</v>
      </c>
      <c r="B272" s="18">
        <f t="shared" si="1"/>
        <v>2.853716175</v>
      </c>
      <c r="C272" s="13">
        <f t="shared" si="2"/>
        <v>0</v>
      </c>
      <c r="D272" s="13">
        <f t="shared" si="3"/>
        <v>1</v>
      </c>
      <c r="O272" s="4"/>
      <c r="P272" s="4"/>
      <c r="Q272" s="4"/>
      <c r="R272" s="4"/>
    </row>
    <row r="273" ht="15.75" customHeight="1">
      <c r="A273" s="13">
        <f>A272+'Energy Balance'!$N$7</f>
        <v>271</v>
      </c>
      <c r="B273" s="18">
        <f t="shared" si="1"/>
        <v>2.864285494</v>
      </c>
      <c r="C273" s="13">
        <f t="shared" si="2"/>
        <v>0</v>
      </c>
      <c r="D273" s="13">
        <f t="shared" si="3"/>
        <v>1</v>
      </c>
      <c r="O273" s="4"/>
      <c r="P273" s="4"/>
      <c r="Q273" s="4"/>
      <c r="R273" s="4"/>
    </row>
    <row r="274" ht="15.75" customHeight="1">
      <c r="A274" s="13">
        <f>A273+'Energy Balance'!$N$7</f>
        <v>272</v>
      </c>
      <c r="B274" s="18">
        <f t="shared" si="1"/>
        <v>2.874854813</v>
      </c>
      <c r="C274" s="13">
        <f t="shared" si="2"/>
        <v>0</v>
      </c>
      <c r="D274" s="13">
        <f t="shared" si="3"/>
        <v>1</v>
      </c>
      <c r="O274" s="4"/>
      <c r="P274" s="4"/>
      <c r="Q274" s="4"/>
      <c r="R274" s="4"/>
    </row>
    <row r="275" ht="15.75" customHeight="1">
      <c r="A275" s="13">
        <f>A274+'Energy Balance'!$N$7</f>
        <v>273</v>
      </c>
      <c r="B275" s="18">
        <f t="shared" si="1"/>
        <v>2.885424132</v>
      </c>
      <c r="C275" s="13">
        <f t="shared" si="2"/>
        <v>0</v>
      </c>
      <c r="D275" s="13">
        <f t="shared" si="3"/>
        <v>1</v>
      </c>
      <c r="O275" s="4"/>
      <c r="P275" s="4"/>
      <c r="Q275" s="4"/>
      <c r="R275" s="4"/>
    </row>
    <row r="276" ht="15.75" customHeight="1">
      <c r="A276" s="13">
        <f>A275+'Energy Balance'!$N$7</f>
        <v>274</v>
      </c>
      <c r="B276" s="18">
        <f t="shared" si="1"/>
        <v>2.895993451</v>
      </c>
      <c r="C276" s="13">
        <f t="shared" si="2"/>
        <v>0</v>
      </c>
      <c r="D276" s="13">
        <f t="shared" si="3"/>
        <v>1</v>
      </c>
      <c r="O276" s="4"/>
      <c r="P276" s="4"/>
      <c r="Q276" s="4"/>
      <c r="R276" s="4"/>
    </row>
    <row r="277" ht="15.75" customHeight="1">
      <c r="A277" s="13">
        <f>A276+'Energy Balance'!$N$7</f>
        <v>275</v>
      </c>
      <c r="B277" s="18">
        <f t="shared" si="1"/>
        <v>2.906562771</v>
      </c>
      <c r="C277" s="13">
        <f t="shared" si="2"/>
        <v>0</v>
      </c>
      <c r="D277" s="13">
        <f t="shared" si="3"/>
        <v>1</v>
      </c>
      <c r="O277" s="4"/>
      <c r="P277" s="4"/>
      <c r="Q277" s="4"/>
      <c r="R277" s="4"/>
    </row>
    <row r="278" ht="15.75" customHeight="1">
      <c r="A278" s="13">
        <f>A277+'Energy Balance'!$N$7</f>
        <v>276</v>
      </c>
      <c r="B278" s="18">
        <f t="shared" si="1"/>
        <v>2.91713209</v>
      </c>
      <c r="C278" s="13">
        <f t="shared" si="2"/>
        <v>0</v>
      </c>
      <c r="D278" s="13">
        <f t="shared" si="3"/>
        <v>1</v>
      </c>
      <c r="O278" s="4"/>
      <c r="P278" s="4"/>
      <c r="Q278" s="4"/>
      <c r="R278" s="4"/>
    </row>
    <row r="279" ht="15.75" customHeight="1">
      <c r="A279" s="13">
        <f>A278+'Energy Balance'!$N$7</f>
        <v>277</v>
      </c>
      <c r="B279" s="18">
        <f t="shared" si="1"/>
        <v>2.927701409</v>
      </c>
      <c r="C279" s="13">
        <f t="shared" si="2"/>
        <v>0</v>
      </c>
      <c r="D279" s="13">
        <f t="shared" si="3"/>
        <v>1</v>
      </c>
      <c r="O279" s="4"/>
      <c r="P279" s="4"/>
      <c r="Q279" s="4"/>
      <c r="R279" s="4"/>
    </row>
    <row r="280" ht="15.75" customHeight="1">
      <c r="A280" s="13">
        <f>A279+'Energy Balance'!$N$7</f>
        <v>278</v>
      </c>
      <c r="B280" s="18">
        <f t="shared" si="1"/>
        <v>2.938270728</v>
      </c>
      <c r="C280" s="13">
        <f t="shared" si="2"/>
        <v>0</v>
      </c>
      <c r="D280" s="13">
        <f t="shared" si="3"/>
        <v>1</v>
      </c>
      <c r="O280" s="4"/>
      <c r="P280" s="4"/>
      <c r="Q280" s="4"/>
      <c r="R280" s="4"/>
    </row>
    <row r="281" ht="15.75" customHeight="1">
      <c r="A281" s="13">
        <f>A280+'Energy Balance'!$N$7</f>
        <v>279</v>
      </c>
      <c r="B281" s="18">
        <f t="shared" si="1"/>
        <v>2.948840047</v>
      </c>
      <c r="C281" s="13">
        <f t="shared" si="2"/>
        <v>0</v>
      </c>
      <c r="D281" s="13">
        <f t="shared" si="3"/>
        <v>1</v>
      </c>
      <c r="O281" s="4"/>
      <c r="P281" s="4"/>
      <c r="Q281" s="4"/>
      <c r="R281" s="4"/>
    </row>
    <row r="282" ht="15.75" customHeight="1">
      <c r="A282" s="13">
        <f>A281+'Energy Balance'!$N$7</f>
        <v>280</v>
      </c>
      <c r="B282" s="18">
        <f t="shared" si="1"/>
        <v>2.959409366</v>
      </c>
      <c r="C282" s="13">
        <f t="shared" si="2"/>
        <v>0</v>
      </c>
      <c r="D282" s="13">
        <f t="shared" si="3"/>
        <v>1</v>
      </c>
      <c r="O282" s="4"/>
      <c r="P282" s="4"/>
      <c r="Q282" s="4"/>
      <c r="R282" s="4"/>
    </row>
    <row r="283" ht="15.75" customHeight="1">
      <c r="A283" s="13">
        <f>A282+'Energy Balance'!$N$7</f>
        <v>281</v>
      </c>
      <c r="B283" s="18">
        <f t="shared" si="1"/>
        <v>2.969978686</v>
      </c>
      <c r="C283" s="13">
        <f t="shared" si="2"/>
        <v>0</v>
      </c>
      <c r="D283" s="13">
        <f t="shared" si="3"/>
        <v>1</v>
      </c>
      <c r="O283" s="4"/>
      <c r="P283" s="4"/>
      <c r="Q283" s="4"/>
      <c r="R283" s="4"/>
    </row>
    <row r="284" ht="15.75" customHeight="1">
      <c r="A284" s="13">
        <f>A283+'Energy Balance'!$N$7</f>
        <v>282</v>
      </c>
      <c r="B284" s="18">
        <f t="shared" si="1"/>
        <v>2.980548005</v>
      </c>
      <c r="C284" s="13">
        <f t="shared" si="2"/>
        <v>0</v>
      </c>
      <c r="D284" s="13">
        <f t="shared" si="3"/>
        <v>1</v>
      </c>
      <c r="O284" s="4"/>
      <c r="P284" s="4"/>
      <c r="Q284" s="4"/>
      <c r="R284" s="4"/>
    </row>
    <row r="285" ht="15.75" customHeight="1">
      <c r="A285" s="13">
        <f>A284+'Energy Balance'!$N$7</f>
        <v>283</v>
      </c>
      <c r="B285" s="18">
        <f t="shared" si="1"/>
        <v>2.991117324</v>
      </c>
      <c r="C285" s="13">
        <f t="shared" si="2"/>
        <v>0</v>
      </c>
      <c r="D285" s="13">
        <f t="shared" si="3"/>
        <v>1</v>
      </c>
      <c r="O285" s="4"/>
      <c r="P285" s="4"/>
      <c r="Q285" s="4"/>
      <c r="R285" s="4"/>
    </row>
    <row r="286" ht="15.75" customHeight="1">
      <c r="A286" s="13">
        <f>A285+'Energy Balance'!$N$7</f>
        <v>284</v>
      </c>
      <c r="B286" s="18">
        <f t="shared" si="1"/>
        <v>3.001686643</v>
      </c>
      <c r="C286" s="13">
        <f t="shared" si="2"/>
        <v>1</v>
      </c>
      <c r="D286" s="13">
        <f t="shared" si="3"/>
        <v>0</v>
      </c>
      <c r="O286" s="4"/>
      <c r="P286" s="4"/>
      <c r="Q286" s="4"/>
      <c r="R286" s="4"/>
    </row>
    <row r="287" ht="15.75" customHeight="1">
      <c r="A287" s="13">
        <f>A286+'Energy Balance'!$N$7</f>
        <v>285</v>
      </c>
      <c r="B287" s="18">
        <f t="shared" si="1"/>
        <v>3.012255962</v>
      </c>
      <c r="C287" s="13">
        <f t="shared" si="2"/>
        <v>1</v>
      </c>
      <c r="D287" s="13">
        <f t="shared" si="3"/>
        <v>0</v>
      </c>
      <c r="O287" s="4"/>
      <c r="P287" s="4"/>
      <c r="Q287" s="4"/>
      <c r="R287" s="4"/>
    </row>
    <row r="288" ht="15.75" customHeight="1">
      <c r="A288" s="13">
        <f>A287+'Energy Balance'!$N$7</f>
        <v>286</v>
      </c>
      <c r="B288" s="18">
        <f t="shared" si="1"/>
        <v>3.022825281</v>
      </c>
      <c r="C288" s="13">
        <f t="shared" si="2"/>
        <v>1</v>
      </c>
      <c r="D288" s="13">
        <f t="shared" si="3"/>
        <v>0</v>
      </c>
      <c r="O288" s="4"/>
      <c r="P288" s="4"/>
      <c r="Q288" s="4"/>
      <c r="R288" s="4"/>
    </row>
    <row r="289" ht="15.75" customHeight="1">
      <c r="A289" s="13">
        <f>A288+'Energy Balance'!$N$7</f>
        <v>287</v>
      </c>
      <c r="B289" s="18">
        <f t="shared" si="1"/>
        <v>3.033394601</v>
      </c>
      <c r="C289" s="13">
        <f t="shared" si="2"/>
        <v>1</v>
      </c>
      <c r="D289" s="13">
        <f t="shared" si="3"/>
        <v>0</v>
      </c>
      <c r="O289" s="4"/>
      <c r="P289" s="4"/>
      <c r="Q289" s="4"/>
      <c r="R289" s="4"/>
    </row>
    <row r="290" ht="15.75" customHeight="1">
      <c r="A290" s="13">
        <f>A289+'Energy Balance'!$N$7</f>
        <v>288</v>
      </c>
      <c r="B290" s="18">
        <f t="shared" si="1"/>
        <v>3.04396392</v>
      </c>
      <c r="C290" s="13">
        <f t="shared" si="2"/>
        <v>1</v>
      </c>
      <c r="D290" s="13">
        <f t="shared" si="3"/>
        <v>0</v>
      </c>
      <c r="O290" s="4"/>
      <c r="P290" s="4"/>
      <c r="Q290" s="4"/>
      <c r="R290" s="4"/>
    </row>
    <row r="291" ht="15.75" customHeight="1">
      <c r="A291" s="13">
        <f>A290+'Energy Balance'!$N$7</f>
        <v>289</v>
      </c>
      <c r="B291" s="18">
        <f t="shared" si="1"/>
        <v>3.054533239</v>
      </c>
      <c r="C291" s="13">
        <f t="shared" si="2"/>
        <v>1</v>
      </c>
      <c r="D291" s="13">
        <f t="shared" si="3"/>
        <v>0</v>
      </c>
      <c r="O291" s="4"/>
      <c r="P291" s="4"/>
      <c r="Q291" s="4"/>
      <c r="R291" s="4"/>
    </row>
    <row r="292" ht="15.75" customHeight="1">
      <c r="A292" s="13">
        <f>A291+'Energy Balance'!$N$7</f>
        <v>290</v>
      </c>
      <c r="B292" s="18">
        <f t="shared" si="1"/>
        <v>3.065102558</v>
      </c>
      <c r="C292" s="13">
        <f t="shared" si="2"/>
        <v>1</v>
      </c>
      <c r="D292" s="13">
        <f t="shared" si="3"/>
        <v>0</v>
      </c>
      <c r="O292" s="4"/>
      <c r="P292" s="4"/>
      <c r="Q292" s="4"/>
      <c r="R292" s="4"/>
    </row>
    <row r="293" ht="15.75" customHeight="1">
      <c r="A293" s="13">
        <f>A292+'Energy Balance'!$N$7</f>
        <v>291</v>
      </c>
      <c r="B293" s="18">
        <f t="shared" si="1"/>
        <v>3.075671877</v>
      </c>
      <c r="C293" s="13">
        <f t="shared" si="2"/>
        <v>1</v>
      </c>
      <c r="D293" s="13">
        <f t="shared" si="3"/>
        <v>0</v>
      </c>
      <c r="O293" s="4"/>
      <c r="P293" s="4"/>
      <c r="Q293" s="4"/>
      <c r="R293" s="4"/>
    </row>
    <row r="294" ht="15.75" customHeight="1">
      <c r="A294" s="13">
        <f>A293+'Energy Balance'!$N$7</f>
        <v>292</v>
      </c>
      <c r="B294" s="18">
        <f t="shared" si="1"/>
        <v>3.086241196</v>
      </c>
      <c r="C294" s="13">
        <f t="shared" si="2"/>
        <v>1</v>
      </c>
      <c r="D294" s="13">
        <f t="shared" si="3"/>
        <v>0</v>
      </c>
      <c r="O294" s="4"/>
      <c r="P294" s="4"/>
      <c r="Q294" s="4"/>
      <c r="R294" s="4"/>
    </row>
    <row r="295" ht="15.75" customHeight="1">
      <c r="A295" s="13">
        <f>A294+'Energy Balance'!$N$7</f>
        <v>293</v>
      </c>
      <c r="B295" s="18">
        <f t="shared" si="1"/>
        <v>3.096810516</v>
      </c>
      <c r="C295" s="13">
        <f t="shared" si="2"/>
        <v>1</v>
      </c>
      <c r="D295" s="13">
        <f t="shared" si="3"/>
        <v>0</v>
      </c>
      <c r="O295" s="4"/>
      <c r="P295" s="4"/>
      <c r="Q295" s="4"/>
      <c r="R295" s="4"/>
    </row>
    <row r="296" ht="15.75" customHeight="1">
      <c r="A296" s="13">
        <f>A295+'Energy Balance'!$N$7</f>
        <v>294</v>
      </c>
      <c r="B296" s="18">
        <f t="shared" si="1"/>
        <v>3.107379835</v>
      </c>
      <c r="C296" s="13">
        <f t="shared" si="2"/>
        <v>1</v>
      </c>
      <c r="D296" s="13">
        <f t="shared" si="3"/>
        <v>0</v>
      </c>
      <c r="O296" s="4"/>
      <c r="P296" s="4"/>
      <c r="Q296" s="4"/>
      <c r="R296" s="4"/>
    </row>
    <row r="297" ht="15.75" customHeight="1">
      <c r="A297" s="13">
        <f>A296+'Energy Balance'!$N$7</f>
        <v>295</v>
      </c>
      <c r="B297" s="18">
        <f t="shared" si="1"/>
        <v>3.117949154</v>
      </c>
      <c r="C297" s="13">
        <f t="shared" si="2"/>
        <v>1</v>
      </c>
      <c r="D297" s="13">
        <f t="shared" si="3"/>
        <v>0</v>
      </c>
      <c r="O297" s="4"/>
      <c r="P297" s="4"/>
      <c r="Q297" s="4"/>
      <c r="R297" s="4"/>
    </row>
    <row r="298" ht="15.75" customHeight="1">
      <c r="A298" s="13">
        <f>A297+'Energy Balance'!$N$7</f>
        <v>296</v>
      </c>
      <c r="B298" s="18">
        <f t="shared" si="1"/>
        <v>3.128518473</v>
      </c>
      <c r="C298" s="13">
        <f t="shared" si="2"/>
        <v>1</v>
      </c>
      <c r="D298" s="13">
        <f t="shared" si="3"/>
        <v>0</v>
      </c>
      <c r="O298" s="4"/>
      <c r="P298" s="4"/>
      <c r="Q298" s="4"/>
      <c r="R298" s="4"/>
    </row>
    <row r="299" ht="15.75" customHeight="1">
      <c r="A299" s="13">
        <f>A298+'Energy Balance'!$N$7</f>
        <v>297</v>
      </c>
      <c r="B299" s="18">
        <f t="shared" si="1"/>
        <v>3.139087792</v>
      </c>
      <c r="C299" s="13">
        <f t="shared" si="2"/>
        <v>1</v>
      </c>
      <c r="D299" s="13">
        <f t="shared" si="3"/>
        <v>0</v>
      </c>
      <c r="O299" s="4"/>
      <c r="P299" s="4"/>
      <c r="Q299" s="4"/>
      <c r="R299" s="4"/>
    </row>
    <row r="300" ht="15.75" customHeight="1">
      <c r="A300" s="13">
        <f>A299+'Energy Balance'!$N$7</f>
        <v>298</v>
      </c>
      <c r="B300" s="18">
        <f t="shared" si="1"/>
        <v>3.149657111</v>
      </c>
      <c r="C300" s="13">
        <f t="shared" si="2"/>
        <v>1</v>
      </c>
      <c r="D300" s="13">
        <f t="shared" si="3"/>
        <v>0</v>
      </c>
      <c r="O300" s="4"/>
      <c r="P300" s="4"/>
      <c r="Q300" s="4"/>
      <c r="R300" s="4"/>
    </row>
    <row r="301" ht="15.75" customHeight="1">
      <c r="A301" s="13">
        <f>A300+'Energy Balance'!$N$7</f>
        <v>299</v>
      </c>
      <c r="B301" s="18">
        <f t="shared" si="1"/>
        <v>3.160226431</v>
      </c>
      <c r="C301" s="13">
        <f t="shared" si="2"/>
        <v>1</v>
      </c>
      <c r="D301" s="13">
        <f t="shared" si="3"/>
        <v>0</v>
      </c>
      <c r="O301" s="4"/>
      <c r="P301" s="4"/>
      <c r="Q301" s="4"/>
      <c r="R301" s="4"/>
    </row>
    <row r="302" ht="15.75" customHeight="1">
      <c r="A302" s="13">
        <f>A301+'Energy Balance'!$N$7</f>
        <v>300</v>
      </c>
      <c r="B302" s="18">
        <f t="shared" si="1"/>
        <v>3.17079575</v>
      </c>
      <c r="C302" s="13">
        <f t="shared" si="2"/>
        <v>1</v>
      </c>
      <c r="D302" s="13">
        <f t="shared" si="3"/>
        <v>0</v>
      </c>
      <c r="O302" s="4"/>
      <c r="P302" s="4"/>
      <c r="Q302" s="4"/>
      <c r="R302" s="4"/>
    </row>
    <row r="303" ht="15.75" customHeight="1">
      <c r="A303" s="13">
        <f>A302+'Energy Balance'!$N$7</f>
        <v>301</v>
      </c>
      <c r="B303" s="18">
        <f t="shared" si="1"/>
        <v>3.181365069</v>
      </c>
      <c r="C303" s="13">
        <f t="shared" si="2"/>
        <v>1</v>
      </c>
      <c r="D303" s="13">
        <f t="shared" si="3"/>
        <v>0</v>
      </c>
      <c r="O303" s="4"/>
      <c r="P303" s="4"/>
      <c r="Q303" s="4"/>
      <c r="R303" s="4"/>
    </row>
    <row r="304" ht="15.75" customHeight="1">
      <c r="A304" s="13">
        <f>A303+'Energy Balance'!$N$7</f>
        <v>302</v>
      </c>
      <c r="B304" s="18">
        <f t="shared" si="1"/>
        <v>3.191934388</v>
      </c>
      <c r="C304" s="13">
        <f t="shared" si="2"/>
        <v>1</v>
      </c>
      <c r="D304" s="13">
        <f t="shared" si="3"/>
        <v>0</v>
      </c>
      <c r="O304" s="4"/>
      <c r="P304" s="4"/>
      <c r="Q304" s="4"/>
      <c r="R304" s="4"/>
    </row>
    <row r="305" ht="15.75" customHeight="1">
      <c r="A305" s="13">
        <f>A304+'Energy Balance'!$N$7</f>
        <v>303</v>
      </c>
      <c r="B305" s="18">
        <f t="shared" si="1"/>
        <v>3.202503707</v>
      </c>
      <c r="C305" s="13">
        <f t="shared" si="2"/>
        <v>1</v>
      </c>
      <c r="D305" s="13">
        <f t="shared" si="3"/>
        <v>0</v>
      </c>
      <c r="O305" s="4"/>
      <c r="P305" s="4"/>
      <c r="Q305" s="4"/>
      <c r="R305" s="4"/>
    </row>
    <row r="306" ht="15.75" customHeight="1">
      <c r="A306" s="13">
        <f>A305+'Energy Balance'!$N$7</f>
        <v>304</v>
      </c>
      <c r="B306" s="18">
        <f t="shared" si="1"/>
        <v>3.213073026</v>
      </c>
      <c r="C306" s="13">
        <f t="shared" si="2"/>
        <v>1</v>
      </c>
      <c r="D306" s="13">
        <f t="shared" si="3"/>
        <v>0</v>
      </c>
      <c r="O306" s="4"/>
      <c r="P306" s="4"/>
      <c r="Q306" s="4"/>
      <c r="R306" s="4"/>
    </row>
    <row r="307" ht="15.75" customHeight="1">
      <c r="A307" s="13">
        <f>A306+'Energy Balance'!$N$7</f>
        <v>305</v>
      </c>
      <c r="B307" s="18">
        <f t="shared" si="1"/>
        <v>3.223642346</v>
      </c>
      <c r="C307" s="13">
        <f t="shared" si="2"/>
        <v>1</v>
      </c>
      <c r="D307" s="13">
        <f t="shared" si="3"/>
        <v>0</v>
      </c>
      <c r="O307" s="4"/>
      <c r="P307" s="4"/>
      <c r="Q307" s="4"/>
      <c r="R307" s="4"/>
    </row>
    <row r="308" ht="15.75" customHeight="1">
      <c r="A308" s="13">
        <f>A307+'Energy Balance'!$N$7</f>
        <v>306</v>
      </c>
      <c r="B308" s="18">
        <f t="shared" si="1"/>
        <v>3.234211665</v>
      </c>
      <c r="C308" s="13">
        <f t="shared" si="2"/>
        <v>1</v>
      </c>
      <c r="D308" s="13">
        <f t="shared" si="3"/>
        <v>0</v>
      </c>
      <c r="O308" s="4"/>
      <c r="P308" s="4"/>
      <c r="Q308" s="4"/>
      <c r="R308" s="4"/>
    </row>
    <row r="309" ht="15.75" customHeight="1">
      <c r="A309" s="13">
        <f>A308+'Energy Balance'!$N$7</f>
        <v>307</v>
      </c>
      <c r="B309" s="18">
        <f t="shared" si="1"/>
        <v>3.244780984</v>
      </c>
      <c r="C309" s="13">
        <f t="shared" si="2"/>
        <v>1</v>
      </c>
      <c r="D309" s="13">
        <f t="shared" si="3"/>
        <v>0</v>
      </c>
      <c r="O309" s="4"/>
      <c r="P309" s="4"/>
      <c r="Q309" s="4"/>
      <c r="R309" s="4"/>
    </row>
    <row r="310" ht="15.75" customHeight="1">
      <c r="A310" s="13">
        <f>A309+'Energy Balance'!$N$7</f>
        <v>308</v>
      </c>
      <c r="B310" s="18">
        <f t="shared" si="1"/>
        <v>3.255350303</v>
      </c>
      <c r="C310" s="13">
        <f t="shared" si="2"/>
        <v>1</v>
      </c>
      <c r="D310" s="13">
        <f t="shared" si="3"/>
        <v>0</v>
      </c>
      <c r="O310" s="4"/>
      <c r="P310" s="4"/>
      <c r="Q310" s="4"/>
      <c r="R310" s="4"/>
    </row>
    <row r="311" ht="15.75" customHeight="1">
      <c r="A311" s="13">
        <f>A310+'Energy Balance'!$N$7</f>
        <v>309</v>
      </c>
      <c r="B311" s="18">
        <f t="shared" si="1"/>
        <v>3.265919622</v>
      </c>
      <c r="C311" s="13">
        <f t="shared" si="2"/>
        <v>1</v>
      </c>
      <c r="D311" s="13">
        <f t="shared" si="3"/>
        <v>0</v>
      </c>
      <c r="O311" s="4"/>
      <c r="P311" s="4"/>
      <c r="Q311" s="4"/>
      <c r="R311" s="4"/>
    </row>
    <row r="312" ht="15.75" customHeight="1">
      <c r="A312" s="13">
        <f>A311+'Energy Balance'!$N$7</f>
        <v>310</v>
      </c>
      <c r="B312" s="18">
        <f t="shared" si="1"/>
        <v>3.276488941</v>
      </c>
      <c r="C312" s="13">
        <f t="shared" si="2"/>
        <v>1</v>
      </c>
      <c r="D312" s="13">
        <f t="shared" si="3"/>
        <v>0</v>
      </c>
      <c r="O312" s="4"/>
      <c r="P312" s="4"/>
      <c r="Q312" s="4"/>
      <c r="R312" s="4"/>
    </row>
    <row r="313" ht="15.75" customHeight="1">
      <c r="A313" s="13">
        <f>A312+'Energy Balance'!$N$7</f>
        <v>311</v>
      </c>
      <c r="B313" s="18">
        <f t="shared" si="1"/>
        <v>3.287058261</v>
      </c>
      <c r="C313" s="13">
        <f t="shared" si="2"/>
        <v>1</v>
      </c>
      <c r="D313" s="13">
        <f t="shared" si="3"/>
        <v>0</v>
      </c>
      <c r="O313" s="4"/>
      <c r="P313" s="4"/>
      <c r="Q313" s="4"/>
      <c r="R313" s="4"/>
    </row>
    <row r="314" ht="15.75" customHeight="1">
      <c r="A314" s="13">
        <f>A313+'Energy Balance'!$N$7</f>
        <v>312</v>
      </c>
      <c r="B314" s="18">
        <f t="shared" si="1"/>
        <v>3.29762758</v>
      </c>
      <c r="C314" s="13">
        <f t="shared" si="2"/>
        <v>1</v>
      </c>
      <c r="D314" s="13">
        <f t="shared" si="3"/>
        <v>0</v>
      </c>
      <c r="O314" s="4"/>
      <c r="P314" s="4"/>
      <c r="Q314" s="4"/>
      <c r="R314" s="4"/>
    </row>
    <row r="315" ht="15.75" customHeight="1">
      <c r="A315" s="13">
        <f>A314+'Energy Balance'!$N$7</f>
        <v>313</v>
      </c>
      <c r="B315" s="18">
        <f t="shared" si="1"/>
        <v>3.308196899</v>
      </c>
      <c r="C315" s="13">
        <f t="shared" si="2"/>
        <v>1</v>
      </c>
      <c r="D315" s="13">
        <f t="shared" si="3"/>
        <v>0</v>
      </c>
      <c r="O315" s="4"/>
      <c r="P315" s="4"/>
      <c r="Q315" s="4"/>
      <c r="R315" s="4"/>
    </row>
    <row r="316" ht="15.75" customHeight="1">
      <c r="A316" s="13">
        <f>A315+'Energy Balance'!$N$7</f>
        <v>314</v>
      </c>
      <c r="B316" s="18">
        <f t="shared" si="1"/>
        <v>3.318766218</v>
      </c>
      <c r="C316" s="13">
        <f t="shared" si="2"/>
        <v>1</v>
      </c>
      <c r="D316" s="13">
        <f t="shared" si="3"/>
        <v>0</v>
      </c>
      <c r="O316" s="4"/>
      <c r="P316" s="4"/>
      <c r="Q316" s="4"/>
      <c r="R316" s="4"/>
    </row>
    <row r="317" ht="15.75" customHeight="1">
      <c r="A317" s="13">
        <f>A316+'Energy Balance'!$N$7</f>
        <v>315</v>
      </c>
      <c r="B317" s="18">
        <f t="shared" si="1"/>
        <v>3.329335537</v>
      </c>
      <c r="C317" s="13">
        <f t="shared" si="2"/>
        <v>1</v>
      </c>
      <c r="D317" s="13">
        <f t="shared" si="3"/>
        <v>0</v>
      </c>
      <c r="O317" s="4"/>
      <c r="P317" s="4"/>
      <c r="Q317" s="4"/>
      <c r="R317" s="4"/>
    </row>
    <row r="318" ht="15.75" customHeight="1">
      <c r="A318" s="13">
        <f>A317+'Energy Balance'!$N$7</f>
        <v>316</v>
      </c>
      <c r="B318" s="18">
        <f t="shared" si="1"/>
        <v>3.339904856</v>
      </c>
      <c r="C318" s="13">
        <f t="shared" si="2"/>
        <v>1</v>
      </c>
      <c r="D318" s="13">
        <f t="shared" si="3"/>
        <v>0</v>
      </c>
      <c r="O318" s="4"/>
      <c r="P318" s="4"/>
      <c r="Q318" s="4"/>
      <c r="R318" s="4"/>
    </row>
    <row r="319" ht="15.75" customHeight="1">
      <c r="A319" s="13">
        <f>A318+'Energy Balance'!$N$7</f>
        <v>317</v>
      </c>
      <c r="B319" s="18">
        <f t="shared" si="1"/>
        <v>3.350474176</v>
      </c>
      <c r="C319" s="13">
        <f t="shared" si="2"/>
        <v>1</v>
      </c>
      <c r="D319" s="13">
        <f t="shared" si="3"/>
        <v>0</v>
      </c>
      <c r="O319" s="4"/>
      <c r="P319" s="4"/>
      <c r="Q319" s="4"/>
      <c r="R319" s="4"/>
    </row>
    <row r="320" ht="15.75" customHeight="1">
      <c r="A320" s="13">
        <f>A319+'Energy Balance'!$N$7</f>
        <v>318</v>
      </c>
      <c r="B320" s="18">
        <f t="shared" si="1"/>
        <v>3.361043495</v>
      </c>
      <c r="C320" s="13">
        <f t="shared" si="2"/>
        <v>1</v>
      </c>
      <c r="D320" s="13">
        <f t="shared" si="3"/>
        <v>0</v>
      </c>
      <c r="O320" s="4"/>
      <c r="P320" s="4"/>
      <c r="Q320" s="4"/>
      <c r="R320" s="4"/>
    </row>
    <row r="321" ht="15.75" customHeight="1">
      <c r="A321" s="13">
        <f>A320+'Energy Balance'!$N$7</f>
        <v>319</v>
      </c>
      <c r="B321" s="18">
        <f t="shared" si="1"/>
        <v>3.371612814</v>
      </c>
      <c r="C321" s="13">
        <f t="shared" si="2"/>
        <v>1</v>
      </c>
      <c r="D321" s="13">
        <f t="shared" si="3"/>
        <v>0</v>
      </c>
      <c r="O321" s="4"/>
      <c r="P321" s="4"/>
      <c r="Q321" s="4"/>
      <c r="R321" s="4"/>
    </row>
    <row r="322" ht="15.75" customHeight="1">
      <c r="A322" s="13">
        <f>A321+'Energy Balance'!$N$7</f>
        <v>320</v>
      </c>
      <c r="B322" s="18">
        <f t="shared" si="1"/>
        <v>3.382182133</v>
      </c>
      <c r="C322" s="13">
        <f t="shared" si="2"/>
        <v>1</v>
      </c>
      <c r="D322" s="13">
        <f t="shared" si="3"/>
        <v>0</v>
      </c>
      <c r="O322" s="4"/>
      <c r="P322" s="4"/>
      <c r="Q322" s="4"/>
      <c r="R322" s="4"/>
    </row>
    <row r="323" ht="15.75" customHeight="1">
      <c r="A323" s="13">
        <f>A322+'Energy Balance'!$N$7</f>
        <v>321</v>
      </c>
      <c r="B323" s="18">
        <f t="shared" si="1"/>
        <v>3.392751452</v>
      </c>
      <c r="C323" s="13">
        <f t="shared" si="2"/>
        <v>1</v>
      </c>
      <c r="D323" s="13">
        <f t="shared" si="3"/>
        <v>0</v>
      </c>
      <c r="O323" s="4"/>
      <c r="P323" s="4"/>
      <c r="Q323" s="4"/>
      <c r="R323" s="4"/>
    </row>
    <row r="324" ht="15.75" customHeight="1">
      <c r="A324" s="13">
        <f>A323+'Energy Balance'!$N$7</f>
        <v>322</v>
      </c>
      <c r="B324" s="18">
        <f t="shared" si="1"/>
        <v>3.403320771</v>
      </c>
      <c r="C324" s="13">
        <f t="shared" si="2"/>
        <v>1</v>
      </c>
      <c r="D324" s="13">
        <f t="shared" si="3"/>
        <v>0</v>
      </c>
      <c r="O324" s="4"/>
      <c r="P324" s="4"/>
      <c r="Q324" s="4"/>
      <c r="R324" s="4"/>
    </row>
    <row r="325" ht="15.75" customHeight="1">
      <c r="A325" s="13">
        <f>A324+'Energy Balance'!$N$7</f>
        <v>323</v>
      </c>
      <c r="B325" s="18">
        <f t="shared" si="1"/>
        <v>3.413890091</v>
      </c>
      <c r="C325" s="13">
        <f t="shared" si="2"/>
        <v>1</v>
      </c>
      <c r="D325" s="13">
        <f t="shared" si="3"/>
        <v>0</v>
      </c>
      <c r="O325" s="4"/>
      <c r="P325" s="4"/>
      <c r="Q325" s="4"/>
      <c r="R325" s="4"/>
    </row>
    <row r="326" ht="15.75" customHeight="1">
      <c r="A326" s="13">
        <f>A325+'Energy Balance'!$N$7</f>
        <v>324</v>
      </c>
      <c r="B326" s="18">
        <f t="shared" si="1"/>
        <v>3.42445941</v>
      </c>
      <c r="C326" s="13">
        <f t="shared" si="2"/>
        <v>1</v>
      </c>
      <c r="D326" s="13">
        <f t="shared" si="3"/>
        <v>0</v>
      </c>
      <c r="O326" s="4"/>
      <c r="P326" s="4"/>
      <c r="Q326" s="4"/>
      <c r="R326" s="4"/>
    </row>
    <row r="327" ht="15.75" customHeight="1">
      <c r="A327" s="13">
        <f>A326+'Energy Balance'!$N$7</f>
        <v>325</v>
      </c>
      <c r="B327" s="18">
        <f t="shared" si="1"/>
        <v>3.435028729</v>
      </c>
      <c r="C327" s="13">
        <f t="shared" si="2"/>
        <v>1</v>
      </c>
      <c r="D327" s="13">
        <f t="shared" si="3"/>
        <v>0</v>
      </c>
      <c r="O327" s="4"/>
      <c r="P327" s="4"/>
      <c r="Q327" s="4"/>
      <c r="R327" s="4"/>
    </row>
    <row r="328" ht="15.75" customHeight="1">
      <c r="A328" s="13">
        <f>A327+'Energy Balance'!$N$7</f>
        <v>326</v>
      </c>
      <c r="B328" s="18">
        <f t="shared" si="1"/>
        <v>3.445598048</v>
      </c>
      <c r="C328" s="13">
        <f t="shared" si="2"/>
        <v>1</v>
      </c>
      <c r="D328" s="13">
        <f t="shared" si="3"/>
        <v>0</v>
      </c>
      <c r="O328" s="4"/>
      <c r="P328" s="4"/>
      <c r="Q328" s="4"/>
      <c r="R328" s="4"/>
    </row>
    <row r="329" ht="15.75" customHeight="1">
      <c r="A329" s="13">
        <f>A328+'Energy Balance'!$N$7</f>
        <v>327</v>
      </c>
      <c r="B329" s="18">
        <f t="shared" si="1"/>
        <v>3.456167367</v>
      </c>
      <c r="C329" s="13">
        <f t="shared" si="2"/>
        <v>1</v>
      </c>
      <c r="D329" s="13">
        <f t="shared" si="3"/>
        <v>0</v>
      </c>
      <c r="O329" s="4"/>
      <c r="P329" s="4"/>
      <c r="Q329" s="4"/>
      <c r="R329" s="4"/>
    </row>
    <row r="330" ht="15.75" customHeight="1">
      <c r="A330" s="13">
        <f>A329+'Energy Balance'!$N$7</f>
        <v>328</v>
      </c>
      <c r="B330" s="18">
        <f t="shared" si="1"/>
        <v>3.466736686</v>
      </c>
      <c r="C330" s="13">
        <f t="shared" si="2"/>
        <v>1</v>
      </c>
      <c r="D330" s="13">
        <f t="shared" si="3"/>
        <v>0</v>
      </c>
      <c r="O330" s="4"/>
      <c r="P330" s="4"/>
      <c r="Q330" s="4"/>
      <c r="R330" s="4"/>
    </row>
    <row r="331" ht="15.75" customHeight="1">
      <c r="A331" s="13">
        <f>A330+'Energy Balance'!$N$7</f>
        <v>329</v>
      </c>
      <c r="B331" s="18">
        <f t="shared" si="1"/>
        <v>3.477306006</v>
      </c>
      <c r="C331" s="13">
        <f t="shared" si="2"/>
        <v>1</v>
      </c>
      <c r="D331" s="13">
        <f t="shared" si="3"/>
        <v>0</v>
      </c>
      <c r="O331" s="4"/>
      <c r="P331" s="4"/>
      <c r="Q331" s="4"/>
      <c r="R331" s="4"/>
    </row>
    <row r="332" ht="15.75" customHeight="1">
      <c r="A332" s="13">
        <f>A331+'Energy Balance'!$N$7</f>
        <v>330</v>
      </c>
      <c r="B332" s="18">
        <f t="shared" si="1"/>
        <v>3.487875325</v>
      </c>
      <c r="C332" s="13">
        <f t="shared" si="2"/>
        <v>1</v>
      </c>
      <c r="D332" s="13">
        <f t="shared" si="3"/>
        <v>0</v>
      </c>
      <c r="O332" s="4"/>
      <c r="P332" s="4"/>
      <c r="Q332" s="4"/>
      <c r="R332" s="4"/>
    </row>
    <row r="333" ht="15.75" customHeight="1">
      <c r="A333" s="13">
        <f>A332+'Energy Balance'!$N$7</f>
        <v>331</v>
      </c>
      <c r="B333" s="18">
        <f t="shared" si="1"/>
        <v>3.498444644</v>
      </c>
      <c r="C333" s="13">
        <f t="shared" si="2"/>
        <v>1</v>
      </c>
      <c r="D333" s="13">
        <f t="shared" si="3"/>
        <v>0</v>
      </c>
      <c r="O333" s="4"/>
      <c r="P333" s="4"/>
      <c r="Q333" s="4"/>
      <c r="R333" s="4"/>
    </row>
    <row r="334" ht="15.75" customHeight="1">
      <c r="A334" s="13">
        <f>A333+'Energy Balance'!$N$7</f>
        <v>332</v>
      </c>
      <c r="B334" s="18">
        <f t="shared" si="1"/>
        <v>3.509013963</v>
      </c>
      <c r="C334" s="13">
        <f t="shared" si="2"/>
        <v>1</v>
      </c>
      <c r="D334" s="13">
        <f t="shared" si="3"/>
        <v>0</v>
      </c>
      <c r="O334" s="4"/>
      <c r="P334" s="4"/>
      <c r="Q334" s="4"/>
      <c r="R334" s="4"/>
    </row>
    <row r="335" ht="15.75" customHeight="1">
      <c r="A335" s="13">
        <f>A334+'Energy Balance'!$N$7</f>
        <v>333</v>
      </c>
      <c r="B335" s="18">
        <f t="shared" si="1"/>
        <v>3.519583282</v>
      </c>
      <c r="C335" s="13">
        <f t="shared" si="2"/>
        <v>1</v>
      </c>
      <c r="D335" s="13">
        <f t="shared" si="3"/>
        <v>0</v>
      </c>
      <c r="O335" s="4"/>
      <c r="P335" s="4"/>
      <c r="Q335" s="4"/>
      <c r="R335" s="4"/>
    </row>
    <row r="336" ht="15.75" customHeight="1">
      <c r="A336" s="13">
        <f>A335+'Energy Balance'!$N$7</f>
        <v>334</v>
      </c>
      <c r="B336" s="18">
        <f t="shared" si="1"/>
        <v>3.530152601</v>
      </c>
      <c r="C336" s="13">
        <f t="shared" si="2"/>
        <v>1</v>
      </c>
      <c r="D336" s="13">
        <f t="shared" si="3"/>
        <v>0</v>
      </c>
      <c r="O336" s="4"/>
      <c r="P336" s="4"/>
      <c r="Q336" s="4"/>
      <c r="R336" s="4"/>
    </row>
    <row r="337" ht="15.75" customHeight="1">
      <c r="A337" s="13">
        <f>A336+'Energy Balance'!$N$7</f>
        <v>335</v>
      </c>
      <c r="B337" s="18">
        <f t="shared" si="1"/>
        <v>3.540721921</v>
      </c>
      <c r="C337" s="13">
        <f t="shared" si="2"/>
        <v>1</v>
      </c>
      <c r="D337" s="13">
        <f t="shared" si="3"/>
        <v>0</v>
      </c>
      <c r="O337" s="4"/>
      <c r="P337" s="4"/>
      <c r="Q337" s="4"/>
      <c r="R337" s="4"/>
    </row>
    <row r="338" ht="15.75" customHeight="1">
      <c r="A338" s="13">
        <f>A337+'Energy Balance'!$N$7</f>
        <v>336</v>
      </c>
      <c r="B338" s="18">
        <f t="shared" si="1"/>
        <v>3.55129124</v>
      </c>
      <c r="C338" s="13">
        <f t="shared" si="2"/>
        <v>1</v>
      </c>
      <c r="D338" s="13">
        <f t="shared" si="3"/>
        <v>0</v>
      </c>
      <c r="O338" s="4"/>
      <c r="P338" s="4"/>
      <c r="Q338" s="4"/>
      <c r="R338" s="4"/>
    </row>
    <row r="339" ht="15.75" customHeight="1">
      <c r="A339" s="13">
        <f>A338+'Energy Balance'!$N$7</f>
        <v>337</v>
      </c>
      <c r="B339" s="18">
        <f t="shared" si="1"/>
        <v>3.561860559</v>
      </c>
      <c r="C339" s="13">
        <f t="shared" si="2"/>
        <v>1</v>
      </c>
      <c r="D339" s="13">
        <f t="shared" si="3"/>
        <v>0</v>
      </c>
      <c r="O339" s="4"/>
      <c r="P339" s="4"/>
      <c r="Q339" s="4"/>
      <c r="R339" s="4"/>
    </row>
    <row r="340" ht="15.75" customHeight="1">
      <c r="A340" s="13">
        <f>A339+'Energy Balance'!$N$7</f>
        <v>338</v>
      </c>
      <c r="B340" s="18">
        <f t="shared" si="1"/>
        <v>3.572429878</v>
      </c>
      <c r="C340" s="13">
        <f t="shared" si="2"/>
        <v>1</v>
      </c>
      <c r="D340" s="13">
        <f t="shared" si="3"/>
        <v>0</v>
      </c>
      <c r="O340" s="4"/>
      <c r="P340" s="4"/>
      <c r="Q340" s="4"/>
      <c r="R340" s="4"/>
    </row>
    <row r="341" ht="15.75" customHeight="1">
      <c r="A341" s="13">
        <f>A340+'Energy Balance'!$N$7</f>
        <v>339</v>
      </c>
      <c r="B341" s="18">
        <f t="shared" si="1"/>
        <v>3.582999197</v>
      </c>
      <c r="C341" s="13">
        <f t="shared" si="2"/>
        <v>1</v>
      </c>
      <c r="D341" s="13">
        <f t="shared" si="3"/>
        <v>0</v>
      </c>
      <c r="O341" s="4"/>
      <c r="P341" s="4"/>
      <c r="Q341" s="4"/>
      <c r="R341" s="4"/>
    </row>
    <row r="342" ht="15.75" customHeight="1">
      <c r="A342" s="13">
        <f>A341+'Energy Balance'!$N$7</f>
        <v>340</v>
      </c>
      <c r="B342" s="18">
        <f t="shared" si="1"/>
        <v>3.593568516</v>
      </c>
      <c r="C342" s="13">
        <f t="shared" si="2"/>
        <v>1</v>
      </c>
      <c r="D342" s="13">
        <f t="shared" si="3"/>
        <v>0</v>
      </c>
      <c r="O342" s="4"/>
      <c r="P342" s="4"/>
      <c r="Q342" s="4"/>
      <c r="R342" s="4"/>
    </row>
    <row r="343" ht="15.75" customHeight="1">
      <c r="A343" s="13">
        <f>A342+'Energy Balance'!$N$7</f>
        <v>341</v>
      </c>
      <c r="B343" s="18">
        <f t="shared" si="1"/>
        <v>3.604137836</v>
      </c>
      <c r="C343" s="13">
        <f t="shared" si="2"/>
        <v>1</v>
      </c>
      <c r="D343" s="13">
        <f t="shared" si="3"/>
        <v>0</v>
      </c>
      <c r="O343" s="4"/>
      <c r="P343" s="4"/>
      <c r="Q343" s="4"/>
      <c r="R343" s="4"/>
    </row>
    <row r="344" ht="15.75" customHeight="1">
      <c r="A344" s="13">
        <f>A343+'Energy Balance'!$N$7</f>
        <v>342</v>
      </c>
      <c r="B344" s="18">
        <f t="shared" si="1"/>
        <v>3.614707155</v>
      </c>
      <c r="C344" s="13">
        <f t="shared" si="2"/>
        <v>1</v>
      </c>
      <c r="D344" s="13">
        <f t="shared" si="3"/>
        <v>0</v>
      </c>
      <c r="O344" s="4"/>
      <c r="P344" s="4"/>
      <c r="Q344" s="4"/>
      <c r="R344" s="4"/>
    </row>
    <row r="345" ht="15.75" customHeight="1">
      <c r="A345" s="13">
        <f>A344+'Energy Balance'!$N$7</f>
        <v>343</v>
      </c>
      <c r="B345" s="18">
        <f t="shared" si="1"/>
        <v>3.625276474</v>
      </c>
      <c r="C345" s="13">
        <f t="shared" si="2"/>
        <v>0</v>
      </c>
      <c r="D345" s="13">
        <f t="shared" si="3"/>
        <v>1</v>
      </c>
      <c r="O345" s="4"/>
      <c r="P345" s="4"/>
      <c r="Q345" s="4"/>
      <c r="R345" s="4"/>
    </row>
    <row r="346" ht="15.75" customHeight="1">
      <c r="A346" s="13">
        <f>A345+'Energy Balance'!$N$7</f>
        <v>344</v>
      </c>
      <c r="B346" s="18">
        <f t="shared" si="1"/>
        <v>3.635845793</v>
      </c>
      <c r="C346" s="13">
        <f t="shared" si="2"/>
        <v>0</v>
      </c>
      <c r="D346" s="13">
        <f t="shared" si="3"/>
        <v>1</v>
      </c>
      <c r="O346" s="4"/>
      <c r="P346" s="4"/>
      <c r="Q346" s="4"/>
      <c r="R346" s="4"/>
    </row>
    <row r="347" ht="15.75" customHeight="1">
      <c r="A347" s="13">
        <f>A346+'Energy Balance'!$N$7</f>
        <v>345</v>
      </c>
      <c r="B347" s="18">
        <f t="shared" si="1"/>
        <v>3.646415112</v>
      </c>
      <c r="C347" s="13">
        <f t="shared" si="2"/>
        <v>0</v>
      </c>
      <c r="D347" s="13">
        <f t="shared" si="3"/>
        <v>1</v>
      </c>
      <c r="O347" s="4"/>
      <c r="P347" s="4"/>
      <c r="Q347" s="4"/>
      <c r="R347" s="4"/>
    </row>
    <row r="348" ht="15.75" customHeight="1">
      <c r="A348" s="13">
        <f>A347+'Energy Balance'!$N$7</f>
        <v>346</v>
      </c>
      <c r="B348" s="18">
        <f t="shared" si="1"/>
        <v>3.656984431</v>
      </c>
      <c r="C348" s="13">
        <f t="shared" si="2"/>
        <v>0</v>
      </c>
      <c r="D348" s="13">
        <f t="shared" si="3"/>
        <v>1</v>
      </c>
      <c r="O348" s="4"/>
      <c r="P348" s="4"/>
      <c r="Q348" s="4"/>
      <c r="R348" s="4"/>
    </row>
    <row r="349" ht="15.75" customHeight="1">
      <c r="A349" s="13">
        <f>A348+'Energy Balance'!$N$7</f>
        <v>347</v>
      </c>
      <c r="B349" s="18">
        <f t="shared" si="1"/>
        <v>3.667553751</v>
      </c>
      <c r="C349" s="13">
        <f t="shared" si="2"/>
        <v>0</v>
      </c>
      <c r="D349" s="13">
        <f t="shared" si="3"/>
        <v>1</v>
      </c>
      <c r="O349" s="4"/>
      <c r="P349" s="4"/>
      <c r="Q349" s="4"/>
      <c r="R349" s="4"/>
    </row>
    <row r="350" ht="15.75" customHeight="1">
      <c r="A350" s="13">
        <f>A349+'Energy Balance'!$N$7</f>
        <v>348</v>
      </c>
      <c r="B350" s="18">
        <f t="shared" si="1"/>
        <v>3.67812307</v>
      </c>
      <c r="C350" s="13">
        <f t="shared" si="2"/>
        <v>0</v>
      </c>
      <c r="D350" s="13">
        <f t="shared" si="3"/>
        <v>1</v>
      </c>
      <c r="O350" s="4"/>
      <c r="P350" s="4"/>
      <c r="Q350" s="4"/>
      <c r="R350" s="4"/>
    </row>
    <row r="351" ht="15.75" customHeight="1">
      <c r="A351" s="13">
        <f>A350+'Energy Balance'!$N$7</f>
        <v>349</v>
      </c>
      <c r="B351" s="18">
        <f t="shared" si="1"/>
        <v>3.688692389</v>
      </c>
      <c r="C351" s="13">
        <f t="shared" si="2"/>
        <v>0</v>
      </c>
      <c r="D351" s="13">
        <f t="shared" si="3"/>
        <v>1</v>
      </c>
      <c r="O351" s="4"/>
      <c r="P351" s="4"/>
      <c r="Q351" s="4"/>
      <c r="R351" s="4"/>
    </row>
    <row r="352" ht="15.75" customHeight="1">
      <c r="A352" s="13">
        <f>A351+'Energy Balance'!$N$7</f>
        <v>350</v>
      </c>
      <c r="B352" s="18">
        <f t="shared" si="1"/>
        <v>3.699261708</v>
      </c>
      <c r="C352" s="13">
        <f t="shared" si="2"/>
        <v>0</v>
      </c>
      <c r="D352" s="13">
        <f t="shared" si="3"/>
        <v>1</v>
      </c>
      <c r="O352" s="4"/>
      <c r="P352" s="4"/>
      <c r="Q352" s="4"/>
      <c r="R352" s="4"/>
    </row>
    <row r="353" ht="15.75" customHeight="1">
      <c r="A353" s="13">
        <f>A352+'Energy Balance'!$N$7</f>
        <v>351</v>
      </c>
      <c r="B353" s="18">
        <f t="shared" si="1"/>
        <v>3.709831027</v>
      </c>
      <c r="C353" s="13">
        <f t="shared" si="2"/>
        <v>0</v>
      </c>
      <c r="D353" s="13">
        <f t="shared" si="3"/>
        <v>1</v>
      </c>
      <c r="O353" s="4"/>
      <c r="P353" s="4"/>
      <c r="Q353" s="4"/>
      <c r="R353" s="4"/>
    </row>
    <row r="354" ht="15.75" customHeight="1">
      <c r="A354" s="13">
        <f>A353+'Energy Balance'!$N$7</f>
        <v>352</v>
      </c>
      <c r="B354" s="18">
        <f t="shared" si="1"/>
        <v>3.720400346</v>
      </c>
      <c r="C354" s="13">
        <f t="shared" si="2"/>
        <v>0</v>
      </c>
      <c r="D354" s="13">
        <f t="shared" si="3"/>
        <v>1</v>
      </c>
      <c r="O354" s="4"/>
      <c r="P354" s="4"/>
      <c r="Q354" s="4"/>
      <c r="R354" s="4"/>
    </row>
    <row r="355" ht="15.75" customHeight="1">
      <c r="A355" s="13">
        <f>A354+'Energy Balance'!$N$7</f>
        <v>353</v>
      </c>
      <c r="B355" s="18">
        <f t="shared" si="1"/>
        <v>3.730969666</v>
      </c>
      <c r="C355" s="13">
        <f t="shared" si="2"/>
        <v>0</v>
      </c>
      <c r="D355" s="13">
        <f t="shared" si="3"/>
        <v>1</v>
      </c>
      <c r="O355" s="4"/>
      <c r="P355" s="4"/>
      <c r="Q355" s="4"/>
      <c r="R355" s="4"/>
    </row>
    <row r="356" ht="15.75" customHeight="1">
      <c r="A356" s="13">
        <f>A355+'Energy Balance'!$N$7</f>
        <v>354</v>
      </c>
      <c r="B356" s="18">
        <f t="shared" si="1"/>
        <v>3.741538985</v>
      </c>
      <c r="C356" s="13">
        <f t="shared" si="2"/>
        <v>0</v>
      </c>
      <c r="D356" s="13">
        <f t="shared" si="3"/>
        <v>1</v>
      </c>
      <c r="O356" s="4"/>
      <c r="P356" s="4"/>
      <c r="Q356" s="4"/>
      <c r="R356" s="4"/>
    </row>
    <row r="357" ht="15.75" customHeight="1">
      <c r="A357" s="13">
        <f>A356+'Energy Balance'!$N$7</f>
        <v>355</v>
      </c>
      <c r="B357" s="18">
        <f t="shared" si="1"/>
        <v>3.752108304</v>
      </c>
      <c r="C357" s="13">
        <f t="shared" si="2"/>
        <v>0</v>
      </c>
      <c r="D357" s="13">
        <f t="shared" si="3"/>
        <v>1</v>
      </c>
      <c r="O357" s="4"/>
      <c r="P357" s="4"/>
      <c r="Q357" s="4"/>
      <c r="R357" s="4"/>
    </row>
    <row r="358" ht="15.75" customHeight="1">
      <c r="A358" s="13">
        <f>A357+'Energy Balance'!$N$7</f>
        <v>356</v>
      </c>
      <c r="B358" s="18">
        <f t="shared" si="1"/>
        <v>3.762677623</v>
      </c>
      <c r="C358" s="13">
        <f t="shared" si="2"/>
        <v>0</v>
      </c>
      <c r="D358" s="13">
        <f t="shared" si="3"/>
        <v>1</v>
      </c>
      <c r="O358" s="4"/>
      <c r="P358" s="4"/>
      <c r="Q358" s="4"/>
      <c r="R358" s="4"/>
    </row>
    <row r="359" ht="15.75" customHeight="1">
      <c r="A359" s="13">
        <f>A358+'Energy Balance'!$N$7</f>
        <v>357</v>
      </c>
      <c r="B359" s="18">
        <f t="shared" si="1"/>
        <v>3.773246942</v>
      </c>
      <c r="C359" s="13">
        <f t="shared" si="2"/>
        <v>0</v>
      </c>
      <c r="D359" s="13">
        <f t="shared" si="3"/>
        <v>1</v>
      </c>
      <c r="O359" s="4"/>
      <c r="P359" s="4"/>
      <c r="Q359" s="4"/>
      <c r="R359" s="4"/>
    </row>
    <row r="360" ht="15.75" customHeight="1">
      <c r="A360" s="13">
        <f>A359+'Energy Balance'!$N$7</f>
        <v>358</v>
      </c>
      <c r="B360" s="18">
        <f t="shared" si="1"/>
        <v>3.783816261</v>
      </c>
      <c r="C360" s="13">
        <f t="shared" si="2"/>
        <v>0</v>
      </c>
      <c r="D360" s="13">
        <f t="shared" si="3"/>
        <v>1</v>
      </c>
      <c r="O360" s="4"/>
      <c r="P360" s="4"/>
      <c r="Q360" s="4"/>
      <c r="R360" s="4"/>
    </row>
    <row r="361" ht="15.75" customHeight="1">
      <c r="A361" s="13">
        <f>A360+'Energy Balance'!$N$7</f>
        <v>359</v>
      </c>
      <c r="B361" s="18">
        <f t="shared" si="1"/>
        <v>3.794385581</v>
      </c>
      <c r="C361" s="13">
        <f t="shared" si="2"/>
        <v>0</v>
      </c>
      <c r="D361" s="13">
        <f t="shared" si="3"/>
        <v>1</v>
      </c>
      <c r="O361" s="4"/>
      <c r="P361" s="4"/>
      <c r="Q361" s="4"/>
      <c r="R361" s="4"/>
    </row>
    <row r="362" ht="15.75" customHeight="1">
      <c r="A362" s="13">
        <f>A361+'Energy Balance'!$N$7</f>
        <v>360</v>
      </c>
      <c r="B362" s="18">
        <f t="shared" si="1"/>
        <v>3.8049549</v>
      </c>
      <c r="C362" s="13">
        <f t="shared" si="2"/>
        <v>0</v>
      </c>
      <c r="D362" s="13">
        <f t="shared" si="3"/>
        <v>1</v>
      </c>
      <c r="O362" s="4"/>
      <c r="P362" s="4"/>
      <c r="Q362" s="4"/>
      <c r="R362" s="4"/>
    </row>
    <row r="363" ht="15.75" customHeight="1">
      <c r="A363" s="13">
        <f>A362+'Energy Balance'!$N$7</f>
        <v>361</v>
      </c>
      <c r="B363" s="18">
        <f t="shared" si="1"/>
        <v>3.815524219</v>
      </c>
      <c r="C363" s="13">
        <f t="shared" si="2"/>
        <v>0</v>
      </c>
      <c r="D363" s="13">
        <f t="shared" si="3"/>
        <v>1</v>
      </c>
      <c r="O363" s="4"/>
      <c r="P363" s="4"/>
      <c r="Q363" s="4"/>
      <c r="R363" s="4"/>
    </row>
    <row r="364" ht="15.75" customHeight="1">
      <c r="A364" s="13">
        <f>A363+'Energy Balance'!$N$7</f>
        <v>362</v>
      </c>
      <c r="B364" s="18">
        <f t="shared" si="1"/>
        <v>3.826093538</v>
      </c>
      <c r="C364" s="13">
        <f t="shared" si="2"/>
        <v>0</v>
      </c>
      <c r="D364" s="13">
        <f t="shared" si="3"/>
        <v>1</v>
      </c>
      <c r="O364" s="4"/>
      <c r="P364" s="4"/>
      <c r="Q364" s="4"/>
      <c r="R364" s="4"/>
    </row>
    <row r="365" ht="15.75" customHeight="1">
      <c r="A365" s="13">
        <f>A364+'Energy Balance'!$N$7</f>
        <v>363</v>
      </c>
      <c r="B365" s="18">
        <f t="shared" si="1"/>
        <v>3.836662857</v>
      </c>
      <c r="C365" s="13">
        <f t="shared" si="2"/>
        <v>0</v>
      </c>
      <c r="D365" s="13">
        <f t="shared" si="3"/>
        <v>1</v>
      </c>
      <c r="O365" s="4"/>
      <c r="P365" s="4"/>
      <c r="Q365" s="4"/>
      <c r="R365" s="4"/>
    </row>
    <row r="366" ht="15.75" customHeight="1">
      <c r="A366" s="13">
        <f>A365+'Energy Balance'!$N$7</f>
        <v>364</v>
      </c>
      <c r="B366" s="18">
        <f t="shared" si="1"/>
        <v>3.847232176</v>
      </c>
      <c r="C366" s="13">
        <f t="shared" si="2"/>
        <v>0</v>
      </c>
      <c r="D366" s="13">
        <f t="shared" si="3"/>
        <v>1</v>
      </c>
      <c r="O366" s="4"/>
      <c r="P366" s="4"/>
      <c r="Q366" s="4"/>
      <c r="R366" s="4"/>
    </row>
    <row r="367" ht="15.75" customHeight="1">
      <c r="A367" s="13">
        <f>A366+'Energy Balance'!$N$7</f>
        <v>365</v>
      </c>
      <c r="B367" s="18">
        <f t="shared" si="1"/>
        <v>3.857801496</v>
      </c>
      <c r="C367" s="13">
        <f t="shared" si="2"/>
        <v>0</v>
      </c>
      <c r="D367" s="13">
        <f t="shared" si="3"/>
        <v>1</v>
      </c>
      <c r="O367" s="4"/>
      <c r="P367" s="4"/>
      <c r="Q367" s="4"/>
      <c r="R367" s="4"/>
    </row>
    <row r="368" ht="15.75" customHeight="1">
      <c r="A368" s="13">
        <f>A367+'Energy Balance'!$N$7</f>
        <v>366</v>
      </c>
      <c r="B368" s="18">
        <f t="shared" si="1"/>
        <v>3.868370815</v>
      </c>
      <c r="C368" s="13">
        <f t="shared" si="2"/>
        <v>0</v>
      </c>
      <c r="D368" s="13">
        <f t="shared" si="3"/>
        <v>1</v>
      </c>
      <c r="O368" s="4"/>
      <c r="P368" s="4"/>
      <c r="Q368" s="4"/>
      <c r="R368" s="4"/>
    </row>
    <row r="369" ht="15.75" customHeight="1">
      <c r="A369" s="13">
        <f>A368+'Energy Balance'!$N$7</f>
        <v>367</v>
      </c>
      <c r="B369" s="18">
        <f t="shared" si="1"/>
        <v>3.878940134</v>
      </c>
      <c r="C369" s="13">
        <f t="shared" si="2"/>
        <v>0</v>
      </c>
      <c r="D369" s="13">
        <f t="shared" si="3"/>
        <v>1</v>
      </c>
      <c r="O369" s="4"/>
      <c r="P369" s="4"/>
      <c r="Q369" s="4"/>
      <c r="R369" s="4"/>
    </row>
    <row r="370" ht="15.75" customHeight="1">
      <c r="A370" s="13">
        <f>A369+'Energy Balance'!$N$7</f>
        <v>368</v>
      </c>
      <c r="B370" s="18">
        <f t="shared" si="1"/>
        <v>3.889509453</v>
      </c>
      <c r="C370" s="13">
        <f t="shared" si="2"/>
        <v>0</v>
      </c>
      <c r="D370" s="13">
        <f t="shared" si="3"/>
        <v>1</v>
      </c>
      <c r="O370" s="4"/>
      <c r="P370" s="4"/>
      <c r="Q370" s="4"/>
      <c r="R370" s="4"/>
    </row>
    <row r="371" ht="15.75" customHeight="1">
      <c r="A371" s="13">
        <f>A370+'Energy Balance'!$N$7</f>
        <v>369</v>
      </c>
      <c r="B371" s="18">
        <f t="shared" si="1"/>
        <v>3.900078772</v>
      </c>
      <c r="C371" s="13">
        <f t="shared" si="2"/>
        <v>0</v>
      </c>
      <c r="D371" s="13">
        <f t="shared" si="3"/>
        <v>1</v>
      </c>
      <c r="O371" s="4"/>
      <c r="P371" s="4"/>
      <c r="Q371" s="4"/>
      <c r="R371" s="4"/>
    </row>
    <row r="372" ht="15.75" customHeight="1">
      <c r="A372" s="13">
        <f>A371+'Energy Balance'!$N$7</f>
        <v>370</v>
      </c>
      <c r="B372" s="18">
        <f t="shared" si="1"/>
        <v>3.910648091</v>
      </c>
      <c r="C372" s="13">
        <f t="shared" si="2"/>
        <v>0</v>
      </c>
      <c r="D372" s="13">
        <f t="shared" si="3"/>
        <v>1</v>
      </c>
      <c r="O372" s="4"/>
      <c r="P372" s="4"/>
      <c r="Q372" s="4"/>
      <c r="R372" s="4"/>
    </row>
    <row r="373" ht="15.75" customHeight="1">
      <c r="A373" s="13">
        <f>A372+'Energy Balance'!$N$7</f>
        <v>371</v>
      </c>
      <c r="B373" s="18">
        <f t="shared" si="1"/>
        <v>3.921217411</v>
      </c>
      <c r="C373" s="13">
        <f t="shared" si="2"/>
        <v>0</v>
      </c>
      <c r="D373" s="13">
        <f t="shared" si="3"/>
        <v>1</v>
      </c>
      <c r="O373" s="4"/>
      <c r="P373" s="4"/>
      <c r="Q373" s="4"/>
      <c r="R373" s="4"/>
    </row>
    <row r="374" ht="15.75" customHeight="1">
      <c r="A374" s="13">
        <f>A373+'Energy Balance'!$N$7</f>
        <v>372</v>
      </c>
      <c r="B374" s="18">
        <f t="shared" si="1"/>
        <v>3.93178673</v>
      </c>
      <c r="C374" s="13">
        <f t="shared" si="2"/>
        <v>0</v>
      </c>
      <c r="D374" s="13">
        <f t="shared" si="3"/>
        <v>1</v>
      </c>
      <c r="O374" s="4"/>
      <c r="P374" s="4"/>
      <c r="Q374" s="4"/>
      <c r="R374" s="4"/>
    </row>
    <row r="375" ht="15.75" customHeight="1">
      <c r="A375" s="13">
        <f>A374+'Energy Balance'!$N$7</f>
        <v>373</v>
      </c>
      <c r="B375" s="18">
        <f t="shared" si="1"/>
        <v>3.942356049</v>
      </c>
      <c r="C375" s="13">
        <f t="shared" si="2"/>
        <v>0</v>
      </c>
      <c r="D375" s="13">
        <f t="shared" si="3"/>
        <v>1</v>
      </c>
      <c r="O375" s="4"/>
      <c r="P375" s="4"/>
      <c r="Q375" s="4"/>
      <c r="R375" s="4"/>
    </row>
    <row r="376" ht="15.75" customHeight="1">
      <c r="A376" s="13">
        <f>A375+'Energy Balance'!$N$7</f>
        <v>374</v>
      </c>
      <c r="B376" s="18">
        <f t="shared" si="1"/>
        <v>3.952925368</v>
      </c>
      <c r="C376" s="13">
        <f t="shared" si="2"/>
        <v>0</v>
      </c>
      <c r="D376" s="13">
        <f t="shared" si="3"/>
        <v>1</v>
      </c>
      <c r="O376" s="4"/>
      <c r="P376" s="4"/>
      <c r="Q376" s="4"/>
      <c r="R376" s="4"/>
    </row>
    <row r="377" ht="15.75" customHeight="1">
      <c r="A377" s="13">
        <f>A376+'Energy Balance'!$N$7</f>
        <v>375</v>
      </c>
      <c r="B377" s="18">
        <f t="shared" si="1"/>
        <v>3.963494687</v>
      </c>
      <c r="C377" s="13">
        <f t="shared" si="2"/>
        <v>0</v>
      </c>
      <c r="D377" s="13">
        <f t="shared" si="3"/>
        <v>1</v>
      </c>
      <c r="O377" s="4"/>
      <c r="P377" s="4"/>
      <c r="Q377" s="4"/>
      <c r="R377" s="4"/>
    </row>
    <row r="378" ht="15.75" customHeight="1">
      <c r="A378" s="13">
        <f>A377+'Energy Balance'!$N$7</f>
        <v>376</v>
      </c>
      <c r="B378" s="18">
        <f t="shared" si="1"/>
        <v>3.974064006</v>
      </c>
      <c r="C378" s="13">
        <f t="shared" si="2"/>
        <v>0</v>
      </c>
      <c r="D378" s="13">
        <f t="shared" si="3"/>
        <v>1</v>
      </c>
      <c r="O378" s="4"/>
      <c r="P378" s="4"/>
      <c r="Q378" s="4"/>
      <c r="R378" s="4"/>
    </row>
    <row r="379" ht="15.75" customHeight="1">
      <c r="A379" s="13">
        <f>A378+'Energy Balance'!$N$7</f>
        <v>377</v>
      </c>
      <c r="B379" s="18">
        <f t="shared" si="1"/>
        <v>3.984633326</v>
      </c>
      <c r="C379" s="13">
        <f t="shared" si="2"/>
        <v>0</v>
      </c>
      <c r="D379" s="13">
        <f t="shared" si="3"/>
        <v>1</v>
      </c>
      <c r="O379" s="4"/>
      <c r="P379" s="4"/>
      <c r="Q379" s="4"/>
      <c r="R379" s="4"/>
    </row>
    <row r="380" ht="15.75" customHeight="1">
      <c r="A380" s="13">
        <f>A379+'Energy Balance'!$N$7</f>
        <v>378</v>
      </c>
      <c r="B380" s="18">
        <f t="shared" si="1"/>
        <v>3.995202645</v>
      </c>
      <c r="C380" s="13">
        <f t="shared" si="2"/>
        <v>0</v>
      </c>
      <c r="D380" s="13">
        <f t="shared" si="3"/>
        <v>1</v>
      </c>
      <c r="O380" s="4"/>
      <c r="P380" s="4"/>
      <c r="Q380" s="4"/>
      <c r="R380" s="4"/>
    </row>
    <row r="381" ht="15.75" customHeight="1">
      <c r="A381" s="13">
        <f>A380+'Energy Balance'!$N$7</f>
        <v>379</v>
      </c>
      <c r="B381" s="18">
        <f t="shared" si="1"/>
        <v>4.005771964</v>
      </c>
      <c r="C381" s="13">
        <f t="shared" si="2"/>
        <v>1</v>
      </c>
      <c r="D381" s="13">
        <f t="shared" si="3"/>
        <v>0</v>
      </c>
      <c r="O381" s="4"/>
      <c r="P381" s="4"/>
      <c r="Q381" s="4"/>
      <c r="R381" s="4"/>
    </row>
    <row r="382" ht="15.75" customHeight="1">
      <c r="A382" s="13">
        <f>A381+'Energy Balance'!$N$7</f>
        <v>380</v>
      </c>
      <c r="B382" s="18">
        <f t="shared" si="1"/>
        <v>4.016341283</v>
      </c>
      <c r="C382" s="13">
        <f t="shared" si="2"/>
        <v>1</v>
      </c>
      <c r="D382" s="13">
        <f t="shared" si="3"/>
        <v>0</v>
      </c>
      <c r="O382" s="4"/>
      <c r="P382" s="4"/>
      <c r="Q382" s="4"/>
      <c r="R382" s="4"/>
    </row>
    <row r="383" ht="15.75" customHeight="1">
      <c r="A383" s="13">
        <f>A382+'Energy Balance'!$N$7</f>
        <v>381</v>
      </c>
      <c r="B383" s="18">
        <f t="shared" si="1"/>
        <v>4.026910602</v>
      </c>
      <c r="C383" s="13">
        <f t="shared" si="2"/>
        <v>1</v>
      </c>
      <c r="D383" s="13">
        <f t="shared" si="3"/>
        <v>0</v>
      </c>
      <c r="O383" s="4"/>
      <c r="P383" s="4"/>
      <c r="Q383" s="4"/>
      <c r="R383" s="4"/>
    </row>
    <row r="384" ht="15.75" customHeight="1">
      <c r="A384" s="13">
        <f>A383+'Energy Balance'!$N$7</f>
        <v>382</v>
      </c>
      <c r="B384" s="18">
        <f t="shared" si="1"/>
        <v>4.037479921</v>
      </c>
      <c r="C384" s="13">
        <f t="shared" si="2"/>
        <v>1</v>
      </c>
      <c r="D384" s="13">
        <f t="shared" si="3"/>
        <v>0</v>
      </c>
      <c r="O384" s="4"/>
      <c r="P384" s="4"/>
      <c r="Q384" s="4"/>
      <c r="R384" s="4"/>
    </row>
    <row r="385" ht="15.75" customHeight="1">
      <c r="A385" s="13">
        <f>A384+'Energy Balance'!$N$7</f>
        <v>383</v>
      </c>
      <c r="B385" s="18">
        <f t="shared" si="1"/>
        <v>4.048049241</v>
      </c>
      <c r="C385" s="13">
        <f t="shared" si="2"/>
        <v>1</v>
      </c>
      <c r="D385" s="13">
        <f t="shared" si="3"/>
        <v>0</v>
      </c>
      <c r="O385" s="4"/>
      <c r="P385" s="4"/>
      <c r="Q385" s="4"/>
      <c r="R385" s="4"/>
    </row>
    <row r="386" ht="15.75" customHeight="1">
      <c r="A386" s="13">
        <f>A385+'Energy Balance'!$N$7</f>
        <v>384</v>
      </c>
      <c r="B386" s="18">
        <f t="shared" si="1"/>
        <v>4.05861856</v>
      </c>
      <c r="C386" s="13">
        <f t="shared" si="2"/>
        <v>1</v>
      </c>
      <c r="D386" s="13">
        <f t="shared" si="3"/>
        <v>0</v>
      </c>
      <c r="O386" s="4"/>
      <c r="P386" s="4"/>
      <c r="Q386" s="4"/>
      <c r="R386" s="4"/>
    </row>
    <row r="387" ht="15.75" customHeight="1">
      <c r="A387" s="13">
        <f>A386+'Energy Balance'!$N$7</f>
        <v>385</v>
      </c>
      <c r="B387" s="18">
        <f t="shared" si="1"/>
        <v>4.069187879</v>
      </c>
      <c r="C387" s="13">
        <f t="shared" si="2"/>
        <v>1</v>
      </c>
      <c r="D387" s="13">
        <f t="shared" si="3"/>
        <v>0</v>
      </c>
      <c r="O387" s="4"/>
      <c r="P387" s="4"/>
      <c r="Q387" s="4"/>
      <c r="R387" s="4"/>
    </row>
    <row r="388" ht="15.75" customHeight="1">
      <c r="A388" s="13">
        <f>A387+'Energy Balance'!$N$7</f>
        <v>386</v>
      </c>
      <c r="B388" s="18">
        <f t="shared" si="1"/>
        <v>4.079757198</v>
      </c>
      <c r="C388" s="13">
        <f t="shared" si="2"/>
        <v>1</v>
      </c>
      <c r="D388" s="13">
        <f t="shared" si="3"/>
        <v>0</v>
      </c>
      <c r="O388" s="4"/>
      <c r="P388" s="4"/>
      <c r="Q388" s="4"/>
      <c r="R388" s="4"/>
    </row>
    <row r="389" ht="15.75" customHeight="1">
      <c r="A389" s="13">
        <f>A388+'Energy Balance'!$N$7</f>
        <v>387</v>
      </c>
      <c r="B389" s="18">
        <f t="shared" si="1"/>
        <v>4.090326517</v>
      </c>
      <c r="C389" s="13">
        <f t="shared" si="2"/>
        <v>1</v>
      </c>
      <c r="D389" s="13">
        <f t="shared" si="3"/>
        <v>0</v>
      </c>
      <c r="O389" s="4"/>
      <c r="P389" s="4"/>
      <c r="Q389" s="4"/>
      <c r="R389" s="4"/>
    </row>
    <row r="390" ht="15.75" customHeight="1">
      <c r="A390" s="13">
        <f>A389+'Energy Balance'!$N$7</f>
        <v>388</v>
      </c>
      <c r="B390" s="18">
        <f t="shared" si="1"/>
        <v>4.100895836</v>
      </c>
      <c r="C390" s="13">
        <f t="shared" si="2"/>
        <v>1</v>
      </c>
      <c r="D390" s="13">
        <f t="shared" si="3"/>
        <v>0</v>
      </c>
      <c r="O390" s="4"/>
      <c r="P390" s="4"/>
      <c r="Q390" s="4"/>
      <c r="R390" s="4"/>
    </row>
    <row r="391" ht="15.75" customHeight="1">
      <c r="A391" s="13">
        <f>A390+'Energy Balance'!$N$7</f>
        <v>389</v>
      </c>
      <c r="B391" s="18">
        <f t="shared" si="1"/>
        <v>4.111465156</v>
      </c>
      <c r="C391" s="13">
        <f t="shared" si="2"/>
        <v>1</v>
      </c>
      <c r="D391" s="13">
        <f t="shared" si="3"/>
        <v>0</v>
      </c>
      <c r="O391" s="4"/>
      <c r="P391" s="4"/>
      <c r="Q391" s="4"/>
      <c r="R391" s="4"/>
    </row>
    <row r="392" ht="15.75" customHeight="1">
      <c r="A392" s="13">
        <f>A391+'Energy Balance'!$N$7</f>
        <v>390</v>
      </c>
      <c r="B392" s="18">
        <f t="shared" si="1"/>
        <v>4.122034475</v>
      </c>
      <c r="C392" s="13">
        <f t="shared" si="2"/>
        <v>1</v>
      </c>
      <c r="D392" s="13">
        <f t="shared" si="3"/>
        <v>0</v>
      </c>
      <c r="O392" s="4"/>
      <c r="P392" s="4"/>
      <c r="Q392" s="4"/>
      <c r="R392" s="4"/>
    </row>
    <row r="393" ht="15.75" customHeight="1">
      <c r="A393" s="13">
        <f>A392+'Energy Balance'!$N$7</f>
        <v>391</v>
      </c>
      <c r="B393" s="18">
        <f t="shared" si="1"/>
        <v>4.132603794</v>
      </c>
      <c r="C393" s="13">
        <f t="shared" si="2"/>
        <v>1</v>
      </c>
      <c r="D393" s="13">
        <f t="shared" si="3"/>
        <v>0</v>
      </c>
      <c r="O393" s="4"/>
      <c r="P393" s="4"/>
      <c r="Q393" s="4"/>
      <c r="R393" s="4"/>
    </row>
    <row r="394" ht="15.75" customHeight="1">
      <c r="A394" s="13">
        <f>A393+'Energy Balance'!$N$7</f>
        <v>392</v>
      </c>
      <c r="B394" s="18">
        <f t="shared" si="1"/>
        <v>4.143173113</v>
      </c>
      <c r="C394" s="13">
        <f t="shared" si="2"/>
        <v>1</v>
      </c>
      <c r="D394" s="13">
        <f t="shared" si="3"/>
        <v>0</v>
      </c>
      <c r="O394" s="4"/>
      <c r="P394" s="4"/>
      <c r="Q394" s="4"/>
      <c r="R394" s="4"/>
    </row>
    <row r="395" ht="15.75" customHeight="1">
      <c r="A395" s="13">
        <f>A394+'Energy Balance'!$N$7</f>
        <v>393</v>
      </c>
      <c r="B395" s="18">
        <f t="shared" si="1"/>
        <v>4.153742432</v>
      </c>
      <c r="C395" s="13">
        <f t="shared" si="2"/>
        <v>1</v>
      </c>
      <c r="D395" s="13">
        <f t="shared" si="3"/>
        <v>0</v>
      </c>
      <c r="O395" s="4"/>
      <c r="P395" s="4"/>
      <c r="Q395" s="4"/>
      <c r="R395" s="4"/>
    </row>
    <row r="396" ht="15.75" customHeight="1">
      <c r="A396" s="13">
        <f>A395+'Energy Balance'!$N$7</f>
        <v>394</v>
      </c>
      <c r="B396" s="18">
        <f t="shared" si="1"/>
        <v>4.164311751</v>
      </c>
      <c r="C396" s="13">
        <f t="shared" si="2"/>
        <v>1</v>
      </c>
      <c r="D396" s="13">
        <f t="shared" si="3"/>
        <v>0</v>
      </c>
      <c r="O396" s="4"/>
      <c r="P396" s="4"/>
      <c r="Q396" s="4"/>
      <c r="R396" s="4"/>
    </row>
    <row r="397" ht="15.75" customHeight="1">
      <c r="A397" s="13">
        <f>A396+'Energy Balance'!$N$7</f>
        <v>395</v>
      </c>
      <c r="B397" s="18">
        <f t="shared" si="1"/>
        <v>4.174881071</v>
      </c>
      <c r="C397" s="13">
        <f t="shared" si="2"/>
        <v>1</v>
      </c>
      <c r="D397" s="13">
        <f t="shared" si="3"/>
        <v>0</v>
      </c>
      <c r="O397" s="4"/>
      <c r="P397" s="4"/>
      <c r="Q397" s="4"/>
      <c r="R397" s="4"/>
    </row>
    <row r="398" ht="15.75" customHeight="1">
      <c r="A398" s="13">
        <f>A397+'Energy Balance'!$N$7</f>
        <v>396</v>
      </c>
      <c r="B398" s="18">
        <f t="shared" si="1"/>
        <v>4.18545039</v>
      </c>
      <c r="C398" s="13">
        <f t="shared" si="2"/>
        <v>1</v>
      </c>
      <c r="D398" s="13">
        <f t="shared" si="3"/>
        <v>0</v>
      </c>
      <c r="O398" s="4"/>
      <c r="P398" s="4"/>
      <c r="Q398" s="4"/>
      <c r="R398" s="4"/>
    </row>
    <row r="399" ht="15.75" customHeight="1">
      <c r="A399" s="13">
        <f>A398+'Energy Balance'!$N$7</f>
        <v>397</v>
      </c>
      <c r="B399" s="18">
        <f t="shared" si="1"/>
        <v>4.196019709</v>
      </c>
      <c r="C399" s="13">
        <f t="shared" si="2"/>
        <v>1</v>
      </c>
      <c r="D399" s="13">
        <f t="shared" si="3"/>
        <v>0</v>
      </c>
      <c r="O399" s="4"/>
      <c r="P399" s="4"/>
      <c r="Q399" s="4"/>
      <c r="R399" s="4"/>
    </row>
    <row r="400" ht="15.75" customHeight="1">
      <c r="A400" s="13">
        <f>A399+'Energy Balance'!$N$7</f>
        <v>398</v>
      </c>
      <c r="B400" s="18">
        <f t="shared" si="1"/>
        <v>4.206589028</v>
      </c>
      <c r="C400" s="13">
        <f t="shared" si="2"/>
        <v>1</v>
      </c>
      <c r="D400" s="13">
        <f t="shared" si="3"/>
        <v>0</v>
      </c>
      <c r="O400" s="4"/>
      <c r="P400" s="4"/>
      <c r="Q400" s="4"/>
      <c r="R400" s="4"/>
    </row>
    <row r="401" ht="15.75" customHeight="1">
      <c r="A401" s="13">
        <f>A400+'Energy Balance'!$N$7</f>
        <v>399</v>
      </c>
      <c r="B401" s="18">
        <f t="shared" si="1"/>
        <v>4.217158347</v>
      </c>
      <c r="C401" s="13">
        <f t="shared" si="2"/>
        <v>1</v>
      </c>
      <c r="D401" s="13">
        <f t="shared" si="3"/>
        <v>0</v>
      </c>
      <c r="O401" s="4"/>
      <c r="P401" s="4"/>
      <c r="Q401" s="4"/>
      <c r="R401" s="4"/>
    </row>
    <row r="402" ht="15.75" customHeight="1">
      <c r="A402" s="13">
        <f>A401+'Energy Balance'!$N$7</f>
        <v>400</v>
      </c>
      <c r="B402" s="18">
        <f t="shared" si="1"/>
        <v>4.227727666</v>
      </c>
      <c r="C402" s="13">
        <f t="shared" si="2"/>
        <v>1</v>
      </c>
      <c r="D402" s="13">
        <f t="shared" si="3"/>
        <v>0</v>
      </c>
      <c r="O402" s="4"/>
      <c r="P402" s="4"/>
      <c r="Q402" s="4"/>
      <c r="R402" s="4"/>
    </row>
    <row r="403" ht="15.75" customHeight="1">
      <c r="A403" s="13">
        <f>A402+'Energy Balance'!$N$7</f>
        <v>401</v>
      </c>
      <c r="B403" s="18">
        <f t="shared" si="1"/>
        <v>4.238296986</v>
      </c>
      <c r="C403" s="13">
        <f t="shared" si="2"/>
        <v>1</v>
      </c>
      <c r="D403" s="13">
        <f t="shared" si="3"/>
        <v>0</v>
      </c>
      <c r="O403" s="4"/>
      <c r="P403" s="4"/>
      <c r="Q403" s="4"/>
      <c r="R403" s="4"/>
    </row>
    <row r="404" ht="15.75" customHeight="1">
      <c r="A404" s="13">
        <f>A403+'Energy Balance'!$N$7</f>
        <v>402</v>
      </c>
      <c r="B404" s="18">
        <f t="shared" si="1"/>
        <v>4.248866305</v>
      </c>
      <c r="C404" s="13">
        <f t="shared" si="2"/>
        <v>1</v>
      </c>
      <c r="D404" s="13">
        <f t="shared" si="3"/>
        <v>0</v>
      </c>
      <c r="O404" s="4"/>
      <c r="P404" s="4"/>
      <c r="Q404" s="4"/>
      <c r="R404" s="4"/>
    </row>
    <row r="405" ht="15.75" customHeight="1">
      <c r="A405" s="13">
        <f>A404+'Energy Balance'!$N$7</f>
        <v>403</v>
      </c>
      <c r="B405" s="18">
        <f t="shared" si="1"/>
        <v>4.259435624</v>
      </c>
      <c r="C405" s="13">
        <f t="shared" si="2"/>
        <v>1</v>
      </c>
      <c r="D405" s="13">
        <f t="shared" si="3"/>
        <v>0</v>
      </c>
      <c r="O405" s="4"/>
      <c r="P405" s="4"/>
      <c r="Q405" s="4"/>
      <c r="R405" s="4"/>
    </row>
    <row r="406" ht="15.75" customHeight="1">
      <c r="A406" s="13">
        <f>A405+'Energy Balance'!$N$7</f>
        <v>404</v>
      </c>
      <c r="B406" s="18">
        <f t="shared" si="1"/>
        <v>4.270004943</v>
      </c>
      <c r="C406" s="13">
        <f t="shared" si="2"/>
        <v>1</v>
      </c>
      <c r="D406" s="13">
        <f t="shared" si="3"/>
        <v>0</v>
      </c>
      <c r="O406" s="4"/>
      <c r="P406" s="4"/>
      <c r="Q406" s="4"/>
      <c r="R406" s="4"/>
    </row>
    <row r="407" ht="15.75" customHeight="1">
      <c r="A407" s="13">
        <f>A406+'Energy Balance'!$N$7</f>
        <v>405</v>
      </c>
      <c r="B407" s="18">
        <f t="shared" si="1"/>
        <v>4.280574262</v>
      </c>
      <c r="C407" s="13">
        <f t="shared" si="2"/>
        <v>1</v>
      </c>
      <c r="D407" s="13">
        <f t="shared" si="3"/>
        <v>0</v>
      </c>
      <c r="O407" s="4"/>
      <c r="P407" s="4"/>
      <c r="Q407" s="4"/>
      <c r="R407" s="4"/>
    </row>
    <row r="408" ht="15.75" customHeight="1">
      <c r="A408" s="13">
        <f>A407+'Energy Balance'!$N$7</f>
        <v>406</v>
      </c>
      <c r="B408" s="18">
        <f t="shared" si="1"/>
        <v>4.291143581</v>
      </c>
      <c r="C408" s="13">
        <f t="shared" si="2"/>
        <v>1</v>
      </c>
      <c r="D408" s="13">
        <f t="shared" si="3"/>
        <v>0</v>
      </c>
      <c r="O408" s="4"/>
      <c r="P408" s="4"/>
      <c r="Q408" s="4"/>
      <c r="R408" s="4"/>
    </row>
    <row r="409" ht="15.75" customHeight="1">
      <c r="A409" s="13">
        <f>A408+'Energy Balance'!$N$7</f>
        <v>407</v>
      </c>
      <c r="B409" s="18">
        <f t="shared" si="1"/>
        <v>4.301712901</v>
      </c>
      <c r="C409" s="13">
        <f t="shared" si="2"/>
        <v>1</v>
      </c>
      <c r="D409" s="13">
        <f t="shared" si="3"/>
        <v>0</v>
      </c>
      <c r="O409" s="4"/>
      <c r="P409" s="4"/>
      <c r="Q409" s="4"/>
      <c r="R409" s="4"/>
    </row>
    <row r="410" ht="15.75" customHeight="1">
      <c r="A410" s="13">
        <f>A409+'Energy Balance'!$N$7</f>
        <v>408</v>
      </c>
      <c r="B410" s="18">
        <f t="shared" si="1"/>
        <v>4.31228222</v>
      </c>
      <c r="C410" s="13">
        <f t="shared" si="2"/>
        <v>1</v>
      </c>
      <c r="D410" s="13">
        <f t="shared" si="3"/>
        <v>0</v>
      </c>
      <c r="O410" s="4"/>
      <c r="P410" s="4"/>
      <c r="Q410" s="4"/>
      <c r="R410" s="4"/>
    </row>
    <row r="411" ht="15.75" customHeight="1">
      <c r="A411" s="13">
        <f>A410+'Energy Balance'!$N$7</f>
        <v>409</v>
      </c>
      <c r="B411" s="18">
        <f t="shared" si="1"/>
        <v>4.322851539</v>
      </c>
      <c r="C411" s="13">
        <f t="shared" si="2"/>
        <v>1</v>
      </c>
      <c r="D411" s="13">
        <f t="shared" si="3"/>
        <v>0</v>
      </c>
      <c r="O411" s="4"/>
      <c r="P411" s="4"/>
      <c r="Q411" s="4"/>
      <c r="R411" s="4"/>
    </row>
    <row r="412" ht="15.75" customHeight="1">
      <c r="A412" s="13">
        <f>A411+'Energy Balance'!$N$7</f>
        <v>410</v>
      </c>
      <c r="B412" s="18">
        <f t="shared" si="1"/>
        <v>4.333420858</v>
      </c>
      <c r="C412" s="13">
        <f t="shared" si="2"/>
        <v>1</v>
      </c>
      <c r="D412" s="13">
        <f t="shared" si="3"/>
        <v>0</v>
      </c>
      <c r="O412" s="4"/>
      <c r="P412" s="4"/>
      <c r="Q412" s="4"/>
      <c r="R412" s="4"/>
    </row>
    <row r="413" ht="15.75" customHeight="1">
      <c r="A413" s="13">
        <f>A412+'Energy Balance'!$N$7</f>
        <v>411</v>
      </c>
      <c r="B413" s="18">
        <f t="shared" si="1"/>
        <v>4.343990177</v>
      </c>
      <c r="C413" s="13">
        <f t="shared" si="2"/>
        <v>1</v>
      </c>
      <c r="D413" s="13">
        <f t="shared" si="3"/>
        <v>0</v>
      </c>
      <c r="O413" s="4"/>
      <c r="P413" s="4"/>
      <c r="Q413" s="4"/>
      <c r="R413" s="4"/>
    </row>
    <row r="414" ht="15.75" customHeight="1">
      <c r="A414" s="13">
        <f>A413+'Energy Balance'!$N$7</f>
        <v>412</v>
      </c>
      <c r="B414" s="18">
        <f t="shared" si="1"/>
        <v>4.354559496</v>
      </c>
      <c r="C414" s="13">
        <f t="shared" si="2"/>
        <v>1</v>
      </c>
      <c r="D414" s="13">
        <f t="shared" si="3"/>
        <v>0</v>
      </c>
      <c r="O414" s="4"/>
      <c r="P414" s="4"/>
      <c r="Q414" s="4"/>
      <c r="R414" s="4"/>
    </row>
    <row r="415" ht="15.75" customHeight="1">
      <c r="A415" s="13">
        <f>A414+'Energy Balance'!$N$7</f>
        <v>413</v>
      </c>
      <c r="B415" s="18">
        <f t="shared" si="1"/>
        <v>4.365128816</v>
      </c>
      <c r="C415" s="13">
        <f t="shared" si="2"/>
        <v>1</v>
      </c>
      <c r="D415" s="13">
        <f t="shared" si="3"/>
        <v>0</v>
      </c>
      <c r="O415" s="4"/>
      <c r="P415" s="4"/>
      <c r="Q415" s="4"/>
      <c r="R415" s="4"/>
    </row>
    <row r="416" ht="15.75" customHeight="1">
      <c r="A416" s="13">
        <f>A415+'Energy Balance'!$N$7</f>
        <v>414</v>
      </c>
      <c r="B416" s="18">
        <f t="shared" si="1"/>
        <v>4.375698135</v>
      </c>
      <c r="C416" s="13">
        <f t="shared" si="2"/>
        <v>1</v>
      </c>
      <c r="D416" s="13">
        <f t="shared" si="3"/>
        <v>0</v>
      </c>
      <c r="O416" s="4"/>
      <c r="P416" s="4"/>
      <c r="Q416" s="4"/>
      <c r="R416" s="4"/>
    </row>
    <row r="417" ht="15.75" customHeight="1">
      <c r="A417" s="13">
        <f>A416+'Energy Balance'!$N$7</f>
        <v>415</v>
      </c>
      <c r="B417" s="18">
        <f t="shared" si="1"/>
        <v>4.386267454</v>
      </c>
      <c r="C417" s="13">
        <f t="shared" si="2"/>
        <v>1</v>
      </c>
      <c r="D417" s="13">
        <f t="shared" si="3"/>
        <v>0</v>
      </c>
      <c r="O417" s="4"/>
      <c r="P417" s="4"/>
      <c r="Q417" s="4"/>
      <c r="R417" s="4"/>
    </row>
    <row r="418" ht="15.75" customHeight="1">
      <c r="A418" s="13">
        <f>A417+'Energy Balance'!$N$7</f>
        <v>416</v>
      </c>
      <c r="B418" s="18">
        <f t="shared" si="1"/>
        <v>4.396836773</v>
      </c>
      <c r="C418" s="13">
        <f t="shared" si="2"/>
        <v>1</v>
      </c>
      <c r="D418" s="13">
        <f t="shared" si="3"/>
        <v>0</v>
      </c>
      <c r="O418" s="4"/>
      <c r="P418" s="4"/>
      <c r="Q418" s="4"/>
      <c r="R418" s="4"/>
    </row>
    <row r="419" ht="15.75" customHeight="1">
      <c r="A419" s="13">
        <f>A418+'Energy Balance'!$N$7</f>
        <v>417</v>
      </c>
      <c r="B419" s="18">
        <f t="shared" si="1"/>
        <v>4.407406092</v>
      </c>
      <c r="C419" s="13">
        <f t="shared" si="2"/>
        <v>1</v>
      </c>
      <c r="D419" s="13">
        <f t="shared" si="3"/>
        <v>0</v>
      </c>
      <c r="O419" s="4"/>
      <c r="P419" s="4"/>
      <c r="Q419" s="4"/>
      <c r="R419" s="4"/>
    </row>
    <row r="420" ht="15.75" customHeight="1">
      <c r="A420" s="13">
        <f>A419+'Energy Balance'!$N$7</f>
        <v>418</v>
      </c>
      <c r="B420" s="18">
        <f t="shared" si="1"/>
        <v>4.417975411</v>
      </c>
      <c r="C420" s="13">
        <f t="shared" si="2"/>
        <v>1</v>
      </c>
      <c r="D420" s="13">
        <f t="shared" si="3"/>
        <v>0</v>
      </c>
      <c r="O420" s="4"/>
      <c r="P420" s="4"/>
      <c r="Q420" s="4"/>
      <c r="R420" s="4"/>
    </row>
    <row r="421" ht="15.75" customHeight="1">
      <c r="A421" s="13">
        <f>A420+'Energy Balance'!$N$7</f>
        <v>419</v>
      </c>
      <c r="B421" s="18">
        <f t="shared" si="1"/>
        <v>4.428544731</v>
      </c>
      <c r="C421" s="13">
        <f t="shared" si="2"/>
        <v>1</v>
      </c>
      <c r="D421" s="13">
        <f t="shared" si="3"/>
        <v>0</v>
      </c>
      <c r="O421" s="4"/>
      <c r="P421" s="4"/>
      <c r="Q421" s="4"/>
      <c r="R421" s="4"/>
    </row>
    <row r="422" ht="15.75" customHeight="1">
      <c r="A422" s="13">
        <f>A421+'Energy Balance'!$N$7</f>
        <v>420</v>
      </c>
      <c r="B422" s="18">
        <f t="shared" si="1"/>
        <v>4.43911405</v>
      </c>
      <c r="C422" s="13">
        <f t="shared" si="2"/>
        <v>1</v>
      </c>
      <c r="D422" s="13">
        <f t="shared" si="3"/>
        <v>0</v>
      </c>
      <c r="O422" s="4"/>
      <c r="P422" s="4"/>
      <c r="Q422" s="4"/>
      <c r="R422" s="4"/>
    </row>
    <row r="423" ht="15.75" customHeight="1">
      <c r="A423" s="13">
        <f>A422+'Energy Balance'!$N$7</f>
        <v>421</v>
      </c>
      <c r="B423" s="18">
        <f t="shared" si="1"/>
        <v>4.449683369</v>
      </c>
      <c r="C423" s="13">
        <f t="shared" si="2"/>
        <v>1</v>
      </c>
      <c r="D423" s="13">
        <f t="shared" si="3"/>
        <v>0</v>
      </c>
      <c r="O423" s="4"/>
      <c r="P423" s="4"/>
      <c r="Q423" s="4"/>
      <c r="R423" s="4"/>
    </row>
    <row r="424" ht="15.75" customHeight="1">
      <c r="A424" s="13">
        <f>A423+'Energy Balance'!$N$7</f>
        <v>422</v>
      </c>
      <c r="B424" s="18">
        <f t="shared" si="1"/>
        <v>4.460252688</v>
      </c>
      <c r="C424" s="13">
        <f t="shared" si="2"/>
        <v>1</v>
      </c>
      <c r="D424" s="13">
        <f t="shared" si="3"/>
        <v>0</v>
      </c>
      <c r="O424" s="4"/>
      <c r="P424" s="4"/>
      <c r="Q424" s="4"/>
      <c r="R424" s="4"/>
    </row>
    <row r="425" ht="15.75" customHeight="1">
      <c r="A425" s="13">
        <f>A424+'Energy Balance'!$N$7</f>
        <v>423</v>
      </c>
      <c r="B425" s="18">
        <f t="shared" si="1"/>
        <v>4.470822007</v>
      </c>
      <c r="C425" s="13">
        <f t="shared" si="2"/>
        <v>1</v>
      </c>
      <c r="D425" s="13">
        <f t="shared" si="3"/>
        <v>0</v>
      </c>
      <c r="O425" s="4"/>
      <c r="P425" s="4"/>
      <c r="Q425" s="4"/>
      <c r="R425" s="4"/>
    </row>
    <row r="426" ht="15.75" customHeight="1">
      <c r="A426" s="13">
        <f>A425+'Energy Balance'!$N$7</f>
        <v>424</v>
      </c>
      <c r="B426" s="18">
        <f t="shared" si="1"/>
        <v>4.481391326</v>
      </c>
      <c r="C426" s="13">
        <f t="shared" si="2"/>
        <v>1</v>
      </c>
      <c r="D426" s="13">
        <f t="shared" si="3"/>
        <v>0</v>
      </c>
      <c r="O426" s="4"/>
      <c r="P426" s="4"/>
      <c r="Q426" s="4"/>
      <c r="R426" s="4"/>
    </row>
    <row r="427" ht="15.75" customHeight="1">
      <c r="A427" s="13">
        <f>A426+'Energy Balance'!$N$7</f>
        <v>425</v>
      </c>
      <c r="B427" s="18">
        <f t="shared" si="1"/>
        <v>4.491960646</v>
      </c>
      <c r="C427" s="13">
        <f t="shared" si="2"/>
        <v>1</v>
      </c>
      <c r="D427" s="13">
        <f t="shared" si="3"/>
        <v>0</v>
      </c>
      <c r="O427" s="4"/>
      <c r="P427" s="4"/>
      <c r="Q427" s="4"/>
      <c r="R427" s="4"/>
    </row>
    <row r="428" ht="15.75" customHeight="1">
      <c r="A428" s="13">
        <f>A427+'Energy Balance'!$N$7</f>
        <v>426</v>
      </c>
      <c r="B428" s="18">
        <f t="shared" si="1"/>
        <v>4.502529965</v>
      </c>
      <c r="C428" s="13">
        <f t="shared" si="2"/>
        <v>1</v>
      </c>
      <c r="D428" s="13">
        <f t="shared" si="3"/>
        <v>0</v>
      </c>
      <c r="O428" s="4"/>
      <c r="P428" s="4"/>
      <c r="Q428" s="4"/>
      <c r="R428" s="4"/>
    </row>
    <row r="429" ht="15.75" customHeight="1">
      <c r="A429" s="13">
        <f>A428+'Energy Balance'!$N$7</f>
        <v>427</v>
      </c>
      <c r="B429" s="18">
        <f t="shared" si="1"/>
        <v>4.513099284</v>
      </c>
      <c r="C429" s="13">
        <f t="shared" si="2"/>
        <v>1</v>
      </c>
      <c r="D429" s="13">
        <f t="shared" si="3"/>
        <v>0</v>
      </c>
      <c r="O429" s="4"/>
      <c r="P429" s="4"/>
      <c r="Q429" s="4"/>
      <c r="R429" s="4"/>
    </row>
    <row r="430" ht="15.75" customHeight="1">
      <c r="A430" s="13">
        <f>A429+'Energy Balance'!$N$7</f>
        <v>428</v>
      </c>
      <c r="B430" s="18">
        <f t="shared" si="1"/>
        <v>4.523668603</v>
      </c>
      <c r="C430" s="13">
        <f t="shared" si="2"/>
        <v>1</v>
      </c>
      <c r="D430" s="13">
        <f t="shared" si="3"/>
        <v>0</v>
      </c>
      <c r="O430" s="4"/>
      <c r="P430" s="4"/>
      <c r="Q430" s="4"/>
      <c r="R430" s="4"/>
    </row>
    <row r="431" ht="15.75" customHeight="1">
      <c r="A431" s="13">
        <f>A430+'Energy Balance'!$N$7</f>
        <v>429</v>
      </c>
      <c r="B431" s="18">
        <f t="shared" si="1"/>
        <v>4.534237922</v>
      </c>
      <c r="C431" s="13">
        <f t="shared" si="2"/>
        <v>1</v>
      </c>
      <c r="D431" s="13">
        <f t="shared" si="3"/>
        <v>0</v>
      </c>
      <c r="O431" s="4"/>
      <c r="P431" s="4"/>
      <c r="Q431" s="4"/>
      <c r="R431" s="4"/>
    </row>
    <row r="432" ht="15.75" customHeight="1">
      <c r="A432" s="13">
        <f>A431+'Energy Balance'!$N$7</f>
        <v>430</v>
      </c>
      <c r="B432" s="18">
        <f t="shared" si="1"/>
        <v>4.544807241</v>
      </c>
      <c r="C432" s="13">
        <f t="shared" si="2"/>
        <v>1</v>
      </c>
      <c r="D432" s="13">
        <f t="shared" si="3"/>
        <v>0</v>
      </c>
      <c r="O432" s="4"/>
      <c r="P432" s="4"/>
      <c r="Q432" s="4"/>
      <c r="R432" s="4"/>
    </row>
    <row r="433" ht="15.75" customHeight="1">
      <c r="A433" s="13">
        <f>A432+'Energy Balance'!$N$7</f>
        <v>431</v>
      </c>
      <c r="B433" s="18">
        <f t="shared" si="1"/>
        <v>4.55537656</v>
      </c>
      <c r="C433" s="13">
        <f t="shared" si="2"/>
        <v>1</v>
      </c>
      <c r="D433" s="13">
        <f t="shared" si="3"/>
        <v>0</v>
      </c>
      <c r="O433" s="4"/>
      <c r="P433" s="4"/>
      <c r="Q433" s="4"/>
      <c r="R433" s="4"/>
    </row>
    <row r="434" ht="15.75" customHeight="1">
      <c r="A434" s="13">
        <f>A433+'Energy Balance'!$N$7</f>
        <v>432</v>
      </c>
      <c r="B434" s="18">
        <f t="shared" si="1"/>
        <v>4.56594588</v>
      </c>
      <c r="C434" s="13">
        <f t="shared" si="2"/>
        <v>1</v>
      </c>
      <c r="D434" s="13">
        <f t="shared" si="3"/>
        <v>0</v>
      </c>
      <c r="O434" s="4"/>
      <c r="P434" s="4"/>
      <c r="Q434" s="4"/>
      <c r="R434" s="4"/>
    </row>
    <row r="435" ht="15.75" customHeight="1">
      <c r="A435" s="13">
        <f>A434+'Energy Balance'!$N$7</f>
        <v>433</v>
      </c>
      <c r="B435" s="18">
        <f t="shared" si="1"/>
        <v>4.576515199</v>
      </c>
      <c r="C435" s="13">
        <f t="shared" si="2"/>
        <v>1</v>
      </c>
      <c r="D435" s="13">
        <f t="shared" si="3"/>
        <v>0</v>
      </c>
      <c r="O435" s="4"/>
      <c r="P435" s="4"/>
      <c r="Q435" s="4"/>
      <c r="R435" s="4"/>
    </row>
    <row r="436" ht="15.75" customHeight="1">
      <c r="A436" s="13">
        <f>A435+'Energy Balance'!$N$7</f>
        <v>434</v>
      </c>
      <c r="B436" s="18">
        <f t="shared" si="1"/>
        <v>4.587084518</v>
      </c>
      <c r="C436" s="13">
        <f t="shared" si="2"/>
        <v>1</v>
      </c>
      <c r="D436" s="13">
        <f t="shared" si="3"/>
        <v>0</v>
      </c>
      <c r="O436" s="4"/>
      <c r="P436" s="4"/>
      <c r="Q436" s="4"/>
      <c r="R436" s="4"/>
    </row>
    <row r="437" ht="15.75" customHeight="1">
      <c r="A437" s="13">
        <f>A436+'Energy Balance'!$N$7</f>
        <v>435</v>
      </c>
      <c r="B437" s="18">
        <f t="shared" si="1"/>
        <v>4.597653837</v>
      </c>
      <c r="C437" s="13">
        <f t="shared" si="2"/>
        <v>1</v>
      </c>
      <c r="D437" s="13">
        <f t="shared" si="3"/>
        <v>0</v>
      </c>
      <c r="O437" s="4"/>
      <c r="P437" s="4"/>
      <c r="Q437" s="4"/>
      <c r="R437" s="4"/>
    </row>
    <row r="438" ht="15.75" customHeight="1">
      <c r="A438" s="13">
        <f>A437+'Energy Balance'!$N$7</f>
        <v>436</v>
      </c>
      <c r="B438" s="18">
        <f t="shared" si="1"/>
        <v>4.608223156</v>
      </c>
      <c r="C438" s="13">
        <f t="shared" si="2"/>
        <v>1</v>
      </c>
      <c r="D438" s="13">
        <f t="shared" si="3"/>
        <v>0</v>
      </c>
      <c r="O438" s="4"/>
      <c r="P438" s="4"/>
      <c r="Q438" s="4"/>
      <c r="R438" s="4"/>
    </row>
    <row r="439" ht="15.75" customHeight="1">
      <c r="A439" s="13">
        <f>A438+'Energy Balance'!$N$7</f>
        <v>437</v>
      </c>
      <c r="B439" s="18">
        <f t="shared" si="1"/>
        <v>4.618792475</v>
      </c>
      <c r="C439" s="13">
        <f t="shared" si="2"/>
        <v>1</v>
      </c>
      <c r="D439" s="13">
        <f t="shared" si="3"/>
        <v>0</v>
      </c>
      <c r="O439" s="4"/>
      <c r="P439" s="4"/>
      <c r="Q439" s="4"/>
      <c r="R439" s="4"/>
    </row>
    <row r="440" ht="15.75" customHeight="1">
      <c r="A440" s="13">
        <f>A439+'Energy Balance'!$N$7</f>
        <v>438</v>
      </c>
      <c r="B440" s="18">
        <f t="shared" si="1"/>
        <v>4.629361795</v>
      </c>
      <c r="C440" s="13">
        <f t="shared" si="2"/>
        <v>0</v>
      </c>
      <c r="D440" s="13">
        <f t="shared" si="3"/>
        <v>1</v>
      </c>
      <c r="O440" s="4"/>
      <c r="P440" s="4"/>
      <c r="Q440" s="4"/>
      <c r="R440" s="4"/>
    </row>
    <row r="441" ht="15.75" customHeight="1">
      <c r="A441" s="13">
        <f>A440+'Energy Balance'!$N$7</f>
        <v>439</v>
      </c>
      <c r="B441" s="18">
        <f t="shared" si="1"/>
        <v>4.639931114</v>
      </c>
      <c r="C441" s="13">
        <f t="shared" si="2"/>
        <v>0</v>
      </c>
      <c r="D441" s="13">
        <f t="shared" si="3"/>
        <v>1</v>
      </c>
      <c r="O441" s="4"/>
      <c r="P441" s="4"/>
      <c r="Q441" s="4"/>
      <c r="R441" s="4"/>
    </row>
    <row r="442" ht="15.75" customHeight="1">
      <c r="A442" s="13">
        <f>A441+'Energy Balance'!$N$7</f>
        <v>440</v>
      </c>
      <c r="B442" s="18">
        <f t="shared" si="1"/>
        <v>4.650500433</v>
      </c>
      <c r="C442" s="13">
        <f t="shared" si="2"/>
        <v>0</v>
      </c>
      <c r="D442" s="13">
        <f t="shared" si="3"/>
        <v>1</v>
      </c>
      <c r="O442" s="4"/>
      <c r="P442" s="4"/>
      <c r="Q442" s="4"/>
      <c r="R442" s="4"/>
    </row>
    <row r="443" ht="15.75" customHeight="1">
      <c r="A443" s="13">
        <f>A442+'Energy Balance'!$N$7</f>
        <v>441</v>
      </c>
      <c r="B443" s="18">
        <f t="shared" si="1"/>
        <v>4.661069752</v>
      </c>
      <c r="C443" s="13">
        <f t="shared" si="2"/>
        <v>0</v>
      </c>
      <c r="D443" s="13">
        <f t="shared" si="3"/>
        <v>1</v>
      </c>
      <c r="O443" s="4"/>
      <c r="P443" s="4"/>
      <c r="Q443" s="4"/>
      <c r="R443" s="4"/>
    </row>
    <row r="444" ht="15.75" customHeight="1">
      <c r="A444" s="13">
        <f>A443+'Energy Balance'!$N$7</f>
        <v>442</v>
      </c>
      <c r="B444" s="18">
        <f t="shared" si="1"/>
        <v>4.671639071</v>
      </c>
      <c r="C444" s="13">
        <f t="shared" si="2"/>
        <v>0</v>
      </c>
      <c r="D444" s="13">
        <f t="shared" si="3"/>
        <v>1</v>
      </c>
      <c r="O444" s="4"/>
      <c r="P444" s="4"/>
      <c r="Q444" s="4"/>
      <c r="R444" s="4"/>
    </row>
    <row r="445" ht="15.75" customHeight="1">
      <c r="A445" s="13">
        <f>A444+'Energy Balance'!$N$7</f>
        <v>443</v>
      </c>
      <c r="B445" s="18">
        <f t="shared" si="1"/>
        <v>4.68220839</v>
      </c>
      <c r="C445" s="13">
        <f t="shared" si="2"/>
        <v>0</v>
      </c>
      <c r="D445" s="13">
        <f t="shared" si="3"/>
        <v>1</v>
      </c>
      <c r="O445" s="4"/>
      <c r="P445" s="4"/>
      <c r="Q445" s="4"/>
      <c r="R445" s="4"/>
    </row>
    <row r="446" ht="15.75" customHeight="1">
      <c r="A446" s="13">
        <f>A445+'Energy Balance'!$N$7</f>
        <v>444</v>
      </c>
      <c r="B446" s="18">
        <f t="shared" si="1"/>
        <v>4.69277771</v>
      </c>
      <c r="C446" s="13">
        <f t="shared" si="2"/>
        <v>0</v>
      </c>
      <c r="D446" s="13">
        <f t="shared" si="3"/>
        <v>1</v>
      </c>
      <c r="O446" s="4"/>
      <c r="P446" s="4"/>
      <c r="Q446" s="4"/>
      <c r="R446" s="4"/>
    </row>
    <row r="447" ht="15.75" customHeight="1">
      <c r="A447" s="13">
        <f>A446+'Energy Balance'!$N$7</f>
        <v>445</v>
      </c>
      <c r="B447" s="18">
        <f t="shared" si="1"/>
        <v>4.703347029</v>
      </c>
      <c r="C447" s="13">
        <f t="shared" si="2"/>
        <v>0</v>
      </c>
      <c r="D447" s="13">
        <f t="shared" si="3"/>
        <v>1</v>
      </c>
      <c r="O447" s="4"/>
      <c r="P447" s="4"/>
      <c r="Q447" s="4"/>
      <c r="R447" s="4"/>
    </row>
    <row r="448" ht="15.75" customHeight="1">
      <c r="A448" s="13">
        <f>A447+'Energy Balance'!$N$7</f>
        <v>446</v>
      </c>
      <c r="B448" s="18">
        <f t="shared" si="1"/>
        <v>4.713916348</v>
      </c>
      <c r="C448" s="13">
        <f t="shared" si="2"/>
        <v>0</v>
      </c>
      <c r="D448" s="13">
        <f t="shared" si="3"/>
        <v>1</v>
      </c>
      <c r="O448" s="4"/>
      <c r="P448" s="4"/>
      <c r="Q448" s="4"/>
      <c r="R448" s="4"/>
    </row>
    <row r="449" ht="15.75" customHeight="1">
      <c r="A449" s="13">
        <f>A448+'Energy Balance'!$N$7</f>
        <v>447</v>
      </c>
      <c r="B449" s="18">
        <f t="shared" si="1"/>
        <v>4.724485667</v>
      </c>
      <c r="C449" s="13">
        <f t="shared" si="2"/>
        <v>0</v>
      </c>
      <c r="D449" s="13">
        <f t="shared" si="3"/>
        <v>1</v>
      </c>
      <c r="O449" s="4"/>
      <c r="P449" s="4"/>
      <c r="Q449" s="4"/>
      <c r="R449" s="4"/>
    </row>
    <row r="450" ht="15.75" customHeight="1">
      <c r="A450" s="13">
        <f>A449+'Energy Balance'!$N$7</f>
        <v>448</v>
      </c>
      <c r="B450" s="18">
        <f t="shared" si="1"/>
        <v>4.735054986</v>
      </c>
      <c r="C450" s="13">
        <f t="shared" si="2"/>
        <v>0</v>
      </c>
      <c r="D450" s="13">
        <f t="shared" si="3"/>
        <v>1</v>
      </c>
      <c r="O450" s="4"/>
      <c r="P450" s="4"/>
      <c r="Q450" s="4"/>
      <c r="R450" s="4"/>
    </row>
    <row r="451" ht="15.75" customHeight="1">
      <c r="A451" s="13">
        <f>A450+'Energy Balance'!$N$7</f>
        <v>449</v>
      </c>
      <c r="B451" s="18">
        <f t="shared" si="1"/>
        <v>4.745624305</v>
      </c>
      <c r="C451" s="13">
        <f t="shared" si="2"/>
        <v>0</v>
      </c>
      <c r="D451" s="13">
        <f t="shared" si="3"/>
        <v>1</v>
      </c>
      <c r="O451" s="4"/>
      <c r="P451" s="4"/>
      <c r="Q451" s="4"/>
      <c r="R451" s="4"/>
    </row>
    <row r="452" ht="15.75" customHeight="1">
      <c r="A452" s="13">
        <f>A451+'Energy Balance'!$N$7</f>
        <v>450</v>
      </c>
      <c r="B452" s="18">
        <f t="shared" si="1"/>
        <v>4.756193625</v>
      </c>
      <c r="C452" s="13">
        <f t="shared" si="2"/>
        <v>0</v>
      </c>
      <c r="D452" s="13">
        <f t="shared" si="3"/>
        <v>1</v>
      </c>
      <c r="O452" s="4"/>
      <c r="P452" s="4"/>
      <c r="Q452" s="4"/>
      <c r="R452" s="4"/>
    </row>
    <row r="453" ht="15.75" customHeight="1">
      <c r="A453" s="13">
        <f>A452+'Energy Balance'!$N$7</f>
        <v>451</v>
      </c>
      <c r="B453" s="18">
        <f t="shared" si="1"/>
        <v>4.766762944</v>
      </c>
      <c r="C453" s="13">
        <f t="shared" si="2"/>
        <v>0</v>
      </c>
      <c r="D453" s="13">
        <f t="shared" si="3"/>
        <v>1</v>
      </c>
      <c r="O453" s="4"/>
      <c r="P453" s="4"/>
      <c r="Q453" s="4"/>
      <c r="R453" s="4"/>
    </row>
    <row r="454" ht="15.75" customHeight="1">
      <c r="A454" s="13">
        <f>A453+'Energy Balance'!$N$7</f>
        <v>452</v>
      </c>
      <c r="B454" s="18">
        <f t="shared" si="1"/>
        <v>4.777332263</v>
      </c>
      <c r="C454" s="13">
        <f t="shared" si="2"/>
        <v>0</v>
      </c>
      <c r="D454" s="13">
        <f t="shared" si="3"/>
        <v>1</v>
      </c>
      <c r="O454" s="4"/>
      <c r="P454" s="4"/>
      <c r="Q454" s="4"/>
      <c r="R454" s="4"/>
    </row>
    <row r="455" ht="15.75" customHeight="1">
      <c r="A455" s="13">
        <f>A454+'Energy Balance'!$N$7</f>
        <v>453</v>
      </c>
      <c r="B455" s="18">
        <f t="shared" si="1"/>
        <v>4.787901582</v>
      </c>
      <c r="C455" s="13">
        <f t="shared" si="2"/>
        <v>0</v>
      </c>
      <c r="D455" s="13">
        <f t="shared" si="3"/>
        <v>1</v>
      </c>
      <c r="O455" s="4"/>
      <c r="P455" s="4"/>
      <c r="Q455" s="4"/>
      <c r="R455" s="4"/>
    </row>
    <row r="456" ht="15.75" customHeight="1">
      <c r="A456" s="13">
        <f>A455+'Energy Balance'!$N$7</f>
        <v>454</v>
      </c>
      <c r="B456" s="18">
        <f t="shared" si="1"/>
        <v>4.798470901</v>
      </c>
      <c r="C456" s="13">
        <f t="shared" si="2"/>
        <v>0</v>
      </c>
      <c r="D456" s="13">
        <f t="shared" si="3"/>
        <v>1</v>
      </c>
      <c r="O456" s="4"/>
      <c r="P456" s="4"/>
      <c r="Q456" s="4"/>
      <c r="R456" s="4"/>
    </row>
    <row r="457" ht="15.75" customHeight="1">
      <c r="A457" s="13">
        <f>A456+'Energy Balance'!$N$7</f>
        <v>455</v>
      </c>
      <c r="B457" s="18">
        <f t="shared" si="1"/>
        <v>4.80904022</v>
      </c>
      <c r="C457" s="13">
        <f t="shared" si="2"/>
        <v>0</v>
      </c>
      <c r="D457" s="13">
        <f t="shared" si="3"/>
        <v>1</v>
      </c>
      <c r="O457" s="4"/>
      <c r="P457" s="4"/>
      <c r="Q457" s="4"/>
      <c r="R457" s="4"/>
    </row>
    <row r="458" ht="15.75" customHeight="1">
      <c r="A458" s="13">
        <f>A457+'Energy Balance'!$N$7</f>
        <v>456</v>
      </c>
      <c r="B458" s="18">
        <f t="shared" si="1"/>
        <v>4.81960954</v>
      </c>
      <c r="C458" s="13">
        <f t="shared" si="2"/>
        <v>0</v>
      </c>
      <c r="D458" s="13">
        <f t="shared" si="3"/>
        <v>1</v>
      </c>
      <c r="O458" s="4"/>
      <c r="P458" s="4"/>
      <c r="Q458" s="4"/>
      <c r="R458" s="4"/>
    </row>
    <row r="459" ht="15.75" customHeight="1">
      <c r="A459" s="13">
        <f>A458+'Energy Balance'!$N$7</f>
        <v>457</v>
      </c>
      <c r="B459" s="18">
        <f t="shared" si="1"/>
        <v>4.830178859</v>
      </c>
      <c r="C459" s="13">
        <f t="shared" si="2"/>
        <v>0</v>
      </c>
      <c r="D459" s="13">
        <f t="shared" si="3"/>
        <v>1</v>
      </c>
      <c r="O459" s="4"/>
      <c r="P459" s="4"/>
      <c r="Q459" s="4"/>
      <c r="R459" s="4"/>
    </row>
    <row r="460" ht="15.75" customHeight="1">
      <c r="A460" s="13">
        <f>A459+'Energy Balance'!$N$7</f>
        <v>458</v>
      </c>
      <c r="B460" s="18">
        <f t="shared" si="1"/>
        <v>4.840748178</v>
      </c>
      <c r="C460" s="13">
        <f t="shared" si="2"/>
        <v>0</v>
      </c>
      <c r="D460" s="13">
        <f t="shared" si="3"/>
        <v>1</v>
      </c>
      <c r="O460" s="4"/>
      <c r="P460" s="4"/>
      <c r="Q460" s="4"/>
      <c r="R460" s="4"/>
    </row>
    <row r="461" ht="15.75" customHeight="1">
      <c r="A461" s="13">
        <f>A460+'Energy Balance'!$N$7</f>
        <v>459</v>
      </c>
      <c r="B461" s="18">
        <f t="shared" si="1"/>
        <v>4.851317497</v>
      </c>
      <c r="C461" s="13">
        <f t="shared" si="2"/>
        <v>0</v>
      </c>
      <c r="D461" s="13">
        <f t="shared" si="3"/>
        <v>1</v>
      </c>
      <c r="O461" s="4"/>
      <c r="P461" s="4"/>
      <c r="Q461" s="4"/>
      <c r="R461" s="4"/>
    </row>
    <row r="462" ht="15.75" customHeight="1">
      <c r="A462" s="13">
        <f>A461+'Energy Balance'!$N$7</f>
        <v>460</v>
      </c>
      <c r="B462" s="18">
        <f t="shared" si="1"/>
        <v>4.861886816</v>
      </c>
      <c r="C462" s="13">
        <f t="shared" si="2"/>
        <v>0</v>
      </c>
      <c r="D462" s="13">
        <f t="shared" si="3"/>
        <v>1</v>
      </c>
      <c r="O462" s="4"/>
      <c r="P462" s="4"/>
      <c r="Q462" s="4"/>
      <c r="R462" s="4"/>
    </row>
    <row r="463" ht="15.75" customHeight="1">
      <c r="A463" s="13">
        <f>A462+'Energy Balance'!$N$7</f>
        <v>461</v>
      </c>
      <c r="B463" s="18">
        <f t="shared" si="1"/>
        <v>4.872456135</v>
      </c>
      <c r="C463" s="13">
        <f t="shared" si="2"/>
        <v>0</v>
      </c>
      <c r="D463" s="13">
        <f t="shared" si="3"/>
        <v>1</v>
      </c>
      <c r="O463" s="4"/>
      <c r="P463" s="4"/>
      <c r="Q463" s="4"/>
      <c r="R463" s="4"/>
    </row>
    <row r="464" ht="15.75" customHeight="1">
      <c r="A464" s="13">
        <f>A463+'Energy Balance'!$N$7</f>
        <v>462</v>
      </c>
      <c r="B464" s="18">
        <f t="shared" si="1"/>
        <v>4.883025455</v>
      </c>
      <c r="C464" s="13">
        <f t="shared" si="2"/>
        <v>0</v>
      </c>
      <c r="D464" s="13">
        <f t="shared" si="3"/>
        <v>1</v>
      </c>
      <c r="O464" s="4"/>
      <c r="P464" s="4"/>
      <c r="Q464" s="4"/>
      <c r="R464" s="4"/>
    </row>
    <row r="465" ht="15.75" customHeight="1">
      <c r="A465" s="13">
        <f>A464+'Energy Balance'!$N$7</f>
        <v>463</v>
      </c>
      <c r="B465" s="18">
        <f t="shared" si="1"/>
        <v>4.893594774</v>
      </c>
      <c r="C465" s="13">
        <f t="shared" si="2"/>
        <v>0</v>
      </c>
      <c r="D465" s="13">
        <f t="shared" si="3"/>
        <v>1</v>
      </c>
      <c r="O465" s="4"/>
      <c r="P465" s="4"/>
      <c r="Q465" s="4"/>
      <c r="R465" s="4"/>
    </row>
    <row r="466" ht="15.75" customHeight="1">
      <c r="A466" s="13">
        <f>A465+'Energy Balance'!$N$7</f>
        <v>464</v>
      </c>
      <c r="B466" s="18">
        <f t="shared" si="1"/>
        <v>4.904164093</v>
      </c>
      <c r="C466" s="13">
        <f t="shared" si="2"/>
        <v>0</v>
      </c>
      <c r="D466" s="13">
        <f t="shared" si="3"/>
        <v>1</v>
      </c>
      <c r="O466" s="4"/>
      <c r="P466" s="4"/>
      <c r="Q466" s="4"/>
      <c r="R466" s="4"/>
    </row>
    <row r="467" ht="15.75" customHeight="1">
      <c r="A467" s="13">
        <f>A466+'Energy Balance'!$N$7</f>
        <v>465</v>
      </c>
      <c r="B467" s="18">
        <f t="shared" si="1"/>
        <v>4.914733412</v>
      </c>
      <c r="C467" s="13">
        <f t="shared" si="2"/>
        <v>0</v>
      </c>
      <c r="D467" s="13">
        <f t="shared" si="3"/>
        <v>1</v>
      </c>
      <c r="O467" s="4"/>
      <c r="P467" s="4"/>
      <c r="Q467" s="4"/>
      <c r="R467" s="4"/>
    </row>
    <row r="468" ht="15.75" customHeight="1">
      <c r="A468" s="13">
        <f>A467+'Energy Balance'!$N$7</f>
        <v>466</v>
      </c>
      <c r="B468" s="18">
        <f t="shared" si="1"/>
        <v>4.925302731</v>
      </c>
      <c r="C468" s="13">
        <f t="shared" si="2"/>
        <v>0</v>
      </c>
      <c r="D468" s="13">
        <f t="shared" si="3"/>
        <v>1</v>
      </c>
      <c r="O468" s="4"/>
      <c r="P468" s="4"/>
      <c r="Q468" s="4"/>
      <c r="R468" s="4"/>
    </row>
    <row r="469" ht="15.75" customHeight="1">
      <c r="A469" s="13">
        <f>A468+'Energy Balance'!$N$7</f>
        <v>467</v>
      </c>
      <c r="B469" s="18">
        <f t="shared" si="1"/>
        <v>4.93587205</v>
      </c>
      <c r="C469" s="13">
        <f t="shared" si="2"/>
        <v>0</v>
      </c>
      <c r="D469" s="13">
        <f t="shared" si="3"/>
        <v>1</v>
      </c>
      <c r="O469" s="4"/>
      <c r="P469" s="4"/>
      <c r="Q469" s="4"/>
      <c r="R469" s="4"/>
    </row>
    <row r="470" ht="15.75" customHeight="1">
      <c r="A470" s="13">
        <f>A469+'Energy Balance'!$N$7</f>
        <v>468</v>
      </c>
      <c r="B470" s="18">
        <f t="shared" si="1"/>
        <v>4.94644137</v>
      </c>
      <c r="C470" s="13">
        <f t="shared" si="2"/>
        <v>0</v>
      </c>
      <c r="D470" s="13">
        <f t="shared" si="3"/>
        <v>1</v>
      </c>
      <c r="O470" s="4"/>
      <c r="P470" s="4"/>
      <c r="Q470" s="4"/>
      <c r="R470" s="4"/>
    </row>
    <row r="471" ht="15.75" customHeight="1">
      <c r="A471" s="13">
        <f>A470+'Energy Balance'!$N$7</f>
        <v>469</v>
      </c>
      <c r="B471" s="18">
        <f t="shared" si="1"/>
        <v>4.957010689</v>
      </c>
      <c r="C471" s="13">
        <f t="shared" si="2"/>
        <v>0</v>
      </c>
      <c r="D471" s="13">
        <f t="shared" si="3"/>
        <v>1</v>
      </c>
      <c r="O471" s="4"/>
      <c r="P471" s="4"/>
      <c r="Q471" s="4"/>
      <c r="R471" s="4"/>
    </row>
    <row r="472" ht="15.75" customHeight="1">
      <c r="A472" s="13">
        <f>A471+'Energy Balance'!$N$7</f>
        <v>470</v>
      </c>
      <c r="B472" s="18">
        <f t="shared" si="1"/>
        <v>4.967580008</v>
      </c>
      <c r="C472" s="13">
        <f t="shared" si="2"/>
        <v>0</v>
      </c>
      <c r="D472" s="13">
        <f t="shared" si="3"/>
        <v>1</v>
      </c>
      <c r="O472" s="4"/>
      <c r="P472" s="4"/>
      <c r="Q472" s="4"/>
      <c r="R472" s="4"/>
    </row>
    <row r="473" ht="15.75" customHeight="1">
      <c r="A473" s="13">
        <f>A472+'Energy Balance'!$N$7</f>
        <v>471</v>
      </c>
      <c r="B473" s="18">
        <f t="shared" si="1"/>
        <v>4.978149327</v>
      </c>
      <c r="C473" s="13">
        <f t="shared" si="2"/>
        <v>0</v>
      </c>
      <c r="D473" s="13">
        <f t="shared" si="3"/>
        <v>1</v>
      </c>
      <c r="O473" s="4"/>
      <c r="P473" s="4"/>
      <c r="Q473" s="4"/>
      <c r="R473" s="4"/>
    </row>
    <row r="474" ht="15.75" customHeight="1">
      <c r="A474" s="13">
        <f>A473+'Energy Balance'!$N$7</f>
        <v>472</v>
      </c>
      <c r="B474" s="18">
        <f t="shared" si="1"/>
        <v>4.988718646</v>
      </c>
      <c r="C474" s="13">
        <f t="shared" si="2"/>
        <v>0</v>
      </c>
      <c r="D474" s="13">
        <f t="shared" si="3"/>
        <v>1</v>
      </c>
      <c r="O474" s="4"/>
      <c r="P474" s="4"/>
      <c r="Q474" s="4"/>
      <c r="R474" s="4"/>
    </row>
    <row r="475" ht="15.75" customHeight="1">
      <c r="A475" s="13">
        <f>A474+'Energy Balance'!$N$7</f>
        <v>473</v>
      </c>
      <c r="B475" s="18">
        <f t="shared" si="1"/>
        <v>4.999287965</v>
      </c>
      <c r="C475" s="13">
        <f t="shared" si="2"/>
        <v>0</v>
      </c>
      <c r="D475" s="13">
        <f t="shared" si="3"/>
        <v>1</v>
      </c>
      <c r="O475" s="4"/>
      <c r="P475" s="4"/>
      <c r="Q475" s="4"/>
      <c r="R475" s="4"/>
    </row>
    <row r="476" ht="15.75" customHeight="1">
      <c r="A476" s="13">
        <f>A475+'Energy Balance'!$N$7</f>
        <v>474</v>
      </c>
      <c r="B476" s="18">
        <f t="shared" si="1"/>
        <v>5.009857285</v>
      </c>
      <c r="C476" s="13">
        <f t="shared" si="2"/>
        <v>1</v>
      </c>
      <c r="D476" s="13">
        <f t="shared" si="3"/>
        <v>0</v>
      </c>
      <c r="O476" s="4"/>
      <c r="P476" s="4"/>
      <c r="Q476" s="4"/>
      <c r="R476" s="4"/>
    </row>
    <row r="477" ht="15.75" customHeight="1">
      <c r="A477" s="13">
        <f>A476+'Energy Balance'!$N$7</f>
        <v>475</v>
      </c>
      <c r="B477" s="18">
        <f t="shared" si="1"/>
        <v>5.020426604</v>
      </c>
      <c r="C477" s="13">
        <f t="shared" si="2"/>
        <v>1</v>
      </c>
      <c r="D477" s="13">
        <f t="shared" si="3"/>
        <v>0</v>
      </c>
      <c r="O477" s="4"/>
      <c r="P477" s="4"/>
      <c r="Q477" s="4"/>
      <c r="R477" s="4"/>
    </row>
    <row r="478" ht="15.75" customHeight="1">
      <c r="A478" s="13">
        <f>A477+'Energy Balance'!$N$7</f>
        <v>476</v>
      </c>
      <c r="B478" s="18">
        <f t="shared" si="1"/>
        <v>5.030995923</v>
      </c>
      <c r="C478" s="13">
        <f t="shared" si="2"/>
        <v>1</v>
      </c>
      <c r="D478" s="13">
        <f t="shared" si="3"/>
        <v>0</v>
      </c>
      <c r="O478" s="4"/>
      <c r="P478" s="4"/>
      <c r="Q478" s="4"/>
      <c r="R478" s="4"/>
    </row>
    <row r="479" ht="15.75" customHeight="1">
      <c r="A479" s="13">
        <f>A478+'Energy Balance'!$N$7</f>
        <v>477</v>
      </c>
      <c r="B479" s="18">
        <f t="shared" si="1"/>
        <v>5.041565242</v>
      </c>
      <c r="C479" s="13">
        <f t="shared" si="2"/>
        <v>1</v>
      </c>
      <c r="D479" s="13">
        <f t="shared" si="3"/>
        <v>0</v>
      </c>
      <c r="O479" s="4"/>
      <c r="P479" s="4"/>
      <c r="Q479" s="4"/>
      <c r="R479" s="4"/>
    </row>
    <row r="480" ht="15.75" customHeight="1">
      <c r="A480" s="13">
        <f>A479+'Energy Balance'!$N$7</f>
        <v>478</v>
      </c>
      <c r="B480" s="18">
        <f t="shared" si="1"/>
        <v>5.052134561</v>
      </c>
      <c r="C480" s="13">
        <f t="shared" si="2"/>
        <v>1</v>
      </c>
      <c r="D480" s="13">
        <f t="shared" si="3"/>
        <v>0</v>
      </c>
      <c r="O480" s="4"/>
      <c r="P480" s="4"/>
      <c r="Q480" s="4"/>
      <c r="R480" s="4"/>
    </row>
    <row r="481" ht="15.75" customHeight="1">
      <c r="A481" s="13">
        <f>A480+'Energy Balance'!$N$7</f>
        <v>479</v>
      </c>
      <c r="B481" s="18">
        <f t="shared" si="1"/>
        <v>5.06270388</v>
      </c>
      <c r="C481" s="13">
        <f t="shared" si="2"/>
        <v>1</v>
      </c>
      <c r="D481" s="13">
        <f t="shared" si="3"/>
        <v>0</v>
      </c>
      <c r="O481" s="4"/>
      <c r="P481" s="4"/>
      <c r="Q481" s="4"/>
      <c r="R481" s="4"/>
    </row>
    <row r="482" ht="15.75" customHeight="1">
      <c r="A482" s="13">
        <f>A481+'Energy Balance'!$N$7</f>
        <v>480</v>
      </c>
      <c r="B482" s="18">
        <f t="shared" si="1"/>
        <v>5.0732732</v>
      </c>
      <c r="C482" s="13">
        <f t="shared" si="2"/>
        <v>1</v>
      </c>
      <c r="D482" s="13">
        <f t="shared" si="3"/>
        <v>0</v>
      </c>
      <c r="O482" s="4"/>
      <c r="P482" s="4"/>
      <c r="Q482" s="4"/>
      <c r="R482" s="4"/>
    </row>
    <row r="483" ht="15.75" customHeight="1">
      <c r="A483" s="13">
        <f>A482+'Energy Balance'!$N$7</f>
        <v>481</v>
      </c>
      <c r="B483" s="18">
        <f t="shared" si="1"/>
        <v>5.083842519</v>
      </c>
      <c r="C483" s="13">
        <f t="shared" si="2"/>
        <v>1</v>
      </c>
      <c r="D483" s="13">
        <f t="shared" si="3"/>
        <v>0</v>
      </c>
      <c r="O483" s="4"/>
      <c r="P483" s="4"/>
      <c r="Q483" s="4"/>
      <c r="R483" s="4"/>
    </row>
    <row r="484" ht="15.75" customHeight="1">
      <c r="A484" s="13">
        <f>A483+'Energy Balance'!$N$7</f>
        <v>482</v>
      </c>
      <c r="B484" s="18">
        <f t="shared" si="1"/>
        <v>5.094411838</v>
      </c>
      <c r="C484" s="13">
        <f t="shared" si="2"/>
        <v>1</v>
      </c>
      <c r="D484" s="13">
        <f t="shared" si="3"/>
        <v>0</v>
      </c>
      <c r="O484" s="4"/>
      <c r="P484" s="4"/>
      <c r="Q484" s="4"/>
      <c r="R484" s="4"/>
    </row>
    <row r="485" ht="15.75" customHeight="1">
      <c r="A485" s="13">
        <f>A484+'Energy Balance'!$N$7</f>
        <v>483</v>
      </c>
      <c r="B485" s="18">
        <f t="shared" si="1"/>
        <v>5.104981157</v>
      </c>
      <c r="C485" s="13">
        <f t="shared" si="2"/>
        <v>1</v>
      </c>
      <c r="D485" s="13">
        <f t="shared" si="3"/>
        <v>0</v>
      </c>
      <c r="O485" s="4"/>
      <c r="P485" s="4"/>
      <c r="Q485" s="4"/>
      <c r="R485" s="4"/>
    </row>
    <row r="486" ht="15.75" customHeight="1">
      <c r="A486" s="13">
        <f>A485+'Energy Balance'!$N$7</f>
        <v>484</v>
      </c>
      <c r="B486" s="18">
        <f t="shared" si="1"/>
        <v>5.115550476</v>
      </c>
      <c r="C486" s="13">
        <f t="shared" si="2"/>
        <v>1</v>
      </c>
      <c r="D486" s="13">
        <f t="shared" si="3"/>
        <v>0</v>
      </c>
      <c r="O486" s="4"/>
      <c r="P486" s="4"/>
      <c r="Q486" s="4"/>
      <c r="R486" s="4"/>
    </row>
    <row r="487" ht="15.75" customHeight="1">
      <c r="A487" s="13">
        <f>A486+'Energy Balance'!$N$7</f>
        <v>485</v>
      </c>
      <c r="B487" s="18">
        <f t="shared" si="1"/>
        <v>5.126119795</v>
      </c>
      <c r="C487" s="13">
        <f t="shared" si="2"/>
        <v>1</v>
      </c>
      <c r="D487" s="13">
        <f t="shared" si="3"/>
        <v>0</v>
      </c>
      <c r="O487" s="4"/>
      <c r="P487" s="4"/>
      <c r="Q487" s="4"/>
      <c r="R487" s="4"/>
    </row>
    <row r="488" ht="15.75" customHeight="1">
      <c r="A488" s="13">
        <f>A487+'Energy Balance'!$N$7</f>
        <v>486</v>
      </c>
      <c r="B488" s="18">
        <f t="shared" si="1"/>
        <v>5.136689115</v>
      </c>
      <c r="C488" s="13">
        <f t="shared" si="2"/>
        <v>1</v>
      </c>
      <c r="D488" s="13">
        <f t="shared" si="3"/>
        <v>0</v>
      </c>
      <c r="O488" s="4"/>
      <c r="P488" s="4"/>
      <c r="Q488" s="4"/>
      <c r="R488" s="4"/>
    </row>
    <row r="489" ht="15.75" customHeight="1">
      <c r="A489" s="13">
        <f>A488+'Energy Balance'!$N$7</f>
        <v>487</v>
      </c>
      <c r="B489" s="18">
        <f t="shared" si="1"/>
        <v>5.147258434</v>
      </c>
      <c r="C489" s="13">
        <f t="shared" si="2"/>
        <v>1</v>
      </c>
      <c r="D489" s="13">
        <f t="shared" si="3"/>
        <v>0</v>
      </c>
      <c r="O489" s="4"/>
      <c r="P489" s="4"/>
      <c r="Q489" s="4"/>
      <c r="R489" s="4"/>
    </row>
    <row r="490" ht="15.75" customHeight="1">
      <c r="A490" s="13">
        <f>A489+'Energy Balance'!$N$7</f>
        <v>488</v>
      </c>
      <c r="B490" s="18">
        <f t="shared" si="1"/>
        <v>5.157827753</v>
      </c>
      <c r="C490" s="13">
        <f t="shared" si="2"/>
        <v>1</v>
      </c>
      <c r="D490" s="13">
        <f t="shared" si="3"/>
        <v>0</v>
      </c>
      <c r="O490" s="4"/>
      <c r="P490" s="4"/>
      <c r="Q490" s="4"/>
      <c r="R490" s="4"/>
    </row>
    <row r="491" ht="15.75" customHeight="1">
      <c r="A491" s="13">
        <f>A490+'Energy Balance'!$N$7</f>
        <v>489</v>
      </c>
      <c r="B491" s="18">
        <f t="shared" si="1"/>
        <v>5.168397072</v>
      </c>
      <c r="C491" s="13">
        <f t="shared" si="2"/>
        <v>1</v>
      </c>
      <c r="D491" s="13">
        <f t="shared" si="3"/>
        <v>0</v>
      </c>
      <c r="O491" s="4"/>
      <c r="P491" s="4"/>
      <c r="Q491" s="4"/>
      <c r="R491" s="4"/>
    </row>
    <row r="492" ht="15.75" customHeight="1">
      <c r="A492" s="13">
        <f>A491+'Energy Balance'!$N$7</f>
        <v>490</v>
      </c>
      <c r="B492" s="18">
        <f t="shared" si="1"/>
        <v>5.178966391</v>
      </c>
      <c r="C492" s="13">
        <f t="shared" si="2"/>
        <v>1</v>
      </c>
      <c r="D492" s="13">
        <f t="shared" si="3"/>
        <v>0</v>
      </c>
      <c r="O492" s="4"/>
      <c r="P492" s="4"/>
      <c r="Q492" s="4"/>
      <c r="R492" s="4"/>
    </row>
    <row r="493" ht="15.75" customHeight="1">
      <c r="A493" s="13">
        <f>A492+'Energy Balance'!$N$7</f>
        <v>491</v>
      </c>
      <c r="B493" s="18">
        <f t="shared" si="1"/>
        <v>5.18953571</v>
      </c>
      <c r="C493" s="13">
        <f t="shared" si="2"/>
        <v>1</v>
      </c>
      <c r="D493" s="13">
        <f t="shared" si="3"/>
        <v>0</v>
      </c>
      <c r="O493" s="4"/>
      <c r="P493" s="4"/>
      <c r="Q493" s="4"/>
      <c r="R493" s="4"/>
    </row>
    <row r="494" ht="15.75" customHeight="1">
      <c r="A494" s="13">
        <f>A493+'Energy Balance'!$N$7</f>
        <v>492</v>
      </c>
      <c r="B494" s="18">
        <f t="shared" si="1"/>
        <v>5.20010503</v>
      </c>
      <c r="C494" s="13">
        <f t="shared" si="2"/>
        <v>1</v>
      </c>
      <c r="D494" s="13">
        <f t="shared" si="3"/>
        <v>0</v>
      </c>
      <c r="O494" s="4"/>
      <c r="P494" s="4"/>
      <c r="Q494" s="4"/>
      <c r="R494" s="4"/>
    </row>
    <row r="495" ht="15.75" customHeight="1">
      <c r="A495" s="13">
        <f>A494+'Energy Balance'!$N$7</f>
        <v>493</v>
      </c>
      <c r="B495" s="18">
        <f t="shared" si="1"/>
        <v>5.210674349</v>
      </c>
      <c r="C495" s="13">
        <f t="shared" si="2"/>
        <v>1</v>
      </c>
      <c r="D495" s="13">
        <f t="shared" si="3"/>
        <v>0</v>
      </c>
      <c r="O495" s="4"/>
      <c r="P495" s="4"/>
      <c r="Q495" s="4"/>
      <c r="R495" s="4"/>
    </row>
    <row r="496" ht="15.75" customHeight="1">
      <c r="A496" s="13">
        <f>A495+'Energy Balance'!$N$7</f>
        <v>494</v>
      </c>
      <c r="B496" s="18">
        <f t="shared" si="1"/>
        <v>5.221243668</v>
      </c>
      <c r="C496" s="13">
        <f t="shared" si="2"/>
        <v>1</v>
      </c>
      <c r="D496" s="13">
        <f t="shared" si="3"/>
        <v>0</v>
      </c>
      <c r="O496" s="4"/>
      <c r="P496" s="4"/>
      <c r="Q496" s="4"/>
      <c r="R496" s="4"/>
    </row>
    <row r="497" ht="15.75" customHeight="1">
      <c r="A497" s="13">
        <f>A496+'Energy Balance'!$N$7</f>
        <v>495</v>
      </c>
      <c r="B497" s="18">
        <f t="shared" si="1"/>
        <v>5.231812987</v>
      </c>
      <c r="C497" s="13">
        <f t="shared" si="2"/>
        <v>1</v>
      </c>
      <c r="D497" s="13">
        <f t="shared" si="3"/>
        <v>0</v>
      </c>
      <c r="O497" s="4"/>
      <c r="P497" s="4"/>
      <c r="Q497" s="4"/>
      <c r="R497" s="4"/>
    </row>
    <row r="498" ht="15.75" customHeight="1">
      <c r="A498" s="13">
        <f>A497+'Energy Balance'!$N$7</f>
        <v>496</v>
      </c>
      <c r="B498" s="18">
        <f t="shared" si="1"/>
        <v>5.242382306</v>
      </c>
      <c r="C498" s="13">
        <f t="shared" si="2"/>
        <v>1</v>
      </c>
      <c r="D498" s="13">
        <f t="shared" si="3"/>
        <v>0</v>
      </c>
      <c r="O498" s="4"/>
      <c r="P498" s="4"/>
      <c r="Q498" s="4"/>
      <c r="R498" s="4"/>
    </row>
    <row r="499" ht="15.75" customHeight="1">
      <c r="A499" s="13">
        <f>A498+'Energy Balance'!$N$7</f>
        <v>497</v>
      </c>
      <c r="B499" s="18">
        <f t="shared" si="1"/>
        <v>5.252951625</v>
      </c>
      <c r="C499" s="13">
        <f t="shared" si="2"/>
        <v>1</v>
      </c>
      <c r="D499" s="13">
        <f t="shared" si="3"/>
        <v>0</v>
      </c>
      <c r="O499" s="4"/>
      <c r="P499" s="4"/>
      <c r="Q499" s="4"/>
      <c r="R499" s="4"/>
    </row>
    <row r="500" ht="15.75" customHeight="1">
      <c r="A500" s="13">
        <f>A499+'Energy Balance'!$N$7</f>
        <v>498</v>
      </c>
      <c r="B500" s="18">
        <f t="shared" si="1"/>
        <v>5.263520945</v>
      </c>
      <c r="C500" s="13">
        <f t="shared" si="2"/>
        <v>1</v>
      </c>
      <c r="D500" s="13">
        <f t="shared" si="3"/>
        <v>0</v>
      </c>
      <c r="O500" s="4"/>
      <c r="P500" s="4"/>
      <c r="Q500" s="4"/>
      <c r="R500" s="4"/>
    </row>
    <row r="501" ht="15.75" customHeight="1">
      <c r="A501" s="13">
        <f>A500+'Energy Balance'!$N$7</f>
        <v>499</v>
      </c>
      <c r="B501" s="18">
        <f t="shared" si="1"/>
        <v>5.274090264</v>
      </c>
      <c r="C501" s="13">
        <f t="shared" si="2"/>
        <v>1</v>
      </c>
      <c r="D501" s="13">
        <f t="shared" si="3"/>
        <v>0</v>
      </c>
      <c r="O501" s="4"/>
      <c r="P501" s="4"/>
      <c r="Q501" s="4"/>
      <c r="R501" s="4"/>
    </row>
    <row r="502" ht="15.75" customHeight="1">
      <c r="A502" s="13">
        <f>A501+'Energy Balance'!$N$7</f>
        <v>500</v>
      </c>
      <c r="B502" s="18">
        <f t="shared" si="1"/>
        <v>5.284659583</v>
      </c>
      <c r="C502" s="13">
        <f t="shared" si="2"/>
        <v>1</v>
      </c>
      <c r="D502" s="13">
        <f t="shared" si="3"/>
        <v>0</v>
      </c>
      <c r="O502" s="4"/>
      <c r="P502" s="4"/>
      <c r="Q502" s="4"/>
      <c r="R502" s="4"/>
    </row>
    <row r="503" ht="15.75" customHeight="1">
      <c r="A503" s="13">
        <f>A502+'Energy Balance'!$N$7</f>
        <v>501</v>
      </c>
      <c r="B503" s="18">
        <f t="shared" si="1"/>
        <v>5.295228902</v>
      </c>
      <c r="C503" s="13">
        <f t="shared" si="2"/>
        <v>1</v>
      </c>
      <c r="D503" s="13">
        <f t="shared" si="3"/>
        <v>0</v>
      </c>
      <c r="O503" s="4"/>
      <c r="P503" s="4"/>
      <c r="Q503" s="4"/>
      <c r="R503" s="4"/>
    </row>
    <row r="504" ht="15.75" customHeight="1">
      <c r="A504" s="13">
        <f>A503+'Energy Balance'!$N$7</f>
        <v>502</v>
      </c>
      <c r="B504" s="18">
        <f t="shared" si="1"/>
        <v>5.305798221</v>
      </c>
      <c r="C504" s="13">
        <f t="shared" si="2"/>
        <v>1</v>
      </c>
      <c r="D504" s="13">
        <f t="shared" si="3"/>
        <v>0</v>
      </c>
      <c r="O504" s="4"/>
      <c r="P504" s="4"/>
      <c r="Q504" s="4"/>
      <c r="R504" s="4"/>
    </row>
    <row r="505" ht="15.75" customHeight="1">
      <c r="A505" s="13">
        <f>A504+'Energy Balance'!$N$7</f>
        <v>503</v>
      </c>
      <c r="B505" s="18">
        <f t="shared" si="1"/>
        <v>5.31636754</v>
      </c>
      <c r="C505" s="13">
        <f t="shared" si="2"/>
        <v>1</v>
      </c>
      <c r="D505" s="13">
        <f t="shared" si="3"/>
        <v>0</v>
      </c>
      <c r="O505" s="4"/>
      <c r="P505" s="4"/>
      <c r="Q505" s="4"/>
      <c r="R505" s="4"/>
    </row>
    <row r="506" ht="15.75" customHeight="1">
      <c r="A506" s="13">
        <f>A505+'Energy Balance'!$N$7</f>
        <v>504</v>
      </c>
      <c r="B506" s="18">
        <f t="shared" si="1"/>
        <v>5.32693686</v>
      </c>
      <c r="C506" s="13">
        <f t="shared" si="2"/>
        <v>1</v>
      </c>
      <c r="D506" s="13">
        <f t="shared" si="3"/>
        <v>0</v>
      </c>
      <c r="O506" s="4"/>
      <c r="P506" s="4"/>
      <c r="Q506" s="4"/>
      <c r="R506" s="4"/>
    </row>
    <row r="507" ht="15.75" customHeight="1">
      <c r="A507" s="13">
        <f>A506+'Energy Balance'!$N$7</f>
        <v>505</v>
      </c>
      <c r="B507" s="18">
        <f t="shared" si="1"/>
        <v>5.337506179</v>
      </c>
      <c r="C507" s="13">
        <f t="shared" si="2"/>
        <v>1</v>
      </c>
      <c r="D507" s="13">
        <f t="shared" si="3"/>
        <v>0</v>
      </c>
      <c r="O507" s="4"/>
      <c r="P507" s="4"/>
      <c r="Q507" s="4"/>
      <c r="R507" s="4"/>
    </row>
    <row r="508" ht="15.75" customHeight="1">
      <c r="A508" s="13">
        <f>A507+'Energy Balance'!$N$7</f>
        <v>506</v>
      </c>
      <c r="B508" s="18">
        <f t="shared" si="1"/>
        <v>5.348075498</v>
      </c>
      <c r="C508" s="13">
        <f t="shared" si="2"/>
        <v>1</v>
      </c>
      <c r="D508" s="13">
        <f t="shared" si="3"/>
        <v>0</v>
      </c>
      <c r="O508" s="4"/>
      <c r="P508" s="4"/>
      <c r="Q508" s="4"/>
      <c r="R508" s="4"/>
    </row>
    <row r="509" ht="15.75" customHeight="1">
      <c r="A509" s="13">
        <f>A508+'Energy Balance'!$N$7</f>
        <v>507</v>
      </c>
      <c r="B509" s="18">
        <f t="shared" si="1"/>
        <v>5.358644817</v>
      </c>
      <c r="C509" s="13">
        <f t="shared" si="2"/>
        <v>1</v>
      </c>
      <c r="D509" s="13">
        <f t="shared" si="3"/>
        <v>0</v>
      </c>
      <c r="O509" s="4"/>
      <c r="P509" s="4"/>
      <c r="Q509" s="4"/>
      <c r="R509" s="4"/>
    </row>
    <row r="510" ht="15.75" customHeight="1">
      <c r="A510" s="13">
        <f>A509+'Energy Balance'!$N$7</f>
        <v>508</v>
      </c>
      <c r="B510" s="18">
        <f t="shared" si="1"/>
        <v>5.369214136</v>
      </c>
      <c r="C510" s="13">
        <f t="shared" si="2"/>
        <v>1</v>
      </c>
      <c r="D510" s="13">
        <f t="shared" si="3"/>
        <v>0</v>
      </c>
      <c r="O510" s="4"/>
      <c r="P510" s="4"/>
      <c r="Q510" s="4"/>
      <c r="R510" s="4"/>
    </row>
    <row r="511" ht="15.75" customHeight="1">
      <c r="A511" s="13">
        <f>A510+'Energy Balance'!$N$7</f>
        <v>509</v>
      </c>
      <c r="B511" s="18">
        <f t="shared" si="1"/>
        <v>5.379783455</v>
      </c>
      <c r="C511" s="13">
        <f t="shared" si="2"/>
        <v>1</v>
      </c>
      <c r="D511" s="13">
        <f t="shared" si="3"/>
        <v>0</v>
      </c>
      <c r="O511" s="4"/>
      <c r="P511" s="4"/>
      <c r="Q511" s="4"/>
      <c r="R511" s="4"/>
    </row>
    <row r="512" ht="15.75" customHeight="1">
      <c r="A512" s="13">
        <f>A511+'Energy Balance'!$N$7</f>
        <v>510</v>
      </c>
      <c r="B512" s="18">
        <f t="shared" si="1"/>
        <v>5.390352775</v>
      </c>
      <c r="C512" s="13">
        <f t="shared" si="2"/>
        <v>1</v>
      </c>
      <c r="D512" s="13">
        <f t="shared" si="3"/>
        <v>0</v>
      </c>
      <c r="O512" s="4"/>
      <c r="P512" s="4"/>
      <c r="Q512" s="4"/>
      <c r="R512" s="4"/>
    </row>
    <row r="513" ht="15.75" customHeight="1">
      <c r="A513" s="13">
        <f>A512+'Energy Balance'!$N$7</f>
        <v>511</v>
      </c>
      <c r="B513" s="18">
        <f t="shared" si="1"/>
        <v>5.400922094</v>
      </c>
      <c r="C513" s="13">
        <f t="shared" si="2"/>
        <v>1</v>
      </c>
      <c r="D513" s="13">
        <f t="shared" si="3"/>
        <v>0</v>
      </c>
      <c r="O513" s="4"/>
      <c r="P513" s="4"/>
      <c r="Q513" s="4"/>
      <c r="R513" s="4"/>
    </row>
    <row r="514" ht="15.75" customHeight="1">
      <c r="A514" s="13">
        <f>A513+'Energy Balance'!$N$7</f>
        <v>512</v>
      </c>
      <c r="B514" s="18">
        <f t="shared" si="1"/>
        <v>5.411491413</v>
      </c>
      <c r="C514" s="13">
        <f t="shared" si="2"/>
        <v>1</v>
      </c>
      <c r="D514" s="13">
        <f t="shared" si="3"/>
        <v>0</v>
      </c>
      <c r="O514" s="4"/>
      <c r="P514" s="4"/>
      <c r="Q514" s="4"/>
      <c r="R514" s="4"/>
    </row>
    <row r="515" ht="15.75" customHeight="1">
      <c r="A515" s="13">
        <f>A514+'Energy Balance'!$N$7</f>
        <v>513</v>
      </c>
      <c r="B515" s="18">
        <f t="shared" si="1"/>
        <v>5.422060732</v>
      </c>
      <c r="C515" s="13">
        <f t="shared" si="2"/>
        <v>1</v>
      </c>
      <c r="D515" s="13">
        <f t="shared" si="3"/>
        <v>0</v>
      </c>
      <c r="O515" s="4"/>
      <c r="P515" s="4"/>
      <c r="Q515" s="4"/>
      <c r="R515" s="4"/>
    </row>
    <row r="516" ht="15.75" customHeight="1">
      <c r="A516" s="13">
        <f>A515+'Energy Balance'!$N$7</f>
        <v>514</v>
      </c>
      <c r="B516" s="18">
        <f t="shared" si="1"/>
        <v>5.432630051</v>
      </c>
      <c r="C516" s="13">
        <f t="shared" si="2"/>
        <v>1</v>
      </c>
      <c r="D516" s="13">
        <f t="shared" si="3"/>
        <v>0</v>
      </c>
      <c r="O516" s="4"/>
      <c r="P516" s="4"/>
      <c r="Q516" s="4"/>
      <c r="R516" s="4"/>
    </row>
    <row r="517" ht="15.75" customHeight="1">
      <c r="A517" s="13">
        <f>A516+'Energy Balance'!$N$7</f>
        <v>515</v>
      </c>
      <c r="B517" s="18">
        <f t="shared" si="1"/>
        <v>5.44319937</v>
      </c>
      <c r="C517" s="13">
        <f t="shared" si="2"/>
        <v>1</v>
      </c>
      <c r="D517" s="13">
        <f t="shared" si="3"/>
        <v>0</v>
      </c>
      <c r="O517" s="4"/>
      <c r="P517" s="4"/>
      <c r="Q517" s="4"/>
      <c r="R517" s="4"/>
    </row>
    <row r="518" ht="15.75" customHeight="1">
      <c r="A518" s="13">
        <f>A517+'Energy Balance'!$N$7</f>
        <v>516</v>
      </c>
      <c r="B518" s="18">
        <f t="shared" si="1"/>
        <v>5.45376869</v>
      </c>
      <c r="C518" s="13">
        <f t="shared" si="2"/>
        <v>1</v>
      </c>
      <c r="D518" s="13">
        <f t="shared" si="3"/>
        <v>0</v>
      </c>
      <c r="O518" s="4"/>
      <c r="P518" s="4"/>
      <c r="Q518" s="4"/>
      <c r="R518" s="4"/>
    </row>
    <row r="519" ht="15.75" customHeight="1">
      <c r="A519" s="13">
        <f>A518+'Energy Balance'!$N$7</f>
        <v>517</v>
      </c>
      <c r="B519" s="18">
        <f t="shared" si="1"/>
        <v>5.464338009</v>
      </c>
      <c r="C519" s="13">
        <f t="shared" si="2"/>
        <v>1</v>
      </c>
      <c r="D519" s="13">
        <f t="shared" si="3"/>
        <v>0</v>
      </c>
      <c r="O519" s="4"/>
      <c r="P519" s="4"/>
      <c r="Q519" s="4"/>
      <c r="R519" s="4"/>
    </row>
    <row r="520" ht="15.75" customHeight="1">
      <c r="A520" s="13">
        <f>A519+'Energy Balance'!$N$7</f>
        <v>518</v>
      </c>
      <c r="B520" s="18">
        <f t="shared" si="1"/>
        <v>5.474907328</v>
      </c>
      <c r="C520" s="13">
        <f t="shared" si="2"/>
        <v>1</v>
      </c>
      <c r="D520" s="13">
        <f t="shared" si="3"/>
        <v>0</v>
      </c>
      <c r="O520" s="4"/>
      <c r="P520" s="4"/>
      <c r="Q520" s="4"/>
      <c r="R520" s="4"/>
    </row>
    <row r="521" ht="15.75" customHeight="1">
      <c r="A521" s="13">
        <f>A520+'Energy Balance'!$N$7</f>
        <v>519</v>
      </c>
      <c r="B521" s="18">
        <f t="shared" si="1"/>
        <v>5.485476647</v>
      </c>
      <c r="C521" s="13">
        <f t="shared" si="2"/>
        <v>1</v>
      </c>
      <c r="D521" s="13">
        <f t="shared" si="3"/>
        <v>0</v>
      </c>
      <c r="O521" s="4"/>
      <c r="P521" s="4"/>
      <c r="Q521" s="4"/>
      <c r="R521" s="4"/>
    </row>
    <row r="522" ht="15.75" customHeight="1">
      <c r="A522" s="13">
        <f>A521+'Energy Balance'!$N$7</f>
        <v>520</v>
      </c>
      <c r="B522" s="18">
        <f t="shared" si="1"/>
        <v>5.496045966</v>
      </c>
      <c r="C522" s="13">
        <f t="shared" si="2"/>
        <v>1</v>
      </c>
      <c r="D522" s="13">
        <f t="shared" si="3"/>
        <v>0</v>
      </c>
      <c r="O522" s="4"/>
      <c r="P522" s="4"/>
      <c r="Q522" s="4"/>
      <c r="R522" s="4"/>
    </row>
    <row r="523" ht="15.75" customHeight="1">
      <c r="A523" s="13">
        <f>A522+'Energy Balance'!$N$7</f>
        <v>521</v>
      </c>
      <c r="B523" s="18">
        <f t="shared" si="1"/>
        <v>5.506615285</v>
      </c>
      <c r="C523" s="13">
        <f t="shared" si="2"/>
        <v>1</v>
      </c>
      <c r="D523" s="13">
        <f t="shared" si="3"/>
        <v>0</v>
      </c>
      <c r="O523" s="4"/>
      <c r="P523" s="4"/>
      <c r="Q523" s="4"/>
      <c r="R523" s="4"/>
    </row>
    <row r="524" ht="15.75" customHeight="1">
      <c r="A524" s="13">
        <f>A523+'Energy Balance'!$N$7</f>
        <v>522</v>
      </c>
      <c r="B524" s="18">
        <f t="shared" si="1"/>
        <v>5.517184605</v>
      </c>
      <c r="C524" s="13">
        <f t="shared" si="2"/>
        <v>1</v>
      </c>
      <c r="D524" s="13">
        <f t="shared" si="3"/>
        <v>0</v>
      </c>
      <c r="O524" s="4"/>
      <c r="P524" s="4"/>
      <c r="Q524" s="4"/>
      <c r="R524" s="4"/>
    </row>
    <row r="525" ht="15.75" customHeight="1">
      <c r="A525" s="13">
        <f>A524+'Energy Balance'!$N$7</f>
        <v>523</v>
      </c>
      <c r="B525" s="18">
        <f t="shared" si="1"/>
        <v>5.527753924</v>
      </c>
      <c r="C525" s="13">
        <f t="shared" si="2"/>
        <v>1</v>
      </c>
      <c r="D525" s="13">
        <f t="shared" si="3"/>
        <v>0</v>
      </c>
      <c r="O525" s="4"/>
      <c r="P525" s="4"/>
      <c r="Q525" s="4"/>
      <c r="R525" s="4"/>
    </row>
    <row r="526" ht="15.75" customHeight="1">
      <c r="A526" s="13">
        <f>A525+'Energy Balance'!$N$7</f>
        <v>524</v>
      </c>
      <c r="B526" s="18">
        <f t="shared" si="1"/>
        <v>5.538323243</v>
      </c>
      <c r="C526" s="13">
        <f t="shared" si="2"/>
        <v>1</v>
      </c>
      <c r="D526" s="13">
        <f t="shared" si="3"/>
        <v>0</v>
      </c>
      <c r="O526" s="4"/>
      <c r="P526" s="4"/>
      <c r="Q526" s="4"/>
      <c r="R526" s="4"/>
    </row>
    <row r="527" ht="15.75" customHeight="1">
      <c r="A527" s="13">
        <f>A526+'Energy Balance'!$N$7</f>
        <v>525</v>
      </c>
      <c r="B527" s="18">
        <f t="shared" si="1"/>
        <v>5.548892562</v>
      </c>
      <c r="C527" s="13">
        <f t="shared" si="2"/>
        <v>1</v>
      </c>
      <c r="D527" s="13">
        <f t="shared" si="3"/>
        <v>0</v>
      </c>
      <c r="O527" s="4"/>
      <c r="P527" s="4"/>
      <c r="Q527" s="4"/>
      <c r="R527" s="4"/>
    </row>
    <row r="528" ht="15.75" customHeight="1">
      <c r="A528" s="13">
        <f>A527+'Energy Balance'!$N$7</f>
        <v>526</v>
      </c>
      <c r="B528" s="18">
        <f t="shared" si="1"/>
        <v>5.559461881</v>
      </c>
      <c r="C528" s="13">
        <f t="shared" si="2"/>
        <v>1</v>
      </c>
      <c r="D528" s="13">
        <f t="shared" si="3"/>
        <v>0</v>
      </c>
      <c r="O528" s="4"/>
      <c r="P528" s="4"/>
      <c r="Q528" s="4"/>
      <c r="R528" s="4"/>
    </row>
    <row r="529" ht="15.75" customHeight="1">
      <c r="A529" s="13">
        <f>A528+'Energy Balance'!$N$7</f>
        <v>527</v>
      </c>
      <c r="B529" s="18">
        <f t="shared" si="1"/>
        <v>5.5700312</v>
      </c>
      <c r="C529" s="13">
        <f t="shared" si="2"/>
        <v>1</v>
      </c>
      <c r="D529" s="13">
        <f t="shared" si="3"/>
        <v>0</v>
      </c>
      <c r="O529" s="4"/>
      <c r="P529" s="4"/>
      <c r="Q529" s="4"/>
      <c r="R529" s="4"/>
    </row>
    <row r="530" ht="15.75" customHeight="1">
      <c r="A530" s="13">
        <f>A529+'Energy Balance'!$N$7</f>
        <v>528</v>
      </c>
      <c r="B530" s="18">
        <f t="shared" si="1"/>
        <v>5.58060052</v>
      </c>
      <c r="C530" s="13">
        <f t="shared" si="2"/>
        <v>1</v>
      </c>
      <c r="D530" s="13">
        <f t="shared" si="3"/>
        <v>0</v>
      </c>
      <c r="O530" s="4"/>
      <c r="P530" s="4"/>
      <c r="Q530" s="4"/>
      <c r="R530" s="4"/>
    </row>
    <row r="531" ht="15.75" customHeight="1">
      <c r="A531" s="13">
        <f>A530+'Energy Balance'!$N$7</f>
        <v>529</v>
      </c>
      <c r="B531" s="18">
        <f t="shared" si="1"/>
        <v>5.591169839</v>
      </c>
      <c r="C531" s="13">
        <f t="shared" si="2"/>
        <v>1</v>
      </c>
      <c r="D531" s="13">
        <f t="shared" si="3"/>
        <v>0</v>
      </c>
      <c r="O531" s="4"/>
      <c r="P531" s="4"/>
      <c r="Q531" s="4"/>
      <c r="R531" s="4"/>
    </row>
    <row r="532" ht="15.75" customHeight="1">
      <c r="A532" s="13">
        <f>A531+'Energy Balance'!$N$7</f>
        <v>530</v>
      </c>
      <c r="B532" s="18">
        <f t="shared" si="1"/>
        <v>5.601739158</v>
      </c>
      <c r="C532" s="13">
        <f t="shared" si="2"/>
        <v>1</v>
      </c>
      <c r="D532" s="13">
        <f t="shared" si="3"/>
        <v>0</v>
      </c>
      <c r="O532" s="4"/>
      <c r="P532" s="4"/>
      <c r="Q532" s="4"/>
      <c r="R532" s="4"/>
    </row>
    <row r="533" ht="15.75" customHeight="1">
      <c r="A533" s="13">
        <f>A532+'Energy Balance'!$N$7</f>
        <v>531</v>
      </c>
      <c r="B533" s="18">
        <f t="shared" si="1"/>
        <v>5.612308477</v>
      </c>
      <c r="C533" s="13">
        <f t="shared" si="2"/>
        <v>1</v>
      </c>
      <c r="D533" s="13">
        <f t="shared" si="3"/>
        <v>0</v>
      </c>
      <c r="O533" s="4"/>
      <c r="P533" s="4"/>
      <c r="Q533" s="4"/>
      <c r="R533" s="4"/>
    </row>
    <row r="534" ht="15.75" customHeight="1">
      <c r="A534" s="13">
        <f>A533+'Energy Balance'!$N$7</f>
        <v>532</v>
      </c>
      <c r="B534" s="18">
        <f t="shared" si="1"/>
        <v>5.622877796</v>
      </c>
      <c r="C534" s="13">
        <f t="shared" si="2"/>
        <v>0</v>
      </c>
      <c r="D534" s="13">
        <f t="shared" si="3"/>
        <v>1</v>
      </c>
      <c r="O534" s="4"/>
      <c r="P534" s="4"/>
      <c r="Q534" s="4"/>
      <c r="R534" s="4"/>
    </row>
    <row r="535" ht="15.75" customHeight="1">
      <c r="A535" s="13">
        <f>A534+'Energy Balance'!$N$7</f>
        <v>533</v>
      </c>
      <c r="B535" s="18">
        <f t="shared" si="1"/>
        <v>5.633447115</v>
      </c>
      <c r="C535" s="13">
        <f t="shared" si="2"/>
        <v>0</v>
      </c>
      <c r="D535" s="13">
        <f t="shared" si="3"/>
        <v>1</v>
      </c>
      <c r="O535" s="4"/>
      <c r="P535" s="4"/>
      <c r="Q535" s="4"/>
      <c r="R535" s="4"/>
    </row>
    <row r="536" ht="15.75" customHeight="1">
      <c r="A536" s="13">
        <f>A535+'Energy Balance'!$N$7</f>
        <v>534</v>
      </c>
      <c r="B536" s="18">
        <f t="shared" si="1"/>
        <v>5.644016435</v>
      </c>
      <c r="C536" s="13">
        <f t="shared" si="2"/>
        <v>0</v>
      </c>
      <c r="D536" s="13">
        <f t="shared" si="3"/>
        <v>1</v>
      </c>
      <c r="O536" s="4"/>
      <c r="P536" s="4"/>
      <c r="Q536" s="4"/>
      <c r="R536" s="4"/>
    </row>
    <row r="537" ht="15.75" customHeight="1">
      <c r="A537" s="13">
        <f>A536+'Energy Balance'!$N$7</f>
        <v>535</v>
      </c>
      <c r="B537" s="18">
        <f t="shared" si="1"/>
        <v>5.654585754</v>
      </c>
      <c r="C537" s="13">
        <f t="shared" si="2"/>
        <v>0</v>
      </c>
      <c r="D537" s="13">
        <f t="shared" si="3"/>
        <v>1</v>
      </c>
      <c r="O537" s="4"/>
      <c r="P537" s="4"/>
      <c r="Q537" s="4"/>
      <c r="R537" s="4"/>
    </row>
    <row r="538" ht="15.75" customHeight="1">
      <c r="A538" s="13">
        <f>A537+'Energy Balance'!$N$7</f>
        <v>536</v>
      </c>
      <c r="B538" s="18">
        <f t="shared" si="1"/>
        <v>5.665155073</v>
      </c>
      <c r="C538" s="13">
        <f t="shared" si="2"/>
        <v>0</v>
      </c>
      <c r="D538" s="13">
        <f t="shared" si="3"/>
        <v>1</v>
      </c>
      <c r="O538" s="4"/>
      <c r="P538" s="4"/>
      <c r="Q538" s="4"/>
      <c r="R538" s="4"/>
    </row>
    <row r="539" ht="15.75" customHeight="1">
      <c r="A539" s="13">
        <f>A538+'Energy Balance'!$N$7</f>
        <v>537</v>
      </c>
      <c r="B539" s="18">
        <f t="shared" si="1"/>
        <v>5.675724392</v>
      </c>
      <c r="C539" s="13">
        <f t="shared" si="2"/>
        <v>0</v>
      </c>
      <c r="D539" s="13">
        <f t="shared" si="3"/>
        <v>1</v>
      </c>
      <c r="O539" s="4"/>
      <c r="P539" s="4"/>
      <c r="Q539" s="4"/>
      <c r="R539" s="4"/>
    </row>
    <row r="540" ht="15.75" customHeight="1">
      <c r="A540" s="13">
        <f>A539+'Energy Balance'!$N$7</f>
        <v>538</v>
      </c>
      <c r="B540" s="18">
        <f t="shared" si="1"/>
        <v>5.686293711</v>
      </c>
      <c r="C540" s="13">
        <f t="shared" si="2"/>
        <v>0</v>
      </c>
      <c r="D540" s="13">
        <f t="shared" si="3"/>
        <v>1</v>
      </c>
      <c r="O540" s="4"/>
      <c r="P540" s="4"/>
      <c r="Q540" s="4"/>
      <c r="R540" s="4"/>
    </row>
    <row r="541" ht="15.75" customHeight="1">
      <c r="A541" s="13">
        <f>A540+'Energy Balance'!$N$7</f>
        <v>539</v>
      </c>
      <c r="B541" s="18">
        <f t="shared" si="1"/>
        <v>5.69686303</v>
      </c>
      <c r="C541" s="13">
        <f t="shared" si="2"/>
        <v>0</v>
      </c>
      <c r="D541" s="13">
        <f t="shared" si="3"/>
        <v>1</v>
      </c>
      <c r="O541" s="4"/>
      <c r="P541" s="4"/>
      <c r="Q541" s="4"/>
      <c r="R541" s="4"/>
    </row>
    <row r="542" ht="15.75" customHeight="1">
      <c r="A542" s="13">
        <f>A541+'Energy Balance'!$N$7</f>
        <v>540</v>
      </c>
      <c r="B542" s="18">
        <f t="shared" si="1"/>
        <v>5.70743235</v>
      </c>
      <c r="C542" s="13">
        <f t="shared" si="2"/>
        <v>0</v>
      </c>
      <c r="D542" s="13">
        <f t="shared" si="3"/>
        <v>1</v>
      </c>
      <c r="O542" s="4"/>
      <c r="P542" s="4"/>
      <c r="Q542" s="4"/>
      <c r="R542" s="4"/>
    </row>
    <row r="543" ht="15.75" customHeight="1">
      <c r="A543" s="13">
        <f>A542+'Energy Balance'!$N$7</f>
        <v>541</v>
      </c>
      <c r="B543" s="18">
        <f t="shared" si="1"/>
        <v>5.718001669</v>
      </c>
      <c r="C543" s="13">
        <f t="shared" si="2"/>
        <v>0</v>
      </c>
      <c r="D543" s="13">
        <f t="shared" si="3"/>
        <v>1</v>
      </c>
      <c r="O543" s="4"/>
      <c r="P543" s="4"/>
      <c r="Q543" s="4"/>
      <c r="R543" s="4"/>
    </row>
    <row r="544" ht="15.75" customHeight="1">
      <c r="A544" s="13">
        <f>A543+'Energy Balance'!$N$7</f>
        <v>542</v>
      </c>
      <c r="B544" s="18">
        <f t="shared" si="1"/>
        <v>5.728570988</v>
      </c>
      <c r="C544" s="13">
        <f t="shared" si="2"/>
        <v>0</v>
      </c>
      <c r="D544" s="13">
        <f t="shared" si="3"/>
        <v>1</v>
      </c>
      <c r="O544" s="4"/>
      <c r="P544" s="4"/>
      <c r="Q544" s="4"/>
      <c r="R544" s="4"/>
    </row>
    <row r="545" ht="15.75" customHeight="1">
      <c r="A545" s="13">
        <f>A544+'Energy Balance'!$N$7</f>
        <v>543</v>
      </c>
      <c r="B545" s="18">
        <f t="shared" si="1"/>
        <v>5.739140307</v>
      </c>
      <c r="C545" s="13">
        <f t="shared" si="2"/>
        <v>0</v>
      </c>
      <c r="D545" s="13">
        <f t="shared" si="3"/>
        <v>1</v>
      </c>
      <c r="O545" s="4"/>
      <c r="P545" s="4"/>
      <c r="Q545" s="4"/>
      <c r="R545" s="4"/>
    </row>
    <row r="546" ht="15.75" customHeight="1">
      <c r="A546" s="13">
        <f>A545+'Energy Balance'!$N$7</f>
        <v>544</v>
      </c>
      <c r="B546" s="18">
        <f t="shared" si="1"/>
        <v>5.749709626</v>
      </c>
      <c r="C546" s="13">
        <f t="shared" si="2"/>
        <v>0</v>
      </c>
      <c r="D546" s="13">
        <f t="shared" si="3"/>
        <v>1</v>
      </c>
      <c r="O546" s="4"/>
      <c r="P546" s="4"/>
      <c r="Q546" s="4"/>
      <c r="R546" s="4"/>
    </row>
    <row r="547" ht="15.75" customHeight="1">
      <c r="A547" s="13">
        <f>A546+'Energy Balance'!$N$7</f>
        <v>545</v>
      </c>
      <c r="B547" s="18">
        <f t="shared" si="1"/>
        <v>5.760278945</v>
      </c>
      <c r="C547" s="13">
        <f t="shared" si="2"/>
        <v>0</v>
      </c>
      <c r="D547" s="13">
        <f t="shared" si="3"/>
        <v>1</v>
      </c>
      <c r="O547" s="4"/>
      <c r="P547" s="4"/>
      <c r="Q547" s="4"/>
      <c r="R547" s="4"/>
    </row>
    <row r="548" ht="15.75" customHeight="1">
      <c r="A548" s="13">
        <f>A547+'Energy Balance'!$N$7</f>
        <v>546</v>
      </c>
      <c r="B548" s="18">
        <f t="shared" si="1"/>
        <v>5.770848265</v>
      </c>
      <c r="C548" s="13">
        <f t="shared" si="2"/>
        <v>0</v>
      </c>
      <c r="D548" s="13">
        <f t="shared" si="3"/>
        <v>1</v>
      </c>
      <c r="O548" s="4"/>
      <c r="P548" s="4"/>
      <c r="Q548" s="4"/>
      <c r="R548" s="4"/>
    </row>
    <row r="549" ht="15.75" customHeight="1">
      <c r="A549" s="13">
        <f>A548+'Energy Balance'!$N$7</f>
        <v>547</v>
      </c>
      <c r="B549" s="18">
        <f t="shared" si="1"/>
        <v>5.781417584</v>
      </c>
      <c r="C549" s="13">
        <f t="shared" si="2"/>
        <v>0</v>
      </c>
      <c r="D549" s="13">
        <f t="shared" si="3"/>
        <v>1</v>
      </c>
      <c r="O549" s="4"/>
      <c r="P549" s="4"/>
      <c r="Q549" s="4"/>
      <c r="R549" s="4"/>
    </row>
    <row r="550" ht="15.75" customHeight="1">
      <c r="A550" s="13">
        <f>A549+'Energy Balance'!$N$7</f>
        <v>548</v>
      </c>
      <c r="B550" s="18">
        <f t="shared" si="1"/>
        <v>5.791986903</v>
      </c>
      <c r="C550" s="13">
        <f t="shared" si="2"/>
        <v>0</v>
      </c>
      <c r="D550" s="13">
        <f t="shared" si="3"/>
        <v>1</v>
      </c>
      <c r="O550" s="4"/>
      <c r="P550" s="4"/>
      <c r="Q550" s="4"/>
      <c r="R550" s="4"/>
    </row>
    <row r="551" ht="15.75" customHeight="1">
      <c r="A551" s="13">
        <f>A550+'Energy Balance'!$N$7</f>
        <v>549</v>
      </c>
      <c r="B551" s="18">
        <f t="shared" si="1"/>
        <v>5.802556222</v>
      </c>
      <c r="C551" s="13">
        <f t="shared" si="2"/>
        <v>0</v>
      </c>
      <c r="D551" s="13">
        <f t="shared" si="3"/>
        <v>1</v>
      </c>
      <c r="O551" s="4"/>
      <c r="P551" s="4"/>
      <c r="Q551" s="4"/>
      <c r="R551" s="4"/>
    </row>
    <row r="552" ht="15.75" customHeight="1">
      <c r="A552" s="13">
        <f>A551+'Energy Balance'!$N$7</f>
        <v>550</v>
      </c>
      <c r="B552" s="18">
        <f t="shared" si="1"/>
        <v>5.813125541</v>
      </c>
      <c r="C552" s="13">
        <f t="shared" si="2"/>
        <v>0</v>
      </c>
      <c r="D552" s="13">
        <f t="shared" si="3"/>
        <v>1</v>
      </c>
      <c r="O552" s="4"/>
      <c r="P552" s="4"/>
      <c r="Q552" s="4"/>
      <c r="R552" s="4"/>
    </row>
    <row r="553" ht="15.75" customHeight="1">
      <c r="A553" s="13">
        <f>A552+'Energy Balance'!$N$7</f>
        <v>551</v>
      </c>
      <c r="B553" s="18">
        <f t="shared" si="1"/>
        <v>5.82369486</v>
      </c>
      <c r="C553" s="13">
        <f t="shared" si="2"/>
        <v>0</v>
      </c>
      <c r="D553" s="13">
        <f t="shared" si="3"/>
        <v>1</v>
      </c>
      <c r="O553" s="4"/>
      <c r="P553" s="4"/>
      <c r="Q553" s="4"/>
      <c r="R553" s="4"/>
    </row>
    <row r="554" ht="15.75" customHeight="1">
      <c r="A554" s="13">
        <f>A553+'Energy Balance'!$N$7</f>
        <v>552</v>
      </c>
      <c r="B554" s="18">
        <f t="shared" si="1"/>
        <v>5.83426418</v>
      </c>
      <c r="C554" s="13">
        <f t="shared" si="2"/>
        <v>0</v>
      </c>
      <c r="D554" s="13">
        <f t="shared" si="3"/>
        <v>1</v>
      </c>
      <c r="O554" s="4"/>
      <c r="P554" s="4"/>
      <c r="Q554" s="4"/>
      <c r="R554" s="4"/>
    </row>
    <row r="555" ht="15.75" customHeight="1">
      <c r="A555" s="13">
        <f>A554+'Energy Balance'!$N$7</f>
        <v>553</v>
      </c>
      <c r="B555" s="18">
        <f t="shared" si="1"/>
        <v>5.844833499</v>
      </c>
      <c r="C555" s="13">
        <f t="shared" si="2"/>
        <v>0</v>
      </c>
      <c r="D555" s="13">
        <f t="shared" si="3"/>
        <v>1</v>
      </c>
      <c r="O555" s="4"/>
      <c r="P555" s="4"/>
      <c r="Q555" s="4"/>
      <c r="R555" s="4"/>
    </row>
    <row r="556" ht="15.75" customHeight="1">
      <c r="A556" s="13">
        <f>A555+'Energy Balance'!$N$7</f>
        <v>554</v>
      </c>
      <c r="B556" s="18">
        <f t="shared" si="1"/>
        <v>5.855402818</v>
      </c>
      <c r="C556" s="13">
        <f t="shared" si="2"/>
        <v>0</v>
      </c>
      <c r="D556" s="13">
        <f t="shared" si="3"/>
        <v>1</v>
      </c>
      <c r="O556" s="4"/>
      <c r="P556" s="4"/>
      <c r="Q556" s="4"/>
      <c r="R556" s="4"/>
    </row>
    <row r="557" ht="15.75" customHeight="1">
      <c r="A557" s="13">
        <f>A556+'Energy Balance'!$N$7</f>
        <v>555</v>
      </c>
      <c r="B557" s="18">
        <f t="shared" si="1"/>
        <v>5.865972137</v>
      </c>
      <c r="C557" s="13">
        <f t="shared" si="2"/>
        <v>0</v>
      </c>
      <c r="D557" s="13">
        <f t="shared" si="3"/>
        <v>1</v>
      </c>
      <c r="O557" s="4"/>
      <c r="P557" s="4"/>
      <c r="Q557" s="4"/>
      <c r="R557" s="4"/>
    </row>
    <row r="558" ht="15.75" customHeight="1">
      <c r="A558" s="13">
        <f>A557+'Energy Balance'!$N$7</f>
        <v>556</v>
      </c>
      <c r="B558" s="18">
        <f t="shared" si="1"/>
        <v>5.876541456</v>
      </c>
      <c r="C558" s="13">
        <f t="shared" si="2"/>
        <v>0</v>
      </c>
      <c r="D558" s="13">
        <f t="shared" si="3"/>
        <v>1</v>
      </c>
      <c r="O558" s="4"/>
      <c r="P558" s="4"/>
      <c r="Q558" s="4"/>
      <c r="R558" s="4"/>
    </row>
    <row r="559" ht="15.75" customHeight="1">
      <c r="A559" s="13">
        <f>A558+'Energy Balance'!$N$7</f>
        <v>557</v>
      </c>
      <c r="B559" s="18">
        <f t="shared" si="1"/>
        <v>5.887110775</v>
      </c>
      <c r="C559" s="13">
        <f t="shared" si="2"/>
        <v>0</v>
      </c>
      <c r="D559" s="13">
        <f t="shared" si="3"/>
        <v>1</v>
      </c>
      <c r="O559" s="4"/>
      <c r="P559" s="4"/>
      <c r="Q559" s="4"/>
      <c r="R559" s="4"/>
    </row>
    <row r="560" ht="15.75" customHeight="1">
      <c r="A560" s="13">
        <f>A559+'Energy Balance'!$N$7</f>
        <v>558</v>
      </c>
      <c r="B560" s="18">
        <f t="shared" si="1"/>
        <v>5.897680095</v>
      </c>
      <c r="C560" s="13">
        <f t="shared" si="2"/>
        <v>0</v>
      </c>
      <c r="D560" s="13">
        <f t="shared" si="3"/>
        <v>1</v>
      </c>
      <c r="O560" s="4"/>
      <c r="P560" s="4"/>
      <c r="Q560" s="4"/>
      <c r="R560" s="4"/>
    </row>
    <row r="561" ht="15.75" customHeight="1">
      <c r="A561" s="13">
        <f>A560+'Energy Balance'!$N$7</f>
        <v>559</v>
      </c>
      <c r="B561" s="18">
        <f t="shared" si="1"/>
        <v>5.908249414</v>
      </c>
      <c r="C561" s="13">
        <f t="shared" si="2"/>
        <v>0</v>
      </c>
      <c r="D561" s="13">
        <f t="shared" si="3"/>
        <v>1</v>
      </c>
      <c r="O561" s="4"/>
      <c r="P561" s="4"/>
      <c r="Q561" s="4"/>
      <c r="R561" s="4"/>
    </row>
    <row r="562" ht="15.75" customHeight="1">
      <c r="A562" s="13">
        <f>A561+'Energy Balance'!$N$7</f>
        <v>560</v>
      </c>
      <c r="B562" s="18">
        <f t="shared" si="1"/>
        <v>5.918818733</v>
      </c>
      <c r="C562" s="13">
        <f t="shared" si="2"/>
        <v>0</v>
      </c>
      <c r="D562" s="13">
        <f t="shared" si="3"/>
        <v>1</v>
      </c>
      <c r="O562" s="4"/>
      <c r="P562" s="4"/>
      <c r="Q562" s="4"/>
      <c r="R562" s="4"/>
    </row>
    <row r="563" ht="15.75" customHeight="1">
      <c r="A563" s="13">
        <f>A562+'Energy Balance'!$N$7</f>
        <v>561</v>
      </c>
      <c r="B563" s="18">
        <f t="shared" si="1"/>
        <v>5.929388052</v>
      </c>
      <c r="C563" s="13">
        <f t="shared" si="2"/>
        <v>0</v>
      </c>
      <c r="D563" s="13">
        <f t="shared" si="3"/>
        <v>1</v>
      </c>
      <c r="O563" s="4"/>
      <c r="P563" s="4"/>
      <c r="Q563" s="4"/>
      <c r="R563" s="4"/>
    </row>
    <row r="564" ht="15.75" customHeight="1">
      <c r="A564" s="13">
        <f>A563+'Energy Balance'!$N$7</f>
        <v>562</v>
      </c>
      <c r="B564" s="18">
        <f t="shared" si="1"/>
        <v>5.939957371</v>
      </c>
      <c r="C564" s="13">
        <f t="shared" si="2"/>
        <v>0</v>
      </c>
      <c r="D564" s="13">
        <f t="shared" si="3"/>
        <v>1</v>
      </c>
      <c r="O564" s="4"/>
      <c r="P564" s="4"/>
      <c r="Q564" s="4"/>
      <c r="R564" s="4"/>
    </row>
    <row r="565" ht="15.75" customHeight="1">
      <c r="A565" s="13">
        <f>A564+'Energy Balance'!$N$7</f>
        <v>563</v>
      </c>
      <c r="B565" s="18">
        <f t="shared" si="1"/>
        <v>5.95052669</v>
      </c>
      <c r="C565" s="13">
        <f t="shared" si="2"/>
        <v>0</v>
      </c>
      <c r="D565" s="13">
        <f t="shared" si="3"/>
        <v>1</v>
      </c>
      <c r="O565" s="4"/>
      <c r="P565" s="4"/>
      <c r="Q565" s="4"/>
      <c r="R565" s="4"/>
    </row>
    <row r="566" ht="15.75" customHeight="1">
      <c r="A566" s="13">
        <f>A565+'Energy Balance'!$N$7</f>
        <v>564</v>
      </c>
      <c r="B566" s="18">
        <f t="shared" si="1"/>
        <v>5.96109601</v>
      </c>
      <c r="C566" s="13">
        <f t="shared" si="2"/>
        <v>0</v>
      </c>
      <c r="D566" s="13">
        <f t="shared" si="3"/>
        <v>1</v>
      </c>
      <c r="O566" s="4"/>
      <c r="P566" s="4"/>
      <c r="Q566" s="4"/>
      <c r="R566" s="4"/>
    </row>
    <row r="567" ht="15.75" customHeight="1">
      <c r="A567" s="13">
        <f>A566+'Energy Balance'!$N$7</f>
        <v>565</v>
      </c>
      <c r="B567" s="18">
        <f t="shared" si="1"/>
        <v>5.971665329</v>
      </c>
      <c r="C567" s="13">
        <f t="shared" si="2"/>
        <v>0</v>
      </c>
      <c r="D567" s="13">
        <f t="shared" si="3"/>
        <v>1</v>
      </c>
      <c r="O567" s="4"/>
      <c r="P567" s="4"/>
      <c r="Q567" s="4"/>
      <c r="R567" s="4"/>
    </row>
    <row r="568" ht="15.75" customHeight="1">
      <c r="A568" s="13">
        <f>A567+'Energy Balance'!$N$7</f>
        <v>566</v>
      </c>
      <c r="B568" s="18">
        <f t="shared" si="1"/>
        <v>5.982234648</v>
      </c>
      <c r="C568" s="13">
        <f t="shared" si="2"/>
        <v>0</v>
      </c>
      <c r="D568" s="13">
        <f t="shared" si="3"/>
        <v>1</v>
      </c>
      <c r="O568" s="4"/>
      <c r="P568" s="4"/>
      <c r="Q568" s="4"/>
      <c r="R568" s="4"/>
    </row>
    <row r="569" ht="15.75" customHeight="1">
      <c r="A569" s="13">
        <f>A568+'Energy Balance'!$N$7</f>
        <v>567</v>
      </c>
      <c r="B569" s="18">
        <f t="shared" si="1"/>
        <v>5.992803967</v>
      </c>
      <c r="C569" s="13">
        <f t="shared" si="2"/>
        <v>0</v>
      </c>
      <c r="D569" s="13">
        <f t="shared" si="3"/>
        <v>1</v>
      </c>
      <c r="O569" s="4"/>
      <c r="P569" s="4"/>
      <c r="Q569" s="4"/>
      <c r="R569" s="4"/>
    </row>
    <row r="570" ht="15.75" customHeight="1">
      <c r="A570" s="13">
        <f>A569+'Energy Balance'!$N$7</f>
        <v>568</v>
      </c>
      <c r="B570" s="18">
        <f t="shared" si="1"/>
        <v>6.003373286</v>
      </c>
      <c r="C570" s="13">
        <f t="shared" si="2"/>
        <v>1</v>
      </c>
      <c r="D570" s="13">
        <f t="shared" si="3"/>
        <v>0</v>
      </c>
      <c r="O570" s="4"/>
      <c r="P570" s="4"/>
      <c r="Q570" s="4"/>
      <c r="R570" s="4"/>
    </row>
    <row r="571" ht="15.75" customHeight="1">
      <c r="A571" s="13">
        <f>A570+'Energy Balance'!$N$7</f>
        <v>569</v>
      </c>
      <c r="B571" s="18">
        <f t="shared" si="1"/>
        <v>6.013942605</v>
      </c>
      <c r="C571" s="13">
        <f t="shared" si="2"/>
        <v>1</v>
      </c>
      <c r="D571" s="13">
        <f t="shared" si="3"/>
        <v>0</v>
      </c>
      <c r="O571" s="4"/>
      <c r="P571" s="4"/>
      <c r="Q571" s="4"/>
      <c r="R571" s="4"/>
    </row>
    <row r="572" ht="15.75" customHeight="1">
      <c r="A572" s="13">
        <f>A571+'Energy Balance'!$N$7</f>
        <v>570</v>
      </c>
      <c r="B572" s="18">
        <f t="shared" si="1"/>
        <v>6.024511925</v>
      </c>
      <c r="C572" s="13">
        <f t="shared" si="2"/>
        <v>1</v>
      </c>
      <c r="D572" s="13">
        <f t="shared" si="3"/>
        <v>0</v>
      </c>
      <c r="O572" s="4"/>
      <c r="P572" s="4"/>
      <c r="Q572" s="4"/>
      <c r="R572" s="4"/>
    </row>
    <row r="573" ht="15.75" customHeight="1">
      <c r="A573" s="13">
        <f>A572+'Energy Balance'!$N$7</f>
        <v>571</v>
      </c>
      <c r="B573" s="18">
        <f t="shared" si="1"/>
        <v>6.035081244</v>
      </c>
      <c r="C573" s="13">
        <f t="shared" si="2"/>
        <v>1</v>
      </c>
      <c r="D573" s="13">
        <f t="shared" si="3"/>
        <v>0</v>
      </c>
      <c r="O573" s="4"/>
      <c r="P573" s="4"/>
      <c r="Q573" s="4"/>
      <c r="R573" s="4"/>
    </row>
    <row r="574" ht="15.75" customHeight="1">
      <c r="A574" s="13">
        <f>A573+'Energy Balance'!$N$7</f>
        <v>572</v>
      </c>
      <c r="B574" s="18">
        <f t="shared" si="1"/>
        <v>6.045650563</v>
      </c>
      <c r="C574" s="13">
        <f t="shared" si="2"/>
        <v>1</v>
      </c>
      <c r="D574" s="13">
        <f t="shared" si="3"/>
        <v>0</v>
      </c>
      <c r="O574" s="4"/>
      <c r="P574" s="4"/>
      <c r="Q574" s="4"/>
      <c r="R574" s="4"/>
    </row>
    <row r="575" ht="15.75" customHeight="1">
      <c r="A575" s="13">
        <f>A574+'Energy Balance'!$N$7</f>
        <v>573</v>
      </c>
      <c r="B575" s="18">
        <f t="shared" si="1"/>
        <v>6.056219882</v>
      </c>
      <c r="C575" s="13">
        <f t="shared" si="2"/>
        <v>1</v>
      </c>
      <c r="D575" s="13">
        <f t="shared" si="3"/>
        <v>0</v>
      </c>
      <c r="O575" s="4"/>
      <c r="P575" s="4"/>
      <c r="Q575" s="4"/>
      <c r="R575" s="4"/>
    </row>
    <row r="576" ht="15.75" customHeight="1">
      <c r="A576" s="13">
        <f>A575+'Energy Balance'!$N$7</f>
        <v>574</v>
      </c>
      <c r="B576" s="18">
        <f t="shared" si="1"/>
        <v>6.066789201</v>
      </c>
      <c r="C576" s="13">
        <f t="shared" si="2"/>
        <v>1</v>
      </c>
      <c r="D576" s="13">
        <f t="shared" si="3"/>
        <v>0</v>
      </c>
      <c r="O576" s="4"/>
      <c r="P576" s="4"/>
      <c r="Q576" s="4"/>
      <c r="R576" s="4"/>
    </row>
    <row r="577" ht="15.75" customHeight="1">
      <c r="A577" s="13">
        <f>A576+'Energy Balance'!$N$7</f>
        <v>575</v>
      </c>
      <c r="B577" s="18">
        <f t="shared" si="1"/>
        <v>6.07735852</v>
      </c>
      <c r="C577" s="13">
        <f t="shared" si="2"/>
        <v>1</v>
      </c>
      <c r="D577" s="13">
        <f t="shared" si="3"/>
        <v>0</v>
      </c>
      <c r="O577" s="4"/>
      <c r="P577" s="4"/>
      <c r="Q577" s="4"/>
      <c r="R577" s="4"/>
    </row>
    <row r="578" ht="15.75" customHeight="1">
      <c r="A578" s="13">
        <f>A577+'Energy Balance'!$N$7</f>
        <v>576</v>
      </c>
      <c r="B578" s="18">
        <f t="shared" si="1"/>
        <v>6.08792784</v>
      </c>
      <c r="C578" s="13">
        <f t="shared" si="2"/>
        <v>1</v>
      </c>
      <c r="D578" s="13">
        <f t="shared" si="3"/>
        <v>0</v>
      </c>
      <c r="O578" s="4"/>
      <c r="P578" s="4"/>
      <c r="Q578" s="4"/>
      <c r="R578" s="4"/>
    </row>
    <row r="579" ht="15.75" customHeight="1">
      <c r="A579" s="13">
        <f>A578+'Energy Balance'!$N$7</f>
        <v>577</v>
      </c>
      <c r="B579" s="18">
        <f t="shared" si="1"/>
        <v>6.098497159</v>
      </c>
      <c r="C579" s="13">
        <f t="shared" si="2"/>
        <v>1</v>
      </c>
      <c r="D579" s="13">
        <f t="shared" si="3"/>
        <v>0</v>
      </c>
      <c r="O579" s="4"/>
      <c r="P579" s="4"/>
      <c r="Q579" s="4"/>
      <c r="R579" s="4"/>
    </row>
    <row r="580" ht="15.75" customHeight="1">
      <c r="A580" s="13">
        <f>A579+'Energy Balance'!$N$7</f>
        <v>578</v>
      </c>
      <c r="B580" s="18">
        <f t="shared" si="1"/>
        <v>6.109066478</v>
      </c>
      <c r="C580" s="13">
        <f t="shared" si="2"/>
        <v>1</v>
      </c>
      <c r="D580" s="13">
        <f t="shared" si="3"/>
        <v>0</v>
      </c>
      <c r="O580" s="4"/>
      <c r="P580" s="4"/>
      <c r="Q580" s="4"/>
      <c r="R580" s="4"/>
    </row>
    <row r="581" ht="15.75" customHeight="1">
      <c r="A581" s="13">
        <f>A580+'Energy Balance'!$N$7</f>
        <v>579</v>
      </c>
      <c r="B581" s="18">
        <f t="shared" si="1"/>
        <v>6.119635797</v>
      </c>
      <c r="C581" s="13">
        <f t="shared" si="2"/>
        <v>1</v>
      </c>
      <c r="D581" s="13">
        <f t="shared" si="3"/>
        <v>0</v>
      </c>
      <c r="O581" s="4"/>
      <c r="P581" s="4"/>
      <c r="Q581" s="4"/>
      <c r="R581" s="4"/>
    </row>
    <row r="582" ht="15.75" customHeight="1">
      <c r="A582" s="13">
        <f>A581+'Energy Balance'!$N$7</f>
        <v>580</v>
      </c>
      <c r="B582" s="18">
        <f t="shared" si="1"/>
        <v>6.130205116</v>
      </c>
      <c r="C582" s="13">
        <f t="shared" si="2"/>
        <v>1</v>
      </c>
      <c r="D582" s="13">
        <f t="shared" si="3"/>
        <v>0</v>
      </c>
      <c r="O582" s="4"/>
      <c r="P582" s="4"/>
      <c r="Q582" s="4"/>
      <c r="R582" s="4"/>
    </row>
    <row r="583" ht="15.75" customHeight="1">
      <c r="A583" s="13">
        <f>A582+'Energy Balance'!$N$7</f>
        <v>581</v>
      </c>
      <c r="B583" s="18">
        <f t="shared" si="1"/>
        <v>6.140774435</v>
      </c>
      <c r="C583" s="13">
        <f t="shared" si="2"/>
        <v>1</v>
      </c>
      <c r="D583" s="13">
        <f t="shared" si="3"/>
        <v>0</v>
      </c>
      <c r="O583" s="4"/>
      <c r="P583" s="4"/>
      <c r="Q583" s="4"/>
      <c r="R583" s="4"/>
    </row>
    <row r="584" ht="15.75" customHeight="1">
      <c r="A584" s="13">
        <f>A583+'Energy Balance'!$N$7</f>
        <v>582</v>
      </c>
      <c r="B584" s="18">
        <f t="shared" si="1"/>
        <v>6.151343755</v>
      </c>
      <c r="C584" s="13">
        <f t="shared" si="2"/>
        <v>1</v>
      </c>
      <c r="D584" s="13">
        <f t="shared" si="3"/>
        <v>0</v>
      </c>
      <c r="O584" s="4"/>
      <c r="P584" s="4"/>
      <c r="Q584" s="4"/>
      <c r="R584" s="4"/>
    </row>
    <row r="585" ht="15.75" customHeight="1">
      <c r="A585" s="13">
        <f>A584+'Energy Balance'!$N$7</f>
        <v>583</v>
      </c>
      <c r="B585" s="18">
        <f t="shared" si="1"/>
        <v>6.161913074</v>
      </c>
      <c r="C585" s="13">
        <f t="shared" si="2"/>
        <v>1</v>
      </c>
      <c r="D585" s="13">
        <f t="shared" si="3"/>
        <v>0</v>
      </c>
      <c r="O585" s="4"/>
      <c r="P585" s="4"/>
      <c r="Q585" s="4"/>
      <c r="R585" s="4"/>
    </row>
    <row r="586" ht="15.75" customHeight="1">
      <c r="A586" s="13">
        <f>A585+'Energy Balance'!$N$7</f>
        <v>584</v>
      </c>
      <c r="B586" s="18">
        <f t="shared" si="1"/>
        <v>6.172482393</v>
      </c>
      <c r="C586" s="13">
        <f t="shared" si="2"/>
        <v>1</v>
      </c>
      <c r="D586" s="13">
        <f t="shared" si="3"/>
        <v>0</v>
      </c>
      <c r="O586" s="4"/>
      <c r="P586" s="4"/>
      <c r="Q586" s="4"/>
      <c r="R586" s="4"/>
    </row>
    <row r="587" ht="15.75" customHeight="1">
      <c r="A587" s="13">
        <f>A586+'Energy Balance'!$N$7</f>
        <v>585</v>
      </c>
      <c r="B587" s="18">
        <f t="shared" si="1"/>
        <v>6.183051712</v>
      </c>
      <c r="C587" s="13">
        <f t="shared" si="2"/>
        <v>1</v>
      </c>
      <c r="D587" s="13">
        <f t="shared" si="3"/>
        <v>0</v>
      </c>
      <c r="O587" s="4"/>
      <c r="P587" s="4"/>
      <c r="Q587" s="4"/>
      <c r="R587" s="4"/>
    </row>
    <row r="588" ht="15.75" customHeight="1">
      <c r="A588" s="13">
        <f>A587+'Energy Balance'!$N$7</f>
        <v>586</v>
      </c>
      <c r="B588" s="18">
        <f t="shared" si="1"/>
        <v>6.193621031</v>
      </c>
      <c r="C588" s="13">
        <f t="shared" si="2"/>
        <v>1</v>
      </c>
      <c r="D588" s="13">
        <f t="shared" si="3"/>
        <v>0</v>
      </c>
      <c r="O588" s="4"/>
      <c r="P588" s="4"/>
      <c r="Q588" s="4"/>
      <c r="R588" s="4"/>
    </row>
    <row r="589" ht="15.75" customHeight="1">
      <c r="A589" s="13">
        <f>A588+'Energy Balance'!$N$7</f>
        <v>587</v>
      </c>
      <c r="B589" s="18">
        <f t="shared" si="1"/>
        <v>6.20419035</v>
      </c>
      <c r="C589" s="13">
        <f t="shared" si="2"/>
        <v>1</v>
      </c>
      <c r="D589" s="13">
        <f t="shared" si="3"/>
        <v>0</v>
      </c>
      <c r="O589" s="4"/>
      <c r="P589" s="4"/>
      <c r="Q589" s="4"/>
      <c r="R589" s="4"/>
    </row>
    <row r="590" ht="15.75" customHeight="1">
      <c r="A590" s="13">
        <f>A589+'Energy Balance'!$N$7</f>
        <v>588</v>
      </c>
      <c r="B590" s="18">
        <f t="shared" si="1"/>
        <v>6.21475967</v>
      </c>
      <c r="C590" s="13">
        <f t="shared" si="2"/>
        <v>1</v>
      </c>
      <c r="D590" s="13">
        <f t="shared" si="3"/>
        <v>0</v>
      </c>
      <c r="O590" s="4"/>
      <c r="P590" s="4"/>
      <c r="Q590" s="4"/>
      <c r="R590" s="4"/>
    </row>
    <row r="591" ht="15.75" customHeight="1">
      <c r="A591" s="13">
        <f>A590+'Energy Balance'!$N$7</f>
        <v>589</v>
      </c>
      <c r="B591" s="18">
        <f t="shared" si="1"/>
        <v>6.225328989</v>
      </c>
      <c r="C591" s="13">
        <f t="shared" si="2"/>
        <v>1</v>
      </c>
      <c r="D591" s="13">
        <f t="shared" si="3"/>
        <v>0</v>
      </c>
      <c r="O591" s="4"/>
      <c r="P591" s="4"/>
      <c r="Q591" s="4"/>
      <c r="R591" s="4"/>
    </row>
    <row r="592" ht="15.75" customHeight="1">
      <c r="A592" s="13">
        <f>A591+'Energy Balance'!$N$7</f>
        <v>590</v>
      </c>
      <c r="B592" s="18">
        <f t="shared" si="1"/>
        <v>6.235898308</v>
      </c>
      <c r="C592" s="13">
        <f t="shared" si="2"/>
        <v>1</v>
      </c>
      <c r="D592" s="13">
        <f t="shared" si="3"/>
        <v>0</v>
      </c>
      <c r="O592" s="4"/>
      <c r="P592" s="4"/>
      <c r="Q592" s="4"/>
      <c r="R592" s="4"/>
    </row>
    <row r="593" ht="15.75" customHeight="1">
      <c r="A593" s="13">
        <f>A592+'Energy Balance'!$N$7</f>
        <v>591</v>
      </c>
      <c r="B593" s="18">
        <f t="shared" si="1"/>
        <v>6.246467627</v>
      </c>
      <c r="C593" s="13">
        <f t="shared" si="2"/>
        <v>1</v>
      </c>
      <c r="D593" s="13">
        <f t="shared" si="3"/>
        <v>0</v>
      </c>
      <c r="O593" s="4"/>
      <c r="P593" s="4"/>
      <c r="Q593" s="4"/>
      <c r="R593" s="4"/>
    </row>
    <row r="594" ht="15.75" customHeight="1">
      <c r="A594" s="13">
        <f>A593+'Energy Balance'!$N$7</f>
        <v>592</v>
      </c>
      <c r="B594" s="18">
        <f t="shared" si="1"/>
        <v>6.257036946</v>
      </c>
      <c r="C594" s="13">
        <f t="shared" si="2"/>
        <v>1</v>
      </c>
      <c r="D594" s="13">
        <f t="shared" si="3"/>
        <v>0</v>
      </c>
      <c r="O594" s="4"/>
      <c r="P594" s="4"/>
      <c r="Q594" s="4"/>
      <c r="R594" s="4"/>
    </row>
    <row r="595" ht="15.75" customHeight="1">
      <c r="A595" s="13">
        <f>A594+'Energy Balance'!$N$7</f>
        <v>593</v>
      </c>
      <c r="B595" s="18">
        <f t="shared" si="1"/>
        <v>6.267606265</v>
      </c>
      <c r="C595" s="13">
        <f t="shared" si="2"/>
        <v>1</v>
      </c>
      <c r="D595" s="13">
        <f t="shared" si="3"/>
        <v>0</v>
      </c>
      <c r="O595" s="4"/>
      <c r="P595" s="4"/>
      <c r="Q595" s="4"/>
      <c r="R595" s="4"/>
    </row>
    <row r="596" ht="15.75" customHeight="1">
      <c r="A596" s="13">
        <f>A595+'Energy Balance'!$N$7</f>
        <v>594</v>
      </c>
      <c r="B596" s="18">
        <f t="shared" si="1"/>
        <v>6.278175585</v>
      </c>
      <c r="C596" s="13">
        <f t="shared" si="2"/>
        <v>1</v>
      </c>
      <c r="D596" s="13">
        <f t="shared" si="3"/>
        <v>0</v>
      </c>
      <c r="O596" s="4"/>
      <c r="P596" s="4"/>
      <c r="Q596" s="4"/>
      <c r="R596" s="4"/>
    </row>
    <row r="597" ht="15.75" customHeight="1">
      <c r="A597" s="13">
        <f>A596+'Energy Balance'!$N$7</f>
        <v>595</v>
      </c>
      <c r="B597" s="18">
        <f t="shared" si="1"/>
        <v>6.288744904</v>
      </c>
      <c r="C597" s="13">
        <f t="shared" si="2"/>
        <v>1</v>
      </c>
      <c r="D597" s="13">
        <f t="shared" si="3"/>
        <v>0</v>
      </c>
      <c r="O597" s="4"/>
      <c r="P597" s="4"/>
      <c r="Q597" s="4"/>
      <c r="R597" s="4"/>
    </row>
    <row r="598" ht="15.75" customHeight="1">
      <c r="A598" s="13">
        <f>A597+'Energy Balance'!$N$7</f>
        <v>596</v>
      </c>
      <c r="B598" s="18">
        <f t="shared" si="1"/>
        <v>6.299314223</v>
      </c>
      <c r="C598" s="13">
        <f t="shared" si="2"/>
        <v>1</v>
      </c>
      <c r="D598" s="13">
        <f t="shared" si="3"/>
        <v>0</v>
      </c>
      <c r="O598" s="4"/>
      <c r="P598" s="4"/>
      <c r="Q598" s="4"/>
      <c r="R598" s="4"/>
    </row>
    <row r="599" ht="15.75" customHeight="1">
      <c r="A599" s="13">
        <f>A598+'Energy Balance'!$N$7</f>
        <v>597</v>
      </c>
      <c r="B599" s="18">
        <f t="shared" si="1"/>
        <v>6.309883542</v>
      </c>
      <c r="C599" s="13">
        <f t="shared" si="2"/>
        <v>1</v>
      </c>
      <c r="D599" s="13">
        <f t="shared" si="3"/>
        <v>0</v>
      </c>
      <c r="O599" s="4"/>
      <c r="P599" s="4"/>
      <c r="Q599" s="4"/>
      <c r="R599" s="4"/>
    </row>
    <row r="600" ht="15.75" customHeight="1">
      <c r="A600" s="13">
        <f>A599+'Energy Balance'!$N$7</f>
        <v>598</v>
      </c>
      <c r="B600" s="18">
        <f t="shared" si="1"/>
        <v>6.320452861</v>
      </c>
      <c r="C600" s="13">
        <f t="shared" si="2"/>
        <v>1</v>
      </c>
      <c r="D600" s="13">
        <f t="shared" si="3"/>
        <v>0</v>
      </c>
      <c r="O600" s="4"/>
      <c r="P600" s="4"/>
      <c r="Q600" s="4"/>
      <c r="R600" s="4"/>
    </row>
    <row r="601" ht="15.75" customHeight="1">
      <c r="A601" s="13">
        <f>A600+'Energy Balance'!$N$7</f>
        <v>599</v>
      </c>
      <c r="B601" s="18">
        <f t="shared" si="1"/>
        <v>6.33102218</v>
      </c>
      <c r="C601" s="13">
        <f t="shared" si="2"/>
        <v>1</v>
      </c>
      <c r="D601" s="13">
        <f t="shared" si="3"/>
        <v>0</v>
      </c>
      <c r="O601" s="4"/>
      <c r="P601" s="4"/>
      <c r="Q601" s="4"/>
      <c r="R601" s="4"/>
    </row>
    <row r="602" ht="15.75" customHeight="1">
      <c r="A602" s="13">
        <f>A601+'Energy Balance'!$N$7</f>
        <v>600</v>
      </c>
      <c r="B602" s="18">
        <f t="shared" si="1"/>
        <v>6.3415915</v>
      </c>
      <c r="C602" s="13">
        <f t="shared" si="2"/>
        <v>1</v>
      </c>
      <c r="D602" s="13">
        <f t="shared" si="3"/>
        <v>0</v>
      </c>
      <c r="O602" s="4"/>
      <c r="P602" s="4"/>
      <c r="Q602" s="4"/>
      <c r="R602" s="4"/>
    </row>
    <row r="603" ht="15.75" customHeight="1">
      <c r="A603" s="13">
        <f>A602+'Energy Balance'!$N$7</f>
        <v>601</v>
      </c>
      <c r="B603" s="18">
        <f t="shared" si="1"/>
        <v>6.352160819</v>
      </c>
      <c r="C603" s="13">
        <f t="shared" si="2"/>
        <v>1</v>
      </c>
      <c r="D603" s="13">
        <f t="shared" si="3"/>
        <v>0</v>
      </c>
      <c r="O603" s="4"/>
      <c r="P603" s="4"/>
      <c r="Q603" s="4"/>
      <c r="R603" s="4"/>
    </row>
    <row r="604" ht="15.75" customHeight="1">
      <c r="A604" s="13">
        <f>A603+'Energy Balance'!$N$7</f>
        <v>602</v>
      </c>
      <c r="B604" s="18">
        <f t="shared" si="1"/>
        <v>6.362730138</v>
      </c>
      <c r="C604" s="13">
        <f t="shared" si="2"/>
        <v>1</v>
      </c>
      <c r="D604" s="13">
        <f t="shared" si="3"/>
        <v>0</v>
      </c>
      <c r="O604" s="4"/>
      <c r="P604" s="4"/>
      <c r="Q604" s="4"/>
      <c r="R604" s="4"/>
    </row>
    <row r="605" ht="15.75" customHeight="1">
      <c r="A605" s="13">
        <f>A604+'Energy Balance'!$N$7</f>
        <v>603</v>
      </c>
      <c r="B605" s="18">
        <f t="shared" si="1"/>
        <v>6.373299457</v>
      </c>
      <c r="C605" s="13">
        <f t="shared" si="2"/>
        <v>1</v>
      </c>
      <c r="D605" s="13">
        <f t="shared" si="3"/>
        <v>0</v>
      </c>
      <c r="O605" s="4"/>
      <c r="P605" s="4"/>
      <c r="Q605" s="4"/>
      <c r="R605" s="4"/>
    </row>
    <row r="606" ht="15.75" customHeight="1">
      <c r="A606" s="13">
        <f>A605+'Energy Balance'!$N$7</f>
        <v>604</v>
      </c>
      <c r="B606" s="18">
        <f t="shared" si="1"/>
        <v>6.383868776</v>
      </c>
      <c r="C606" s="13">
        <f t="shared" si="2"/>
        <v>1</v>
      </c>
      <c r="D606" s="13">
        <f t="shared" si="3"/>
        <v>0</v>
      </c>
      <c r="O606" s="4"/>
      <c r="P606" s="4"/>
      <c r="Q606" s="4"/>
      <c r="R606" s="4"/>
    </row>
    <row r="607" ht="15.75" customHeight="1">
      <c r="A607" s="13">
        <f>A606+'Energy Balance'!$N$7</f>
        <v>605</v>
      </c>
      <c r="B607" s="18">
        <f t="shared" si="1"/>
        <v>6.394438095</v>
      </c>
      <c r="C607" s="13">
        <f t="shared" si="2"/>
        <v>1</v>
      </c>
      <c r="D607" s="13">
        <f t="shared" si="3"/>
        <v>0</v>
      </c>
      <c r="O607" s="4"/>
      <c r="P607" s="4"/>
      <c r="Q607" s="4"/>
      <c r="R607" s="4"/>
    </row>
    <row r="608" ht="15.75" customHeight="1">
      <c r="A608" s="13">
        <f>A607+'Energy Balance'!$N$7</f>
        <v>606</v>
      </c>
      <c r="B608" s="18">
        <f t="shared" si="1"/>
        <v>6.405007415</v>
      </c>
      <c r="C608" s="13">
        <f t="shared" si="2"/>
        <v>1</v>
      </c>
      <c r="D608" s="13">
        <f t="shared" si="3"/>
        <v>0</v>
      </c>
      <c r="O608" s="4"/>
      <c r="P608" s="4"/>
      <c r="Q608" s="4"/>
      <c r="R608" s="4"/>
    </row>
    <row r="609" ht="15.75" customHeight="1">
      <c r="A609" s="13">
        <f>A608+'Energy Balance'!$N$7</f>
        <v>607</v>
      </c>
      <c r="B609" s="18">
        <f t="shared" si="1"/>
        <v>6.415576734</v>
      </c>
      <c r="C609" s="13">
        <f t="shared" si="2"/>
        <v>1</v>
      </c>
      <c r="D609" s="13">
        <f t="shared" si="3"/>
        <v>0</v>
      </c>
      <c r="O609" s="4"/>
      <c r="P609" s="4"/>
      <c r="Q609" s="4"/>
      <c r="R609" s="4"/>
    </row>
    <row r="610" ht="15.75" customHeight="1">
      <c r="A610" s="13">
        <f>A609+'Energy Balance'!$N$7</f>
        <v>608</v>
      </c>
      <c r="B610" s="18">
        <f t="shared" si="1"/>
        <v>6.426146053</v>
      </c>
      <c r="C610" s="13">
        <f t="shared" si="2"/>
        <v>1</v>
      </c>
      <c r="D610" s="13">
        <f t="shared" si="3"/>
        <v>0</v>
      </c>
      <c r="O610" s="4"/>
      <c r="P610" s="4"/>
      <c r="Q610" s="4"/>
      <c r="R610" s="4"/>
    </row>
    <row r="611" ht="15.75" customHeight="1">
      <c r="A611" s="13">
        <f>A610+'Energy Balance'!$N$7</f>
        <v>609</v>
      </c>
      <c r="B611" s="18">
        <f t="shared" si="1"/>
        <v>6.436715372</v>
      </c>
      <c r="C611" s="13">
        <f t="shared" si="2"/>
        <v>1</v>
      </c>
      <c r="D611" s="13">
        <f t="shared" si="3"/>
        <v>0</v>
      </c>
      <c r="O611" s="4"/>
      <c r="P611" s="4"/>
      <c r="Q611" s="4"/>
      <c r="R611" s="4"/>
    </row>
    <row r="612" ht="15.75" customHeight="1">
      <c r="A612" s="13">
        <f>A611+'Energy Balance'!$N$7</f>
        <v>610</v>
      </c>
      <c r="B612" s="18">
        <f t="shared" si="1"/>
        <v>6.447284691</v>
      </c>
      <c r="C612" s="13">
        <f t="shared" si="2"/>
        <v>1</v>
      </c>
      <c r="D612" s="13">
        <f t="shared" si="3"/>
        <v>0</v>
      </c>
      <c r="O612" s="4"/>
      <c r="P612" s="4"/>
      <c r="Q612" s="4"/>
      <c r="R612" s="4"/>
    </row>
    <row r="613" ht="15.75" customHeight="1">
      <c r="A613" s="13">
        <f>A612+'Energy Balance'!$N$7</f>
        <v>611</v>
      </c>
      <c r="B613" s="18">
        <f t="shared" si="1"/>
        <v>6.45785401</v>
      </c>
      <c r="C613" s="13">
        <f t="shared" si="2"/>
        <v>1</v>
      </c>
      <c r="D613" s="13">
        <f t="shared" si="3"/>
        <v>0</v>
      </c>
      <c r="O613" s="4"/>
      <c r="P613" s="4"/>
      <c r="Q613" s="4"/>
      <c r="R613" s="4"/>
    </row>
    <row r="614" ht="15.75" customHeight="1">
      <c r="A614" s="13">
        <f>A613+'Energy Balance'!$N$7</f>
        <v>612</v>
      </c>
      <c r="B614" s="18">
        <f t="shared" si="1"/>
        <v>6.46842333</v>
      </c>
      <c r="C614" s="13">
        <f t="shared" si="2"/>
        <v>1</v>
      </c>
      <c r="D614" s="13">
        <f t="shared" si="3"/>
        <v>0</v>
      </c>
      <c r="O614" s="4"/>
      <c r="P614" s="4"/>
      <c r="Q614" s="4"/>
      <c r="R614" s="4"/>
    </row>
    <row r="615" ht="15.75" customHeight="1">
      <c r="A615" s="13">
        <f>A614+'Energy Balance'!$N$7</f>
        <v>613</v>
      </c>
      <c r="B615" s="18">
        <f t="shared" si="1"/>
        <v>6.478992649</v>
      </c>
      <c r="C615" s="13">
        <f t="shared" si="2"/>
        <v>1</v>
      </c>
      <c r="D615" s="13">
        <f t="shared" si="3"/>
        <v>0</v>
      </c>
      <c r="O615" s="4"/>
      <c r="P615" s="4"/>
      <c r="Q615" s="4"/>
      <c r="R615" s="4"/>
    </row>
    <row r="616" ht="15.75" customHeight="1">
      <c r="A616" s="13">
        <f>A615+'Energy Balance'!$N$7</f>
        <v>614</v>
      </c>
      <c r="B616" s="18">
        <f t="shared" si="1"/>
        <v>6.489561968</v>
      </c>
      <c r="C616" s="13">
        <f t="shared" si="2"/>
        <v>1</v>
      </c>
      <c r="D616" s="13">
        <f t="shared" si="3"/>
        <v>0</v>
      </c>
      <c r="O616" s="4"/>
      <c r="P616" s="4"/>
      <c r="Q616" s="4"/>
      <c r="R616" s="4"/>
    </row>
    <row r="617" ht="15.75" customHeight="1">
      <c r="A617" s="13">
        <f>A616+'Energy Balance'!$N$7</f>
        <v>615</v>
      </c>
      <c r="B617" s="18">
        <f t="shared" si="1"/>
        <v>6.500131287</v>
      </c>
      <c r="C617" s="13">
        <f t="shared" si="2"/>
        <v>1</v>
      </c>
      <c r="D617" s="13">
        <f t="shared" si="3"/>
        <v>0</v>
      </c>
      <c r="O617" s="4"/>
      <c r="P617" s="4"/>
      <c r="Q617" s="4"/>
      <c r="R617" s="4"/>
    </row>
    <row r="618" ht="15.75" customHeight="1">
      <c r="A618" s="13">
        <f>A617+'Energy Balance'!$N$7</f>
        <v>616</v>
      </c>
      <c r="B618" s="18">
        <f t="shared" si="1"/>
        <v>6.510700606</v>
      </c>
      <c r="C618" s="13">
        <f t="shared" si="2"/>
        <v>1</v>
      </c>
      <c r="D618" s="13">
        <f t="shared" si="3"/>
        <v>0</v>
      </c>
      <c r="O618" s="4"/>
      <c r="P618" s="4"/>
      <c r="Q618" s="4"/>
      <c r="R618" s="4"/>
    </row>
    <row r="619" ht="15.75" customHeight="1">
      <c r="A619" s="13">
        <f>A618+'Energy Balance'!$N$7</f>
        <v>617</v>
      </c>
      <c r="B619" s="18">
        <f t="shared" si="1"/>
        <v>6.521269925</v>
      </c>
      <c r="C619" s="13">
        <f t="shared" si="2"/>
        <v>1</v>
      </c>
      <c r="D619" s="13">
        <f t="shared" si="3"/>
        <v>0</v>
      </c>
      <c r="O619" s="4"/>
      <c r="P619" s="4"/>
      <c r="Q619" s="4"/>
      <c r="R619" s="4"/>
    </row>
    <row r="620" ht="15.75" customHeight="1">
      <c r="A620" s="13">
        <f>A619+'Energy Balance'!$N$7</f>
        <v>618</v>
      </c>
      <c r="B620" s="18">
        <f t="shared" si="1"/>
        <v>6.531839245</v>
      </c>
      <c r="C620" s="13">
        <f t="shared" si="2"/>
        <v>1</v>
      </c>
      <c r="D620" s="13">
        <f t="shared" si="3"/>
        <v>0</v>
      </c>
      <c r="O620" s="4"/>
      <c r="P620" s="4"/>
      <c r="Q620" s="4"/>
      <c r="R620" s="4"/>
    </row>
    <row r="621" ht="15.75" customHeight="1">
      <c r="A621" s="13">
        <f>A620+'Energy Balance'!$N$7</f>
        <v>619</v>
      </c>
      <c r="B621" s="18">
        <f t="shared" si="1"/>
        <v>6.542408564</v>
      </c>
      <c r="C621" s="13">
        <f t="shared" si="2"/>
        <v>1</v>
      </c>
      <c r="D621" s="13">
        <f t="shared" si="3"/>
        <v>0</v>
      </c>
      <c r="O621" s="4"/>
      <c r="P621" s="4"/>
      <c r="Q621" s="4"/>
      <c r="R621" s="4"/>
    </row>
    <row r="622" ht="15.75" customHeight="1">
      <c r="A622" s="13">
        <f>A621+'Energy Balance'!$N$7</f>
        <v>620</v>
      </c>
      <c r="B622" s="18">
        <f t="shared" si="1"/>
        <v>6.552977883</v>
      </c>
      <c r="C622" s="13">
        <f t="shared" si="2"/>
        <v>1</v>
      </c>
      <c r="D622" s="13">
        <f t="shared" si="3"/>
        <v>0</v>
      </c>
      <c r="O622" s="4"/>
      <c r="P622" s="4"/>
      <c r="Q622" s="4"/>
      <c r="R622" s="4"/>
    </row>
    <row r="623" ht="15.75" customHeight="1">
      <c r="A623" s="13">
        <f>A622+'Energy Balance'!$N$7</f>
        <v>621</v>
      </c>
      <c r="B623" s="18">
        <f t="shared" si="1"/>
        <v>6.563547202</v>
      </c>
      <c r="C623" s="13">
        <f t="shared" si="2"/>
        <v>1</v>
      </c>
      <c r="D623" s="13">
        <f t="shared" si="3"/>
        <v>0</v>
      </c>
      <c r="O623" s="4"/>
      <c r="P623" s="4"/>
      <c r="Q623" s="4"/>
      <c r="R623" s="4"/>
    </row>
    <row r="624" ht="15.75" customHeight="1">
      <c r="A624" s="13">
        <f>A623+'Energy Balance'!$N$7</f>
        <v>622</v>
      </c>
      <c r="B624" s="18">
        <f t="shared" si="1"/>
        <v>6.574116521</v>
      </c>
      <c r="C624" s="13">
        <f t="shared" si="2"/>
        <v>1</v>
      </c>
      <c r="D624" s="13">
        <f t="shared" si="3"/>
        <v>0</v>
      </c>
      <c r="O624" s="4"/>
      <c r="P624" s="4"/>
      <c r="Q624" s="4"/>
      <c r="R624" s="4"/>
    </row>
    <row r="625" ht="15.75" customHeight="1">
      <c r="A625" s="13">
        <f>A624+'Energy Balance'!$N$7</f>
        <v>623</v>
      </c>
      <c r="B625" s="18">
        <f t="shared" si="1"/>
        <v>6.58468584</v>
      </c>
      <c r="C625" s="13">
        <f t="shared" si="2"/>
        <v>1</v>
      </c>
      <c r="D625" s="13">
        <f t="shared" si="3"/>
        <v>0</v>
      </c>
      <c r="O625" s="4"/>
      <c r="P625" s="4"/>
      <c r="Q625" s="4"/>
      <c r="R625" s="4"/>
    </row>
    <row r="626" ht="15.75" customHeight="1">
      <c r="A626" s="13">
        <f>A625+'Energy Balance'!$N$7</f>
        <v>624</v>
      </c>
      <c r="B626" s="18">
        <f t="shared" si="1"/>
        <v>6.59525516</v>
      </c>
      <c r="C626" s="13">
        <f t="shared" si="2"/>
        <v>1</v>
      </c>
      <c r="D626" s="13">
        <f t="shared" si="3"/>
        <v>0</v>
      </c>
      <c r="O626" s="4"/>
      <c r="P626" s="4"/>
      <c r="Q626" s="4"/>
      <c r="R626" s="4"/>
    </row>
    <row r="627" ht="15.75" customHeight="1">
      <c r="A627" s="13">
        <f>A626+'Energy Balance'!$N$7</f>
        <v>625</v>
      </c>
      <c r="B627" s="18">
        <f t="shared" si="1"/>
        <v>6.605824479</v>
      </c>
      <c r="C627" s="13">
        <f t="shared" si="2"/>
        <v>1</v>
      </c>
      <c r="D627" s="13">
        <f t="shared" si="3"/>
        <v>0</v>
      </c>
      <c r="O627" s="4"/>
      <c r="P627" s="4"/>
      <c r="Q627" s="4"/>
      <c r="R627" s="4"/>
    </row>
    <row r="628" ht="15.75" customHeight="1">
      <c r="A628" s="13">
        <f>A627+'Energy Balance'!$N$7</f>
        <v>626</v>
      </c>
      <c r="B628" s="18">
        <f t="shared" si="1"/>
        <v>6.616393798</v>
      </c>
      <c r="C628" s="13">
        <f t="shared" si="2"/>
        <v>1</v>
      </c>
      <c r="D628" s="13">
        <f t="shared" si="3"/>
        <v>0</v>
      </c>
      <c r="O628" s="4"/>
      <c r="P628" s="4"/>
      <c r="Q628" s="4"/>
      <c r="R628" s="4"/>
    </row>
    <row r="629" ht="15.75" customHeight="1">
      <c r="A629" s="13">
        <f>A628+'Energy Balance'!$N$7</f>
        <v>627</v>
      </c>
      <c r="B629" s="18">
        <f t="shared" si="1"/>
        <v>6.626963117</v>
      </c>
      <c r="C629" s="13">
        <f t="shared" si="2"/>
        <v>0</v>
      </c>
      <c r="D629" s="13">
        <f t="shared" si="3"/>
        <v>1</v>
      </c>
      <c r="O629" s="4"/>
      <c r="P629" s="4"/>
      <c r="Q629" s="4"/>
      <c r="R629" s="4"/>
    </row>
    <row r="630" ht="15.75" customHeight="1">
      <c r="A630" s="13">
        <f>A629+'Energy Balance'!$N$7</f>
        <v>628</v>
      </c>
      <c r="B630" s="18">
        <f t="shared" si="1"/>
        <v>6.637532436</v>
      </c>
      <c r="C630" s="13">
        <f t="shared" si="2"/>
        <v>0</v>
      </c>
      <c r="D630" s="13">
        <f t="shared" si="3"/>
        <v>1</v>
      </c>
      <c r="O630" s="4"/>
      <c r="P630" s="4"/>
      <c r="Q630" s="4"/>
      <c r="R630" s="4"/>
    </row>
    <row r="631" ht="15.75" customHeight="1">
      <c r="A631" s="13">
        <f>A630+'Energy Balance'!$N$7</f>
        <v>629</v>
      </c>
      <c r="B631" s="18">
        <f t="shared" si="1"/>
        <v>6.648101755</v>
      </c>
      <c r="C631" s="13">
        <f t="shared" si="2"/>
        <v>0</v>
      </c>
      <c r="D631" s="13">
        <f t="shared" si="3"/>
        <v>1</v>
      </c>
      <c r="O631" s="4"/>
      <c r="P631" s="4"/>
      <c r="Q631" s="4"/>
      <c r="R631" s="4"/>
    </row>
    <row r="632" ht="15.75" customHeight="1">
      <c r="A632" s="13">
        <f>A631+'Energy Balance'!$N$7</f>
        <v>630</v>
      </c>
      <c r="B632" s="18">
        <f t="shared" si="1"/>
        <v>6.658671075</v>
      </c>
      <c r="C632" s="13">
        <f t="shared" si="2"/>
        <v>0</v>
      </c>
      <c r="D632" s="13">
        <f t="shared" si="3"/>
        <v>1</v>
      </c>
      <c r="O632" s="4"/>
      <c r="P632" s="4"/>
      <c r="Q632" s="4"/>
      <c r="R632" s="4"/>
    </row>
    <row r="633" ht="15.75" customHeight="1">
      <c r="A633" s="13">
        <f>A632+'Energy Balance'!$N$7</f>
        <v>631</v>
      </c>
      <c r="B633" s="18">
        <f t="shared" si="1"/>
        <v>6.669240394</v>
      </c>
      <c r="C633" s="13">
        <f t="shared" si="2"/>
        <v>0</v>
      </c>
      <c r="D633" s="13">
        <f t="shared" si="3"/>
        <v>1</v>
      </c>
      <c r="O633" s="4"/>
      <c r="P633" s="4"/>
      <c r="Q633" s="4"/>
      <c r="R633" s="4"/>
    </row>
    <row r="634" ht="15.75" customHeight="1">
      <c r="A634" s="13">
        <f>A633+'Energy Balance'!$N$7</f>
        <v>632</v>
      </c>
      <c r="B634" s="18">
        <f t="shared" si="1"/>
        <v>6.679809713</v>
      </c>
      <c r="C634" s="13">
        <f t="shared" si="2"/>
        <v>0</v>
      </c>
      <c r="D634" s="13">
        <f t="shared" si="3"/>
        <v>1</v>
      </c>
      <c r="O634" s="4"/>
      <c r="P634" s="4"/>
      <c r="Q634" s="4"/>
      <c r="R634" s="4"/>
    </row>
    <row r="635" ht="15.75" customHeight="1">
      <c r="A635" s="13">
        <f>A634+'Energy Balance'!$N$7</f>
        <v>633</v>
      </c>
      <c r="B635" s="18">
        <f t="shared" si="1"/>
        <v>6.690379032</v>
      </c>
      <c r="C635" s="13">
        <f t="shared" si="2"/>
        <v>0</v>
      </c>
      <c r="D635" s="13">
        <f t="shared" si="3"/>
        <v>1</v>
      </c>
      <c r="O635" s="4"/>
      <c r="P635" s="4"/>
      <c r="Q635" s="4"/>
      <c r="R635" s="4"/>
    </row>
    <row r="636" ht="15.75" customHeight="1">
      <c r="A636" s="13">
        <f>A635+'Energy Balance'!$N$7</f>
        <v>634</v>
      </c>
      <c r="B636" s="18">
        <f t="shared" si="1"/>
        <v>6.700948351</v>
      </c>
      <c r="C636" s="13">
        <f t="shared" si="2"/>
        <v>0</v>
      </c>
      <c r="D636" s="13">
        <f t="shared" si="3"/>
        <v>1</v>
      </c>
      <c r="O636" s="4"/>
      <c r="P636" s="4"/>
      <c r="Q636" s="4"/>
      <c r="R636" s="4"/>
    </row>
    <row r="637" ht="15.75" customHeight="1">
      <c r="A637" s="13">
        <f>A636+'Energy Balance'!$N$7</f>
        <v>635</v>
      </c>
      <c r="B637" s="18">
        <f t="shared" si="1"/>
        <v>6.71151767</v>
      </c>
      <c r="C637" s="13">
        <f t="shared" si="2"/>
        <v>0</v>
      </c>
      <c r="D637" s="13">
        <f t="shared" si="3"/>
        <v>1</v>
      </c>
      <c r="O637" s="4"/>
      <c r="P637" s="4"/>
      <c r="Q637" s="4"/>
      <c r="R637" s="4"/>
    </row>
    <row r="638" ht="15.75" customHeight="1">
      <c r="A638" s="13">
        <f>A637+'Energy Balance'!$N$7</f>
        <v>636</v>
      </c>
      <c r="B638" s="18">
        <f t="shared" si="1"/>
        <v>6.72208699</v>
      </c>
      <c r="C638" s="13">
        <f t="shared" si="2"/>
        <v>0</v>
      </c>
      <c r="D638" s="13">
        <f t="shared" si="3"/>
        <v>1</v>
      </c>
      <c r="O638" s="4"/>
      <c r="P638" s="4"/>
      <c r="Q638" s="4"/>
      <c r="R638" s="4"/>
    </row>
    <row r="639" ht="15.75" customHeight="1">
      <c r="A639" s="13">
        <f>A638+'Energy Balance'!$N$7</f>
        <v>637</v>
      </c>
      <c r="B639" s="18">
        <f t="shared" si="1"/>
        <v>6.732656309</v>
      </c>
      <c r="C639" s="13">
        <f t="shared" si="2"/>
        <v>0</v>
      </c>
      <c r="D639" s="13">
        <f t="shared" si="3"/>
        <v>1</v>
      </c>
      <c r="O639" s="4"/>
      <c r="P639" s="4"/>
      <c r="Q639" s="4"/>
      <c r="R639" s="4"/>
    </row>
    <row r="640" ht="15.75" customHeight="1">
      <c r="A640" s="13">
        <f>A639+'Energy Balance'!$N$7</f>
        <v>638</v>
      </c>
      <c r="B640" s="18">
        <f t="shared" si="1"/>
        <v>6.743225628</v>
      </c>
      <c r="C640" s="13">
        <f t="shared" si="2"/>
        <v>0</v>
      </c>
      <c r="D640" s="13">
        <f t="shared" si="3"/>
        <v>1</v>
      </c>
      <c r="O640" s="4"/>
      <c r="P640" s="4"/>
      <c r="Q640" s="4"/>
      <c r="R640" s="4"/>
    </row>
    <row r="641" ht="15.75" customHeight="1">
      <c r="A641" s="13">
        <f>A640+'Energy Balance'!$N$7</f>
        <v>639</v>
      </c>
      <c r="B641" s="18">
        <f t="shared" si="1"/>
        <v>6.753794947</v>
      </c>
      <c r="C641" s="13">
        <f t="shared" si="2"/>
        <v>0</v>
      </c>
      <c r="D641" s="13">
        <f t="shared" si="3"/>
        <v>1</v>
      </c>
      <c r="O641" s="4"/>
      <c r="P641" s="4"/>
      <c r="Q641" s="4"/>
      <c r="R641" s="4"/>
    </row>
    <row r="642" ht="15.75" customHeight="1">
      <c r="A642" s="13">
        <f>A641+'Energy Balance'!$N$7</f>
        <v>640</v>
      </c>
      <c r="B642" s="18">
        <f t="shared" si="1"/>
        <v>6.764364266</v>
      </c>
      <c r="C642" s="13">
        <f t="shared" si="2"/>
        <v>0</v>
      </c>
      <c r="D642" s="13">
        <f t="shared" si="3"/>
        <v>1</v>
      </c>
      <c r="O642" s="4"/>
      <c r="P642" s="4"/>
      <c r="Q642" s="4"/>
      <c r="R642" s="4"/>
    </row>
    <row r="643" ht="15.75" customHeight="1">
      <c r="A643" s="13">
        <f>A642+'Energy Balance'!$N$7</f>
        <v>641</v>
      </c>
      <c r="B643" s="18">
        <f t="shared" si="1"/>
        <v>6.774933585</v>
      </c>
      <c r="C643" s="13">
        <f t="shared" si="2"/>
        <v>0</v>
      </c>
      <c r="D643" s="13">
        <f t="shared" si="3"/>
        <v>1</v>
      </c>
      <c r="O643" s="4"/>
      <c r="P643" s="4"/>
      <c r="Q643" s="4"/>
      <c r="R643" s="4"/>
    </row>
    <row r="644" ht="15.75" customHeight="1">
      <c r="A644" s="13">
        <f>A643+'Energy Balance'!$N$7</f>
        <v>642</v>
      </c>
      <c r="B644" s="18">
        <f t="shared" si="1"/>
        <v>6.785502904</v>
      </c>
      <c r="C644" s="13">
        <f t="shared" si="2"/>
        <v>0</v>
      </c>
      <c r="D644" s="13">
        <f t="shared" si="3"/>
        <v>1</v>
      </c>
      <c r="O644" s="4"/>
      <c r="P644" s="4"/>
      <c r="Q644" s="4"/>
      <c r="R644" s="4"/>
    </row>
    <row r="645" ht="15.75" customHeight="1">
      <c r="A645" s="13">
        <f>A644+'Energy Balance'!$N$7</f>
        <v>643</v>
      </c>
      <c r="B645" s="18">
        <f t="shared" si="1"/>
        <v>6.796072224</v>
      </c>
      <c r="C645" s="13">
        <f t="shared" si="2"/>
        <v>0</v>
      </c>
      <c r="D645" s="13">
        <f t="shared" si="3"/>
        <v>1</v>
      </c>
      <c r="O645" s="4"/>
      <c r="P645" s="4"/>
      <c r="Q645" s="4"/>
      <c r="R645" s="4"/>
    </row>
    <row r="646" ht="15.75" customHeight="1">
      <c r="A646" s="13">
        <f>A645+'Energy Balance'!$N$7</f>
        <v>644</v>
      </c>
      <c r="B646" s="18">
        <f t="shared" si="1"/>
        <v>6.806641543</v>
      </c>
      <c r="C646" s="13">
        <f t="shared" si="2"/>
        <v>0</v>
      </c>
      <c r="D646" s="13">
        <f t="shared" si="3"/>
        <v>1</v>
      </c>
      <c r="O646" s="4"/>
      <c r="P646" s="4"/>
      <c r="Q646" s="4"/>
      <c r="R646" s="4"/>
    </row>
    <row r="647" ht="15.75" customHeight="1">
      <c r="A647" s="13">
        <f>A646+'Energy Balance'!$N$7</f>
        <v>645</v>
      </c>
      <c r="B647" s="18">
        <f t="shared" si="1"/>
        <v>6.817210862</v>
      </c>
      <c r="C647" s="13">
        <f t="shared" si="2"/>
        <v>0</v>
      </c>
      <c r="D647" s="13">
        <f t="shared" si="3"/>
        <v>1</v>
      </c>
      <c r="O647" s="4"/>
      <c r="P647" s="4"/>
      <c r="Q647" s="4"/>
      <c r="R647" s="4"/>
    </row>
    <row r="648" ht="15.75" customHeight="1">
      <c r="A648" s="13">
        <f>A647+'Energy Balance'!$N$7</f>
        <v>646</v>
      </c>
      <c r="B648" s="18">
        <f t="shared" si="1"/>
        <v>6.827780181</v>
      </c>
      <c r="C648" s="13">
        <f t="shared" si="2"/>
        <v>0</v>
      </c>
      <c r="D648" s="13">
        <f t="shared" si="3"/>
        <v>1</v>
      </c>
      <c r="O648" s="4"/>
      <c r="P648" s="4"/>
      <c r="Q648" s="4"/>
      <c r="R648" s="4"/>
    </row>
    <row r="649" ht="15.75" customHeight="1">
      <c r="A649" s="13">
        <f>A648+'Energy Balance'!$N$7</f>
        <v>647</v>
      </c>
      <c r="B649" s="18">
        <f t="shared" si="1"/>
        <v>6.8383495</v>
      </c>
      <c r="C649" s="13">
        <f t="shared" si="2"/>
        <v>0</v>
      </c>
      <c r="D649" s="13">
        <f t="shared" si="3"/>
        <v>1</v>
      </c>
      <c r="O649" s="4"/>
      <c r="P649" s="4"/>
      <c r="Q649" s="4"/>
      <c r="R649" s="4"/>
    </row>
    <row r="650" ht="15.75" customHeight="1">
      <c r="A650" s="13">
        <f>A649+'Energy Balance'!$N$7</f>
        <v>648</v>
      </c>
      <c r="B650" s="18">
        <f t="shared" si="1"/>
        <v>6.848918819</v>
      </c>
      <c r="C650" s="13">
        <f t="shared" si="2"/>
        <v>0</v>
      </c>
      <c r="D650" s="13">
        <f t="shared" si="3"/>
        <v>1</v>
      </c>
      <c r="O650" s="4"/>
      <c r="P650" s="4"/>
      <c r="Q650" s="4"/>
      <c r="R650" s="4"/>
    </row>
    <row r="651" ht="15.75" customHeight="1">
      <c r="A651" s="13">
        <f>A650+'Energy Balance'!$N$7</f>
        <v>649</v>
      </c>
      <c r="B651" s="18">
        <f t="shared" si="1"/>
        <v>6.859488139</v>
      </c>
      <c r="C651" s="13">
        <f t="shared" si="2"/>
        <v>0</v>
      </c>
      <c r="D651" s="13">
        <f t="shared" si="3"/>
        <v>1</v>
      </c>
      <c r="O651" s="4"/>
      <c r="P651" s="4"/>
      <c r="Q651" s="4"/>
      <c r="R651" s="4"/>
    </row>
    <row r="652" ht="15.75" customHeight="1">
      <c r="A652" s="13">
        <f>A651+'Energy Balance'!$N$7</f>
        <v>650</v>
      </c>
      <c r="B652" s="18">
        <f t="shared" si="1"/>
        <v>6.870057458</v>
      </c>
      <c r="C652" s="13">
        <f t="shared" si="2"/>
        <v>0</v>
      </c>
      <c r="D652" s="13">
        <f t="shared" si="3"/>
        <v>1</v>
      </c>
      <c r="O652" s="4"/>
      <c r="P652" s="4"/>
      <c r="Q652" s="4"/>
      <c r="R652" s="4"/>
    </row>
    <row r="653" ht="15.75" customHeight="1">
      <c r="A653" s="13">
        <f>A652+'Energy Balance'!$N$7</f>
        <v>651</v>
      </c>
      <c r="B653" s="18">
        <f t="shared" si="1"/>
        <v>6.880626777</v>
      </c>
      <c r="C653" s="13">
        <f t="shared" si="2"/>
        <v>0</v>
      </c>
      <c r="D653" s="13">
        <f t="shared" si="3"/>
        <v>1</v>
      </c>
      <c r="O653" s="4"/>
      <c r="P653" s="4"/>
      <c r="Q653" s="4"/>
      <c r="R653" s="4"/>
    </row>
    <row r="654" ht="15.75" customHeight="1">
      <c r="A654" s="13">
        <f>A653+'Energy Balance'!$N$7</f>
        <v>652</v>
      </c>
      <c r="B654" s="18">
        <f t="shared" si="1"/>
        <v>6.891196096</v>
      </c>
      <c r="C654" s="13">
        <f t="shared" si="2"/>
        <v>0</v>
      </c>
      <c r="D654" s="13">
        <f t="shared" si="3"/>
        <v>1</v>
      </c>
      <c r="O654" s="4"/>
      <c r="P654" s="4"/>
      <c r="Q654" s="4"/>
      <c r="R654" s="4"/>
    </row>
    <row r="655" ht="15.75" customHeight="1">
      <c r="A655" s="13">
        <f>A654+'Energy Balance'!$N$7</f>
        <v>653</v>
      </c>
      <c r="B655" s="18">
        <f t="shared" si="1"/>
        <v>6.901765415</v>
      </c>
      <c r="C655" s="13">
        <f t="shared" si="2"/>
        <v>0</v>
      </c>
      <c r="D655" s="13">
        <f t="shared" si="3"/>
        <v>1</v>
      </c>
      <c r="O655" s="4"/>
      <c r="P655" s="4"/>
      <c r="Q655" s="4"/>
      <c r="R655" s="4"/>
    </row>
    <row r="656" ht="15.75" customHeight="1">
      <c r="A656" s="13">
        <f>A655+'Energy Balance'!$N$7</f>
        <v>654</v>
      </c>
      <c r="B656" s="18">
        <f t="shared" si="1"/>
        <v>6.912334734</v>
      </c>
      <c r="C656" s="13">
        <f t="shared" si="2"/>
        <v>0</v>
      </c>
      <c r="D656" s="13">
        <f t="shared" si="3"/>
        <v>1</v>
      </c>
      <c r="O656" s="4"/>
      <c r="P656" s="4"/>
      <c r="Q656" s="4"/>
      <c r="R656" s="4"/>
    </row>
    <row r="657" ht="15.75" customHeight="1">
      <c r="A657" s="13">
        <f>A656+'Energy Balance'!$N$7</f>
        <v>655</v>
      </c>
      <c r="B657" s="18">
        <f t="shared" si="1"/>
        <v>6.922904054</v>
      </c>
      <c r="C657" s="13">
        <f t="shared" si="2"/>
        <v>0</v>
      </c>
      <c r="D657" s="13">
        <f t="shared" si="3"/>
        <v>1</v>
      </c>
      <c r="O657" s="4"/>
      <c r="P657" s="4"/>
      <c r="Q657" s="4"/>
      <c r="R657" s="4"/>
    </row>
    <row r="658" ht="15.75" customHeight="1">
      <c r="A658" s="13">
        <f>A657+'Energy Balance'!$N$7</f>
        <v>656</v>
      </c>
      <c r="B658" s="18">
        <f t="shared" si="1"/>
        <v>6.933473373</v>
      </c>
      <c r="C658" s="13">
        <f t="shared" si="2"/>
        <v>0</v>
      </c>
      <c r="D658" s="13">
        <f t="shared" si="3"/>
        <v>1</v>
      </c>
      <c r="O658" s="4"/>
      <c r="P658" s="4"/>
      <c r="Q658" s="4"/>
      <c r="R658" s="4"/>
    </row>
    <row r="659" ht="15.75" customHeight="1">
      <c r="A659" s="13">
        <f>A658+'Energy Balance'!$N$7</f>
        <v>657</v>
      </c>
      <c r="B659" s="18">
        <f t="shared" si="1"/>
        <v>6.944042692</v>
      </c>
      <c r="C659" s="13">
        <f t="shared" si="2"/>
        <v>0</v>
      </c>
      <c r="D659" s="13">
        <f t="shared" si="3"/>
        <v>1</v>
      </c>
      <c r="O659" s="4"/>
      <c r="P659" s="4"/>
      <c r="Q659" s="4"/>
      <c r="R659" s="4"/>
    </row>
    <row r="660" ht="15.75" customHeight="1">
      <c r="A660" s="13">
        <f>A659+'Energy Balance'!$N$7</f>
        <v>658</v>
      </c>
      <c r="B660" s="18">
        <f t="shared" si="1"/>
        <v>6.954612011</v>
      </c>
      <c r="C660" s="13">
        <f t="shared" si="2"/>
        <v>0</v>
      </c>
      <c r="D660" s="13">
        <f t="shared" si="3"/>
        <v>1</v>
      </c>
      <c r="O660" s="4"/>
      <c r="P660" s="4"/>
      <c r="Q660" s="4"/>
      <c r="R660" s="4"/>
    </row>
    <row r="661" ht="15.75" customHeight="1">
      <c r="A661" s="13">
        <f>A660+'Energy Balance'!$N$7</f>
        <v>659</v>
      </c>
      <c r="B661" s="18">
        <f t="shared" si="1"/>
        <v>6.96518133</v>
      </c>
      <c r="C661" s="13">
        <f t="shared" si="2"/>
        <v>0</v>
      </c>
      <c r="D661" s="13">
        <f t="shared" si="3"/>
        <v>1</v>
      </c>
      <c r="O661" s="4"/>
      <c r="P661" s="4"/>
      <c r="Q661" s="4"/>
      <c r="R661" s="4"/>
    </row>
    <row r="662" ht="15.75" customHeight="1">
      <c r="A662" s="13">
        <f>A661+'Energy Balance'!$N$7</f>
        <v>660</v>
      </c>
      <c r="B662" s="18">
        <f t="shared" si="1"/>
        <v>6.975750649</v>
      </c>
      <c r="C662" s="13">
        <f t="shared" si="2"/>
        <v>0</v>
      </c>
      <c r="D662" s="13">
        <f t="shared" si="3"/>
        <v>1</v>
      </c>
      <c r="O662" s="4"/>
      <c r="P662" s="4"/>
      <c r="Q662" s="4"/>
      <c r="R662" s="4"/>
    </row>
    <row r="663" ht="15.75" customHeight="1">
      <c r="A663" s="13">
        <f>A662+'Energy Balance'!$N$7</f>
        <v>661</v>
      </c>
      <c r="B663" s="18">
        <f t="shared" si="1"/>
        <v>6.986319969</v>
      </c>
      <c r="C663" s="13">
        <f t="shared" si="2"/>
        <v>0</v>
      </c>
      <c r="D663" s="13">
        <f t="shared" si="3"/>
        <v>1</v>
      </c>
      <c r="O663" s="4"/>
      <c r="P663" s="4"/>
      <c r="Q663" s="4"/>
      <c r="R663" s="4"/>
    </row>
    <row r="664" ht="15.75" customHeight="1">
      <c r="A664" s="13">
        <f>A663+'Energy Balance'!$N$7</f>
        <v>662</v>
      </c>
      <c r="B664" s="18">
        <f t="shared" si="1"/>
        <v>6.996889288</v>
      </c>
      <c r="C664" s="13">
        <f t="shared" si="2"/>
        <v>0</v>
      </c>
      <c r="D664" s="13">
        <f t="shared" si="3"/>
        <v>1</v>
      </c>
      <c r="O664" s="4"/>
      <c r="P664" s="4"/>
      <c r="Q664" s="4"/>
      <c r="R664" s="4"/>
    </row>
    <row r="665" ht="15.75" customHeight="1">
      <c r="A665" s="13">
        <f>A664+'Energy Balance'!$N$7</f>
        <v>663</v>
      </c>
      <c r="B665" s="18">
        <f t="shared" si="1"/>
        <v>7.007458607</v>
      </c>
      <c r="C665" s="13">
        <f t="shared" si="2"/>
        <v>1</v>
      </c>
      <c r="D665" s="13">
        <f t="shared" si="3"/>
        <v>0</v>
      </c>
      <c r="O665" s="4"/>
      <c r="P665" s="4"/>
      <c r="Q665" s="4"/>
      <c r="R665" s="4"/>
    </row>
    <row r="666" ht="15.75" customHeight="1">
      <c r="A666" s="13">
        <f>A665+'Energy Balance'!$N$7</f>
        <v>664</v>
      </c>
      <c r="B666" s="18">
        <f t="shared" si="1"/>
        <v>7.018027926</v>
      </c>
      <c r="C666" s="13">
        <f t="shared" si="2"/>
        <v>1</v>
      </c>
      <c r="D666" s="13">
        <f t="shared" si="3"/>
        <v>0</v>
      </c>
      <c r="O666" s="4"/>
      <c r="P666" s="4"/>
      <c r="Q666" s="4"/>
      <c r="R666" s="4"/>
    </row>
    <row r="667" ht="15.75" customHeight="1">
      <c r="A667" s="13">
        <f>A666+'Energy Balance'!$N$7</f>
        <v>665</v>
      </c>
      <c r="B667" s="18">
        <f t="shared" si="1"/>
        <v>7.028597245</v>
      </c>
      <c r="C667" s="13">
        <f t="shared" si="2"/>
        <v>1</v>
      </c>
      <c r="D667" s="13">
        <f t="shared" si="3"/>
        <v>0</v>
      </c>
      <c r="O667" s="4"/>
      <c r="P667" s="4"/>
      <c r="Q667" s="4"/>
      <c r="R667" s="4"/>
    </row>
    <row r="668" ht="15.75" customHeight="1">
      <c r="A668" s="13">
        <f>A667+'Energy Balance'!$N$7</f>
        <v>666</v>
      </c>
      <c r="B668" s="18">
        <f t="shared" si="1"/>
        <v>7.039166564</v>
      </c>
      <c r="C668" s="13">
        <f t="shared" si="2"/>
        <v>1</v>
      </c>
      <c r="D668" s="13">
        <f t="shared" si="3"/>
        <v>0</v>
      </c>
      <c r="O668" s="4"/>
      <c r="P668" s="4"/>
      <c r="Q668" s="4"/>
      <c r="R668" s="4"/>
    </row>
    <row r="669" ht="15.75" customHeight="1">
      <c r="A669" s="13">
        <f>A668+'Energy Balance'!$N$7</f>
        <v>667</v>
      </c>
      <c r="B669" s="18">
        <f t="shared" si="1"/>
        <v>7.049735884</v>
      </c>
      <c r="C669" s="13">
        <f t="shared" si="2"/>
        <v>1</v>
      </c>
      <c r="D669" s="13">
        <f t="shared" si="3"/>
        <v>0</v>
      </c>
      <c r="O669" s="4"/>
      <c r="P669" s="4"/>
      <c r="Q669" s="4"/>
      <c r="R669" s="4"/>
    </row>
    <row r="670" ht="15.75" customHeight="1">
      <c r="A670" s="13">
        <f>A669+'Energy Balance'!$N$7</f>
        <v>668</v>
      </c>
      <c r="B670" s="18">
        <f t="shared" si="1"/>
        <v>7.060305203</v>
      </c>
      <c r="C670" s="13">
        <f t="shared" si="2"/>
        <v>1</v>
      </c>
      <c r="D670" s="13">
        <f t="shared" si="3"/>
        <v>0</v>
      </c>
      <c r="O670" s="4"/>
      <c r="P670" s="4"/>
      <c r="Q670" s="4"/>
      <c r="R670" s="4"/>
    </row>
    <row r="671" ht="15.75" customHeight="1">
      <c r="A671" s="13">
        <f>A670+'Energy Balance'!$N$7</f>
        <v>669</v>
      </c>
      <c r="B671" s="18">
        <f t="shared" si="1"/>
        <v>7.070874522</v>
      </c>
      <c r="C671" s="13">
        <f t="shared" si="2"/>
        <v>1</v>
      </c>
      <c r="D671" s="13">
        <f t="shared" si="3"/>
        <v>0</v>
      </c>
      <c r="O671" s="4"/>
      <c r="P671" s="4"/>
      <c r="Q671" s="4"/>
      <c r="R671" s="4"/>
    </row>
    <row r="672" ht="15.75" customHeight="1">
      <c r="A672" s="13">
        <f>A671+'Energy Balance'!$N$7</f>
        <v>670</v>
      </c>
      <c r="B672" s="18">
        <f t="shared" si="1"/>
        <v>7.081443841</v>
      </c>
      <c r="C672" s="13">
        <f t="shared" si="2"/>
        <v>1</v>
      </c>
      <c r="D672" s="13">
        <f t="shared" si="3"/>
        <v>0</v>
      </c>
      <c r="O672" s="4"/>
      <c r="P672" s="4"/>
      <c r="Q672" s="4"/>
      <c r="R672" s="4"/>
    </row>
    <row r="673" ht="15.75" customHeight="1">
      <c r="A673" s="13">
        <f>A672+'Energy Balance'!$N$7</f>
        <v>671</v>
      </c>
      <c r="B673" s="18">
        <f t="shared" si="1"/>
        <v>7.09201316</v>
      </c>
      <c r="C673" s="13">
        <f t="shared" si="2"/>
        <v>1</v>
      </c>
      <c r="D673" s="13">
        <f t="shared" si="3"/>
        <v>0</v>
      </c>
      <c r="O673" s="4"/>
      <c r="P673" s="4"/>
      <c r="Q673" s="4"/>
      <c r="R673" s="4"/>
    </row>
    <row r="674" ht="15.75" customHeight="1">
      <c r="A674" s="13">
        <f>A673+'Energy Balance'!$N$7</f>
        <v>672</v>
      </c>
      <c r="B674" s="18">
        <f t="shared" si="1"/>
        <v>7.102582479</v>
      </c>
      <c r="C674" s="13">
        <f t="shared" si="2"/>
        <v>1</v>
      </c>
      <c r="D674" s="13">
        <f t="shared" si="3"/>
        <v>0</v>
      </c>
      <c r="O674" s="4"/>
      <c r="P674" s="4"/>
      <c r="Q674" s="4"/>
      <c r="R674" s="4"/>
    </row>
    <row r="675" ht="15.75" customHeight="1">
      <c r="A675" s="13">
        <f>A674+'Energy Balance'!$N$7</f>
        <v>673</v>
      </c>
      <c r="B675" s="18">
        <f t="shared" si="1"/>
        <v>7.113151799</v>
      </c>
      <c r="C675" s="13">
        <f t="shared" si="2"/>
        <v>1</v>
      </c>
      <c r="D675" s="13">
        <f t="shared" si="3"/>
        <v>0</v>
      </c>
      <c r="O675" s="4"/>
      <c r="P675" s="4"/>
      <c r="Q675" s="4"/>
      <c r="R675" s="4"/>
    </row>
    <row r="676" ht="15.75" customHeight="1">
      <c r="A676" s="13">
        <f>A675+'Energy Balance'!$N$7</f>
        <v>674</v>
      </c>
      <c r="B676" s="18">
        <f t="shared" si="1"/>
        <v>7.123721118</v>
      </c>
      <c r="C676" s="13">
        <f t="shared" si="2"/>
        <v>1</v>
      </c>
      <c r="D676" s="13">
        <f t="shared" si="3"/>
        <v>0</v>
      </c>
      <c r="O676" s="4"/>
      <c r="P676" s="4"/>
      <c r="Q676" s="4"/>
      <c r="R676" s="4"/>
    </row>
    <row r="677" ht="15.75" customHeight="1">
      <c r="A677" s="13">
        <f>A676+'Energy Balance'!$N$7</f>
        <v>675</v>
      </c>
      <c r="B677" s="18">
        <f t="shared" si="1"/>
        <v>7.134290437</v>
      </c>
      <c r="C677" s="13">
        <f t="shared" si="2"/>
        <v>1</v>
      </c>
      <c r="D677" s="13">
        <f t="shared" si="3"/>
        <v>0</v>
      </c>
      <c r="O677" s="4"/>
      <c r="P677" s="4"/>
      <c r="Q677" s="4"/>
      <c r="R677" s="4"/>
    </row>
    <row r="678" ht="15.75" customHeight="1">
      <c r="A678" s="13">
        <f>A677+'Energy Balance'!$N$7</f>
        <v>676</v>
      </c>
      <c r="B678" s="18">
        <f t="shared" si="1"/>
        <v>7.144859756</v>
      </c>
      <c r="C678" s="13">
        <f t="shared" si="2"/>
        <v>1</v>
      </c>
      <c r="D678" s="13">
        <f t="shared" si="3"/>
        <v>0</v>
      </c>
      <c r="O678" s="4"/>
      <c r="P678" s="4"/>
      <c r="Q678" s="4"/>
      <c r="R678" s="4"/>
    </row>
    <row r="679" ht="15.75" customHeight="1">
      <c r="A679" s="13">
        <f>A678+'Energy Balance'!$N$7</f>
        <v>677</v>
      </c>
      <c r="B679" s="18">
        <f t="shared" si="1"/>
        <v>7.155429075</v>
      </c>
      <c r="C679" s="13">
        <f t="shared" si="2"/>
        <v>1</v>
      </c>
      <c r="D679" s="13">
        <f t="shared" si="3"/>
        <v>0</v>
      </c>
      <c r="O679" s="4"/>
      <c r="P679" s="4"/>
      <c r="Q679" s="4"/>
      <c r="R679" s="4"/>
    </row>
    <row r="680" ht="15.75" customHeight="1">
      <c r="A680" s="13">
        <f>A679+'Energy Balance'!$N$7</f>
        <v>678</v>
      </c>
      <c r="B680" s="18">
        <f t="shared" si="1"/>
        <v>7.165998394</v>
      </c>
      <c r="C680" s="13">
        <f t="shared" si="2"/>
        <v>1</v>
      </c>
      <c r="D680" s="13">
        <f t="shared" si="3"/>
        <v>0</v>
      </c>
      <c r="O680" s="4"/>
      <c r="P680" s="4"/>
      <c r="Q680" s="4"/>
      <c r="R680" s="4"/>
    </row>
    <row r="681" ht="15.75" customHeight="1">
      <c r="A681" s="13">
        <f>A680+'Energy Balance'!$N$7</f>
        <v>679</v>
      </c>
      <c r="B681" s="18">
        <f t="shared" si="1"/>
        <v>7.176567714</v>
      </c>
      <c r="C681" s="13">
        <f t="shared" si="2"/>
        <v>1</v>
      </c>
      <c r="D681" s="13">
        <f t="shared" si="3"/>
        <v>0</v>
      </c>
      <c r="O681" s="4"/>
      <c r="P681" s="4"/>
      <c r="Q681" s="4"/>
      <c r="R681" s="4"/>
    </row>
    <row r="682" ht="15.75" customHeight="1">
      <c r="A682" s="13">
        <f>A681+'Energy Balance'!$N$7</f>
        <v>680</v>
      </c>
      <c r="B682" s="18">
        <f t="shared" si="1"/>
        <v>7.187137033</v>
      </c>
      <c r="C682" s="13">
        <f t="shared" si="2"/>
        <v>1</v>
      </c>
      <c r="D682" s="13">
        <f t="shared" si="3"/>
        <v>0</v>
      </c>
      <c r="O682" s="4"/>
      <c r="P682" s="4"/>
      <c r="Q682" s="4"/>
      <c r="R682" s="4"/>
    </row>
    <row r="683" ht="15.75" customHeight="1">
      <c r="A683" s="13">
        <f>A682+'Energy Balance'!$N$7</f>
        <v>681</v>
      </c>
      <c r="B683" s="18">
        <f t="shared" si="1"/>
        <v>7.197706352</v>
      </c>
      <c r="C683" s="13">
        <f t="shared" si="2"/>
        <v>1</v>
      </c>
      <c r="D683" s="13">
        <f t="shared" si="3"/>
        <v>0</v>
      </c>
      <c r="O683" s="4"/>
      <c r="P683" s="4"/>
      <c r="Q683" s="4"/>
      <c r="R683" s="4"/>
    </row>
    <row r="684" ht="15.75" customHeight="1">
      <c r="A684" s="13">
        <f>A683+'Energy Balance'!$N$7</f>
        <v>682</v>
      </c>
      <c r="B684" s="18">
        <f t="shared" si="1"/>
        <v>7.208275671</v>
      </c>
      <c r="C684" s="13">
        <f t="shared" si="2"/>
        <v>1</v>
      </c>
      <c r="D684" s="13">
        <f t="shared" si="3"/>
        <v>0</v>
      </c>
      <c r="O684" s="4"/>
      <c r="P684" s="4"/>
      <c r="Q684" s="4"/>
      <c r="R684" s="4"/>
    </row>
    <row r="685" ht="15.75" customHeight="1">
      <c r="A685" s="13">
        <f>A684+'Energy Balance'!$N$7</f>
        <v>683</v>
      </c>
      <c r="B685" s="18">
        <f t="shared" si="1"/>
        <v>7.21884499</v>
      </c>
      <c r="C685" s="13">
        <f t="shared" si="2"/>
        <v>1</v>
      </c>
      <c r="D685" s="13">
        <f t="shared" si="3"/>
        <v>0</v>
      </c>
      <c r="O685" s="4"/>
      <c r="P685" s="4"/>
      <c r="Q685" s="4"/>
      <c r="R685" s="4"/>
    </row>
    <row r="686" ht="15.75" customHeight="1">
      <c r="A686" s="13">
        <f>A685+'Energy Balance'!$N$7</f>
        <v>684</v>
      </c>
      <c r="B686" s="18">
        <f t="shared" si="1"/>
        <v>7.229414309</v>
      </c>
      <c r="C686" s="13">
        <f t="shared" si="2"/>
        <v>1</v>
      </c>
      <c r="D686" s="13">
        <f t="shared" si="3"/>
        <v>0</v>
      </c>
      <c r="O686" s="4"/>
      <c r="P686" s="4"/>
      <c r="Q686" s="4"/>
      <c r="R686" s="4"/>
    </row>
    <row r="687" ht="15.75" customHeight="1">
      <c r="A687" s="13">
        <f>A686+'Energy Balance'!$N$7</f>
        <v>685</v>
      </c>
      <c r="B687" s="18">
        <f t="shared" si="1"/>
        <v>7.239983629</v>
      </c>
      <c r="C687" s="13">
        <f t="shared" si="2"/>
        <v>1</v>
      </c>
      <c r="D687" s="13">
        <f t="shared" si="3"/>
        <v>0</v>
      </c>
      <c r="O687" s="4"/>
      <c r="P687" s="4"/>
      <c r="Q687" s="4"/>
      <c r="R687" s="4"/>
    </row>
    <row r="688" ht="15.75" customHeight="1">
      <c r="A688" s="13">
        <f>A687+'Energy Balance'!$N$7</f>
        <v>686</v>
      </c>
      <c r="B688" s="18">
        <f t="shared" si="1"/>
        <v>7.250552948</v>
      </c>
      <c r="C688" s="13">
        <f t="shared" si="2"/>
        <v>1</v>
      </c>
      <c r="D688" s="13">
        <f t="shared" si="3"/>
        <v>0</v>
      </c>
      <c r="O688" s="4"/>
      <c r="P688" s="4"/>
      <c r="Q688" s="4"/>
      <c r="R688" s="4"/>
    </row>
    <row r="689" ht="15.75" customHeight="1">
      <c r="A689" s="13">
        <f>A688+'Energy Balance'!$N$7</f>
        <v>687</v>
      </c>
      <c r="B689" s="18">
        <f t="shared" si="1"/>
        <v>7.261122267</v>
      </c>
      <c r="C689" s="13">
        <f t="shared" si="2"/>
        <v>1</v>
      </c>
      <c r="D689" s="13">
        <f t="shared" si="3"/>
        <v>0</v>
      </c>
      <c r="O689" s="4"/>
      <c r="P689" s="4"/>
      <c r="Q689" s="4"/>
      <c r="R689" s="4"/>
    </row>
    <row r="690" ht="15.75" customHeight="1">
      <c r="A690" s="13">
        <f>A689+'Energy Balance'!$N$7</f>
        <v>688</v>
      </c>
      <c r="B690" s="18">
        <f t="shared" si="1"/>
        <v>7.271691586</v>
      </c>
      <c r="C690" s="13">
        <f t="shared" si="2"/>
        <v>1</v>
      </c>
      <c r="D690" s="13">
        <f t="shared" si="3"/>
        <v>0</v>
      </c>
      <c r="O690" s="4"/>
      <c r="P690" s="4"/>
      <c r="Q690" s="4"/>
      <c r="R690" s="4"/>
    </row>
    <row r="691" ht="15.75" customHeight="1">
      <c r="A691" s="13">
        <f>A690+'Energy Balance'!$N$7</f>
        <v>689</v>
      </c>
      <c r="B691" s="18">
        <f t="shared" si="1"/>
        <v>7.282260905</v>
      </c>
      <c r="C691" s="13">
        <f t="shared" si="2"/>
        <v>1</v>
      </c>
      <c r="D691" s="13">
        <f t="shared" si="3"/>
        <v>0</v>
      </c>
      <c r="O691" s="4"/>
      <c r="P691" s="4"/>
      <c r="Q691" s="4"/>
      <c r="R691" s="4"/>
    </row>
    <row r="692" ht="15.75" customHeight="1">
      <c r="A692" s="13">
        <f>A691+'Energy Balance'!$N$7</f>
        <v>690</v>
      </c>
      <c r="B692" s="18">
        <f t="shared" si="1"/>
        <v>7.292830224</v>
      </c>
      <c r="C692" s="13">
        <f t="shared" si="2"/>
        <v>1</v>
      </c>
      <c r="D692" s="13">
        <f t="shared" si="3"/>
        <v>0</v>
      </c>
      <c r="O692" s="4"/>
      <c r="P692" s="4"/>
      <c r="Q692" s="4"/>
      <c r="R692" s="4"/>
    </row>
    <row r="693" ht="15.75" customHeight="1">
      <c r="A693" s="13">
        <f>A692+'Energy Balance'!$N$7</f>
        <v>691</v>
      </c>
      <c r="B693" s="18">
        <f t="shared" si="1"/>
        <v>7.303399544</v>
      </c>
      <c r="C693" s="13">
        <f t="shared" si="2"/>
        <v>1</v>
      </c>
      <c r="D693" s="13">
        <f t="shared" si="3"/>
        <v>0</v>
      </c>
      <c r="O693" s="4"/>
      <c r="P693" s="4"/>
      <c r="Q693" s="4"/>
      <c r="R693" s="4"/>
    </row>
    <row r="694" ht="15.75" customHeight="1">
      <c r="A694" s="13">
        <f>A693+'Energy Balance'!$N$7</f>
        <v>692</v>
      </c>
      <c r="B694" s="18">
        <f t="shared" si="1"/>
        <v>7.313968863</v>
      </c>
      <c r="C694" s="13">
        <f t="shared" si="2"/>
        <v>1</v>
      </c>
      <c r="D694" s="13">
        <f t="shared" si="3"/>
        <v>0</v>
      </c>
      <c r="O694" s="4"/>
      <c r="P694" s="4"/>
      <c r="Q694" s="4"/>
      <c r="R694" s="4"/>
    </row>
    <row r="695" ht="15.75" customHeight="1">
      <c r="A695" s="13">
        <f>A694+'Energy Balance'!$N$7</f>
        <v>693</v>
      </c>
      <c r="B695" s="18">
        <f t="shared" si="1"/>
        <v>7.324538182</v>
      </c>
      <c r="C695" s="13">
        <f t="shared" si="2"/>
        <v>1</v>
      </c>
      <c r="D695" s="13">
        <f t="shared" si="3"/>
        <v>0</v>
      </c>
      <c r="O695" s="4"/>
      <c r="P695" s="4"/>
      <c r="Q695" s="4"/>
      <c r="R695" s="4"/>
    </row>
    <row r="696" ht="15.75" customHeight="1">
      <c r="A696" s="13">
        <f>A695+'Energy Balance'!$N$7</f>
        <v>694</v>
      </c>
      <c r="B696" s="18">
        <f t="shared" si="1"/>
        <v>7.335107501</v>
      </c>
      <c r="C696" s="13">
        <f t="shared" si="2"/>
        <v>1</v>
      </c>
      <c r="D696" s="13">
        <f t="shared" si="3"/>
        <v>0</v>
      </c>
      <c r="O696" s="4"/>
      <c r="P696" s="4"/>
      <c r="Q696" s="4"/>
      <c r="R696" s="4"/>
    </row>
    <row r="697" ht="15.75" customHeight="1">
      <c r="A697" s="13">
        <f>A696+'Energy Balance'!$N$7</f>
        <v>695</v>
      </c>
      <c r="B697" s="18">
        <f t="shared" si="1"/>
        <v>7.34567682</v>
      </c>
      <c r="C697" s="13">
        <f t="shared" si="2"/>
        <v>1</v>
      </c>
      <c r="D697" s="13">
        <f t="shared" si="3"/>
        <v>0</v>
      </c>
      <c r="O697" s="4"/>
      <c r="P697" s="4"/>
      <c r="Q697" s="4"/>
      <c r="R697" s="4"/>
    </row>
    <row r="698" ht="15.75" customHeight="1">
      <c r="A698" s="13">
        <f>A697+'Energy Balance'!$N$7</f>
        <v>696</v>
      </c>
      <c r="B698" s="18">
        <f t="shared" si="1"/>
        <v>7.356246139</v>
      </c>
      <c r="C698" s="13">
        <f t="shared" si="2"/>
        <v>1</v>
      </c>
      <c r="D698" s="13">
        <f t="shared" si="3"/>
        <v>0</v>
      </c>
      <c r="O698" s="4"/>
      <c r="P698" s="4"/>
      <c r="Q698" s="4"/>
      <c r="R698" s="4"/>
    </row>
    <row r="699" ht="15.75" customHeight="1">
      <c r="A699" s="13">
        <f>A698+'Energy Balance'!$N$7</f>
        <v>697</v>
      </c>
      <c r="B699" s="18">
        <f t="shared" si="1"/>
        <v>7.366815459</v>
      </c>
      <c r="C699" s="13">
        <f t="shared" si="2"/>
        <v>1</v>
      </c>
      <c r="D699" s="13">
        <f t="shared" si="3"/>
        <v>0</v>
      </c>
      <c r="O699" s="4"/>
      <c r="P699" s="4"/>
      <c r="Q699" s="4"/>
      <c r="R699" s="4"/>
    </row>
    <row r="700" ht="15.75" customHeight="1">
      <c r="A700" s="13">
        <f>A699+'Energy Balance'!$N$7</f>
        <v>698</v>
      </c>
      <c r="B700" s="18">
        <f t="shared" si="1"/>
        <v>7.377384778</v>
      </c>
      <c r="C700" s="13">
        <f t="shared" si="2"/>
        <v>1</v>
      </c>
      <c r="D700" s="13">
        <f t="shared" si="3"/>
        <v>0</v>
      </c>
      <c r="O700" s="4"/>
      <c r="P700" s="4"/>
      <c r="Q700" s="4"/>
      <c r="R700" s="4"/>
    </row>
    <row r="701" ht="15.75" customHeight="1">
      <c r="A701" s="13">
        <f>A700+'Energy Balance'!$N$7</f>
        <v>699</v>
      </c>
      <c r="B701" s="18">
        <f t="shared" si="1"/>
        <v>7.387954097</v>
      </c>
      <c r="C701" s="13">
        <f t="shared" si="2"/>
        <v>1</v>
      </c>
      <c r="D701" s="13">
        <f t="shared" si="3"/>
        <v>0</v>
      </c>
      <c r="O701" s="4"/>
      <c r="P701" s="4"/>
      <c r="Q701" s="4"/>
      <c r="R701" s="4"/>
    </row>
    <row r="702" ht="15.75" customHeight="1">
      <c r="A702" s="13">
        <f>A701+'Energy Balance'!$N$7</f>
        <v>700</v>
      </c>
      <c r="B702" s="18">
        <f t="shared" si="1"/>
        <v>7.398523416</v>
      </c>
      <c r="C702" s="13">
        <f t="shared" si="2"/>
        <v>1</v>
      </c>
      <c r="D702" s="13">
        <f t="shared" si="3"/>
        <v>0</v>
      </c>
      <c r="O702" s="4"/>
      <c r="P702" s="4"/>
      <c r="Q702" s="4"/>
      <c r="R702" s="4"/>
    </row>
    <row r="703" ht="15.75" customHeight="1">
      <c r="A703" s="13">
        <f>A702+'Energy Balance'!$N$7</f>
        <v>701</v>
      </c>
      <c r="B703" s="18">
        <f t="shared" si="1"/>
        <v>7.409092735</v>
      </c>
      <c r="C703" s="13">
        <f t="shared" si="2"/>
        <v>1</v>
      </c>
      <c r="D703" s="13">
        <f t="shared" si="3"/>
        <v>0</v>
      </c>
      <c r="O703" s="4"/>
      <c r="P703" s="4"/>
      <c r="Q703" s="4"/>
      <c r="R703" s="4"/>
    </row>
    <row r="704" ht="15.75" customHeight="1">
      <c r="A704" s="13">
        <f>A703+'Energy Balance'!$N$7</f>
        <v>702</v>
      </c>
      <c r="B704" s="18">
        <f t="shared" si="1"/>
        <v>7.419662054</v>
      </c>
      <c r="C704" s="13">
        <f t="shared" si="2"/>
        <v>1</v>
      </c>
      <c r="D704" s="13">
        <f t="shared" si="3"/>
        <v>0</v>
      </c>
      <c r="O704" s="4"/>
      <c r="P704" s="4"/>
      <c r="Q704" s="4"/>
      <c r="R704" s="4"/>
    </row>
    <row r="705" ht="15.75" customHeight="1">
      <c r="A705" s="13">
        <f>A704+'Energy Balance'!$N$7</f>
        <v>703</v>
      </c>
      <c r="B705" s="18">
        <f t="shared" si="1"/>
        <v>7.430231374</v>
      </c>
      <c r="C705" s="13">
        <f t="shared" si="2"/>
        <v>1</v>
      </c>
      <c r="D705" s="13">
        <f t="shared" si="3"/>
        <v>0</v>
      </c>
      <c r="O705" s="4"/>
      <c r="P705" s="4"/>
      <c r="Q705" s="4"/>
      <c r="R705" s="4"/>
    </row>
    <row r="706" ht="15.75" customHeight="1">
      <c r="A706" s="13">
        <f>A705+'Energy Balance'!$N$7</f>
        <v>704</v>
      </c>
      <c r="B706" s="18">
        <f t="shared" si="1"/>
        <v>7.440800693</v>
      </c>
      <c r="C706" s="13">
        <f t="shared" si="2"/>
        <v>1</v>
      </c>
      <c r="D706" s="13">
        <f t="shared" si="3"/>
        <v>0</v>
      </c>
      <c r="O706" s="4"/>
      <c r="P706" s="4"/>
      <c r="Q706" s="4"/>
      <c r="R706" s="4"/>
    </row>
    <row r="707" ht="15.75" customHeight="1">
      <c r="A707" s="13">
        <f>A706+'Energy Balance'!$N$7</f>
        <v>705</v>
      </c>
      <c r="B707" s="18">
        <f t="shared" si="1"/>
        <v>7.451370012</v>
      </c>
      <c r="C707" s="13">
        <f t="shared" si="2"/>
        <v>1</v>
      </c>
      <c r="D707" s="13">
        <f t="shared" si="3"/>
        <v>0</v>
      </c>
      <c r="O707" s="4"/>
      <c r="P707" s="4"/>
      <c r="Q707" s="4"/>
      <c r="R707" s="4"/>
    </row>
    <row r="708" ht="15.75" customHeight="1">
      <c r="A708" s="13">
        <f>A707+'Energy Balance'!$N$7</f>
        <v>706</v>
      </c>
      <c r="B708" s="18">
        <f t="shared" si="1"/>
        <v>7.461939331</v>
      </c>
      <c r="C708" s="13">
        <f t="shared" si="2"/>
        <v>1</v>
      </c>
      <c r="D708" s="13">
        <f t="shared" si="3"/>
        <v>0</v>
      </c>
      <c r="O708" s="4"/>
      <c r="P708" s="4"/>
      <c r="Q708" s="4"/>
      <c r="R708" s="4"/>
    </row>
    <row r="709" ht="15.75" customHeight="1">
      <c r="A709" s="13">
        <f>A708+'Energy Balance'!$N$7</f>
        <v>707</v>
      </c>
      <c r="B709" s="18">
        <f t="shared" si="1"/>
        <v>7.47250865</v>
      </c>
      <c r="C709" s="13">
        <f t="shared" si="2"/>
        <v>1</v>
      </c>
      <c r="D709" s="13">
        <f t="shared" si="3"/>
        <v>0</v>
      </c>
      <c r="O709" s="4"/>
      <c r="P709" s="4"/>
      <c r="Q709" s="4"/>
      <c r="R709" s="4"/>
    </row>
    <row r="710" ht="15.75" customHeight="1">
      <c r="A710" s="13">
        <f>A709+'Energy Balance'!$N$7</f>
        <v>708</v>
      </c>
      <c r="B710" s="18">
        <f t="shared" si="1"/>
        <v>7.483077969</v>
      </c>
      <c r="C710" s="13">
        <f t="shared" si="2"/>
        <v>1</v>
      </c>
      <c r="D710" s="13">
        <f t="shared" si="3"/>
        <v>0</v>
      </c>
      <c r="O710" s="4"/>
      <c r="P710" s="4"/>
      <c r="Q710" s="4"/>
      <c r="R710" s="4"/>
    </row>
    <row r="711" ht="15.75" customHeight="1">
      <c r="A711" s="13">
        <f>A710+'Energy Balance'!$N$7</f>
        <v>709</v>
      </c>
      <c r="B711" s="18">
        <f t="shared" si="1"/>
        <v>7.493647289</v>
      </c>
      <c r="C711" s="13">
        <f t="shared" si="2"/>
        <v>1</v>
      </c>
      <c r="D711" s="13">
        <f t="shared" si="3"/>
        <v>0</v>
      </c>
      <c r="O711" s="4"/>
      <c r="P711" s="4"/>
      <c r="Q711" s="4"/>
      <c r="R711" s="4"/>
    </row>
    <row r="712" ht="15.75" customHeight="1">
      <c r="A712" s="13">
        <f>A711+'Energy Balance'!$N$7</f>
        <v>710</v>
      </c>
      <c r="B712" s="18">
        <f t="shared" si="1"/>
        <v>7.504216608</v>
      </c>
      <c r="C712" s="13">
        <f t="shared" si="2"/>
        <v>1</v>
      </c>
      <c r="D712" s="13">
        <f t="shared" si="3"/>
        <v>0</v>
      </c>
      <c r="O712" s="4"/>
      <c r="P712" s="4"/>
      <c r="Q712" s="4"/>
      <c r="R712" s="4"/>
    </row>
    <row r="713" ht="15.75" customHeight="1">
      <c r="A713" s="13">
        <f>A712+'Energy Balance'!$N$7</f>
        <v>711</v>
      </c>
      <c r="B713" s="18">
        <f t="shared" si="1"/>
        <v>7.514785927</v>
      </c>
      <c r="C713" s="13">
        <f t="shared" si="2"/>
        <v>1</v>
      </c>
      <c r="D713" s="13">
        <f t="shared" si="3"/>
        <v>0</v>
      </c>
      <c r="O713" s="4"/>
      <c r="P713" s="4"/>
      <c r="Q713" s="4"/>
      <c r="R713" s="4"/>
    </row>
    <row r="714" ht="15.75" customHeight="1">
      <c r="A714" s="13">
        <f>A713+'Energy Balance'!$N$7</f>
        <v>712</v>
      </c>
      <c r="B714" s="18">
        <f t="shared" si="1"/>
        <v>7.525355246</v>
      </c>
      <c r="C714" s="13">
        <f t="shared" si="2"/>
        <v>1</v>
      </c>
      <c r="D714" s="13">
        <f t="shared" si="3"/>
        <v>0</v>
      </c>
      <c r="O714" s="4"/>
      <c r="P714" s="4"/>
      <c r="Q714" s="4"/>
      <c r="R714" s="4"/>
    </row>
    <row r="715" ht="15.75" customHeight="1">
      <c r="A715" s="13">
        <f>A714+'Energy Balance'!$N$7</f>
        <v>713</v>
      </c>
      <c r="B715" s="18">
        <f t="shared" si="1"/>
        <v>7.535924565</v>
      </c>
      <c r="C715" s="13">
        <f t="shared" si="2"/>
        <v>1</v>
      </c>
      <c r="D715" s="13">
        <f t="shared" si="3"/>
        <v>0</v>
      </c>
      <c r="O715" s="4"/>
      <c r="P715" s="4"/>
      <c r="Q715" s="4"/>
      <c r="R715" s="4"/>
    </row>
    <row r="716" ht="15.75" customHeight="1">
      <c r="A716" s="13">
        <f>A715+'Energy Balance'!$N$7</f>
        <v>714</v>
      </c>
      <c r="B716" s="18">
        <f t="shared" si="1"/>
        <v>7.546493884</v>
      </c>
      <c r="C716" s="13">
        <f t="shared" si="2"/>
        <v>1</v>
      </c>
      <c r="D716" s="13">
        <f t="shared" si="3"/>
        <v>0</v>
      </c>
      <c r="O716" s="4"/>
      <c r="P716" s="4"/>
      <c r="Q716" s="4"/>
      <c r="R716" s="4"/>
    </row>
    <row r="717" ht="15.75" customHeight="1">
      <c r="A717" s="13">
        <f>A716+'Energy Balance'!$N$7</f>
        <v>715</v>
      </c>
      <c r="B717" s="18">
        <f t="shared" si="1"/>
        <v>7.557063204</v>
      </c>
      <c r="C717" s="13">
        <f t="shared" si="2"/>
        <v>1</v>
      </c>
      <c r="D717" s="13">
        <f t="shared" si="3"/>
        <v>0</v>
      </c>
      <c r="O717" s="4"/>
      <c r="P717" s="4"/>
      <c r="Q717" s="4"/>
      <c r="R717" s="4"/>
    </row>
    <row r="718" ht="15.75" customHeight="1">
      <c r="A718" s="13">
        <f>A717+'Energy Balance'!$N$7</f>
        <v>716</v>
      </c>
      <c r="B718" s="18">
        <f t="shared" si="1"/>
        <v>7.567632523</v>
      </c>
      <c r="C718" s="13">
        <f t="shared" si="2"/>
        <v>1</v>
      </c>
      <c r="D718" s="13">
        <f t="shared" si="3"/>
        <v>0</v>
      </c>
      <c r="O718" s="4"/>
      <c r="P718" s="4"/>
      <c r="Q718" s="4"/>
      <c r="R718" s="4"/>
    </row>
    <row r="719" ht="15.75" customHeight="1">
      <c r="A719" s="13">
        <f>A718+'Energy Balance'!$N$7</f>
        <v>717</v>
      </c>
      <c r="B719" s="18">
        <f t="shared" si="1"/>
        <v>7.578201842</v>
      </c>
      <c r="C719" s="13">
        <f t="shared" si="2"/>
        <v>1</v>
      </c>
      <c r="D719" s="13">
        <f t="shared" si="3"/>
        <v>0</v>
      </c>
      <c r="O719" s="4"/>
      <c r="P719" s="4"/>
      <c r="Q719" s="4"/>
      <c r="R719" s="4"/>
    </row>
    <row r="720" ht="15.75" customHeight="1">
      <c r="A720" s="13">
        <f>A719+'Energy Balance'!$N$7</f>
        <v>718</v>
      </c>
      <c r="B720" s="18">
        <f t="shared" si="1"/>
        <v>7.588771161</v>
      </c>
      <c r="C720" s="13">
        <f t="shared" si="2"/>
        <v>1</v>
      </c>
      <c r="D720" s="13">
        <f t="shared" si="3"/>
        <v>0</v>
      </c>
      <c r="O720" s="4"/>
      <c r="P720" s="4"/>
      <c r="Q720" s="4"/>
      <c r="R720" s="4"/>
    </row>
    <row r="721" ht="15.75" customHeight="1">
      <c r="A721" s="13">
        <f>A720+'Energy Balance'!$N$7</f>
        <v>719</v>
      </c>
      <c r="B721" s="18">
        <f t="shared" si="1"/>
        <v>7.59934048</v>
      </c>
      <c r="C721" s="13">
        <f t="shared" si="2"/>
        <v>1</v>
      </c>
      <c r="D721" s="13">
        <f t="shared" si="3"/>
        <v>0</v>
      </c>
      <c r="O721" s="4"/>
      <c r="P721" s="4"/>
      <c r="Q721" s="4"/>
      <c r="R721" s="4"/>
    </row>
    <row r="722" ht="15.75" customHeight="1">
      <c r="A722" s="13">
        <f>A721+'Energy Balance'!$N$7</f>
        <v>720</v>
      </c>
      <c r="B722" s="18">
        <f t="shared" si="1"/>
        <v>7.609909799</v>
      </c>
      <c r="C722" s="13">
        <f t="shared" si="2"/>
        <v>1</v>
      </c>
      <c r="D722" s="13">
        <f t="shared" si="3"/>
        <v>0</v>
      </c>
      <c r="O722" s="4"/>
      <c r="P722" s="4"/>
      <c r="Q722" s="4"/>
      <c r="R722" s="4"/>
    </row>
    <row r="723" ht="15.75" customHeight="1">
      <c r="A723" s="13">
        <f>A722+'Energy Balance'!$N$7</f>
        <v>721</v>
      </c>
      <c r="B723" s="18">
        <f t="shared" si="1"/>
        <v>7.620479119</v>
      </c>
      <c r="C723" s="13">
        <f t="shared" si="2"/>
        <v>1</v>
      </c>
      <c r="D723" s="13">
        <f t="shared" si="3"/>
        <v>0</v>
      </c>
      <c r="O723" s="4"/>
      <c r="P723" s="4"/>
      <c r="Q723" s="4"/>
      <c r="R723" s="4"/>
    </row>
    <row r="724" ht="15.75" customHeight="1">
      <c r="A724" s="13">
        <f>A723+'Energy Balance'!$N$7</f>
        <v>722</v>
      </c>
      <c r="B724" s="18">
        <f t="shared" si="1"/>
        <v>7.631048438</v>
      </c>
      <c r="C724" s="13">
        <f t="shared" si="2"/>
        <v>0</v>
      </c>
      <c r="D724" s="13">
        <f t="shared" si="3"/>
        <v>1</v>
      </c>
      <c r="O724" s="4"/>
      <c r="P724" s="4"/>
      <c r="Q724" s="4"/>
      <c r="R724" s="4"/>
    </row>
    <row r="725" ht="15.75" customHeight="1">
      <c r="A725" s="13">
        <f>A724+'Energy Balance'!$N$7</f>
        <v>723</v>
      </c>
      <c r="B725" s="18">
        <f t="shared" si="1"/>
        <v>7.641617757</v>
      </c>
      <c r="C725" s="13">
        <f t="shared" si="2"/>
        <v>0</v>
      </c>
      <c r="D725" s="13">
        <f t="shared" si="3"/>
        <v>1</v>
      </c>
      <c r="O725" s="4"/>
      <c r="P725" s="4"/>
      <c r="Q725" s="4"/>
      <c r="R725" s="4"/>
    </row>
    <row r="726" ht="15.75" customHeight="1">
      <c r="A726" s="13">
        <f>A725+'Energy Balance'!$N$7</f>
        <v>724</v>
      </c>
      <c r="B726" s="18">
        <f t="shared" si="1"/>
        <v>7.652187076</v>
      </c>
      <c r="C726" s="13">
        <f t="shared" si="2"/>
        <v>0</v>
      </c>
      <c r="D726" s="13">
        <f t="shared" si="3"/>
        <v>1</v>
      </c>
      <c r="O726" s="4"/>
      <c r="P726" s="4"/>
      <c r="Q726" s="4"/>
      <c r="R726" s="4"/>
    </row>
    <row r="727" ht="15.75" customHeight="1">
      <c r="A727" s="13">
        <f>A726+'Energy Balance'!$N$7</f>
        <v>725</v>
      </c>
      <c r="B727" s="18">
        <f t="shared" si="1"/>
        <v>7.662756395</v>
      </c>
      <c r="C727" s="13">
        <f t="shared" si="2"/>
        <v>0</v>
      </c>
      <c r="D727" s="13">
        <f t="shared" si="3"/>
        <v>1</v>
      </c>
      <c r="O727" s="4"/>
      <c r="P727" s="4"/>
      <c r="Q727" s="4"/>
      <c r="R727" s="4"/>
    </row>
    <row r="728" ht="15.75" customHeight="1">
      <c r="A728" s="13">
        <f>A727+'Energy Balance'!$N$7</f>
        <v>726</v>
      </c>
      <c r="B728" s="18">
        <f t="shared" si="1"/>
        <v>7.673325714</v>
      </c>
      <c r="C728" s="13">
        <f t="shared" si="2"/>
        <v>0</v>
      </c>
      <c r="D728" s="13">
        <f t="shared" si="3"/>
        <v>1</v>
      </c>
      <c r="O728" s="4"/>
      <c r="P728" s="4"/>
      <c r="Q728" s="4"/>
      <c r="R728" s="4"/>
    </row>
    <row r="729" ht="15.75" customHeight="1">
      <c r="A729" s="13">
        <f>A728+'Energy Balance'!$N$7</f>
        <v>727</v>
      </c>
      <c r="B729" s="18">
        <f t="shared" si="1"/>
        <v>7.683895034</v>
      </c>
      <c r="C729" s="13">
        <f t="shared" si="2"/>
        <v>0</v>
      </c>
      <c r="D729" s="13">
        <f t="shared" si="3"/>
        <v>1</v>
      </c>
      <c r="O729" s="4"/>
      <c r="P729" s="4"/>
      <c r="Q729" s="4"/>
      <c r="R729" s="4"/>
    </row>
    <row r="730" ht="15.75" customHeight="1">
      <c r="A730" s="13">
        <f>A729+'Energy Balance'!$N$7</f>
        <v>728</v>
      </c>
      <c r="B730" s="18">
        <f t="shared" si="1"/>
        <v>7.694464353</v>
      </c>
      <c r="C730" s="13">
        <f t="shared" si="2"/>
        <v>0</v>
      </c>
      <c r="D730" s="13">
        <f t="shared" si="3"/>
        <v>1</v>
      </c>
      <c r="O730" s="4"/>
      <c r="P730" s="4"/>
      <c r="Q730" s="4"/>
      <c r="R730" s="4"/>
    </row>
    <row r="731" ht="15.75" customHeight="1">
      <c r="A731" s="13">
        <f>A730+'Energy Balance'!$N$7</f>
        <v>729</v>
      </c>
      <c r="B731" s="18">
        <f t="shared" si="1"/>
        <v>7.705033672</v>
      </c>
      <c r="C731" s="13">
        <f t="shared" si="2"/>
        <v>0</v>
      </c>
      <c r="D731" s="13">
        <f t="shared" si="3"/>
        <v>1</v>
      </c>
      <c r="O731" s="4"/>
      <c r="P731" s="4"/>
      <c r="Q731" s="4"/>
      <c r="R731" s="4"/>
    </row>
    <row r="732" ht="15.75" customHeight="1">
      <c r="A732" s="13">
        <f>A731+'Energy Balance'!$N$7</f>
        <v>730</v>
      </c>
      <c r="B732" s="18">
        <f t="shared" si="1"/>
        <v>7.715602991</v>
      </c>
      <c r="C732" s="13">
        <f t="shared" si="2"/>
        <v>0</v>
      </c>
      <c r="D732" s="13">
        <f t="shared" si="3"/>
        <v>1</v>
      </c>
      <c r="O732" s="4"/>
      <c r="P732" s="4"/>
      <c r="Q732" s="4"/>
      <c r="R732" s="4"/>
    </row>
    <row r="733" ht="15.75" customHeight="1">
      <c r="A733" s="13">
        <f>A732+'Energy Balance'!$N$7</f>
        <v>731</v>
      </c>
      <c r="B733" s="18">
        <f t="shared" si="1"/>
        <v>7.72617231</v>
      </c>
      <c r="C733" s="13">
        <f t="shared" si="2"/>
        <v>0</v>
      </c>
      <c r="D733" s="13">
        <f t="shared" si="3"/>
        <v>1</v>
      </c>
      <c r="O733" s="4"/>
      <c r="P733" s="4"/>
      <c r="Q733" s="4"/>
      <c r="R733" s="4"/>
    </row>
    <row r="734" ht="15.75" customHeight="1">
      <c r="A734" s="13">
        <f>A733+'Energy Balance'!$N$7</f>
        <v>732</v>
      </c>
      <c r="B734" s="18">
        <f t="shared" si="1"/>
        <v>7.736741629</v>
      </c>
      <c r="C734" s="13">
        <f t="shared" si="2"/>
        <v>0</v>
      </c>
      <c r="D734" s="13">
        <f t="shared" si="3"/>
        <v>1</v>
      </c>
      <c r="O734" s="4"/>
      <c r="P734" s="4"/>
      <c r="Q734" s="4"/>
      <c r="R734" s="4"/>
    </row>
    <row r="735" ht="15.75" customHeight="1">
      <c r="A735" s="13">
        <f>A734+'Energy Balance'!$N$7</f>
        <v>733</v>
      </c>
      <c r="B735" s="18">
        <f t="shared" si="1"/>
        <v>7.747310949</v>
      </c>
      <c r="C735" s="13">
        <f t="shared" si="2"/>
        <v>0</v>
      </c>
      <c r="D735" s="13">
        <f t="shared" si="3"/>
        <v>1</v>
      </c>
      <c r="O735" s="4"/>
      <c r="P735" s="4"/>
      <c r="Q735" s="4"/>
      <c r="R735" s="4"/>
    </row>
    <row r="736" ht="15.75" customHeight="1">
      <c r="A736" s="13">
        <f>A735+'Energy Balance'!$N$7</f>
        <v>734</v>
      </c>
      <c r="B736" s="18">
        <f t="shared" si="1"/>
        <v>7.757880268</v>
      </c>
      <c r="C736" s="13">
        <f t="shared" si="2"/>
        <v>0</v>
      </c>
      <c r="D736" s="13">
        <f t="shared" si="3"/>
        <v>1</v>
      </c>
      <c r="O736" s="4"/>
      <c r="P736" s="4"/>
      <c r="Q736" s="4"/>
      <c r="R736" s="4"/>
    </row>
    <row r="737" ht="15.75" customHeight="1">
      <c r="A737" s="13">
        <f>A736+'Energy Balance'!$N$7</f>
        <v>735</v>
      </c>
      <c r="B737" s="18">
        <f t="shared" si="1"/>
        <v>7.768449587</v>
      </c>
      <c r="C737" s="13">
        <f t="shared" si="2"/>
        <v>0</v>
      </c>
      <c r="D737" s="13">
        <f t="shared" si="3"/>
        <v>1</v>
      </c>
      <c r="O737" s="4"/>
      <c r="P737" s="4"/>
      <c r="Q737" s="4"/>
      <c r="R737" s="4"/>
    </row>
    <row r="738" ht="15.75" customHeight="1">
      <c r="A738" s="13">
        <f>A737+'Energy Balance'!$N$7</f>
        <v>736</v>
      </c>
      <c r="B738" s="18">
        <f t="shared" si="1"/>
        <v>7.779018906</v>
      </c>
      <c r="C738" s="13">
        <f t="shared" si="2"/>
        <v>0</v>
      </c>
      <c r="D738" s="13">
        <f t="shared" si="3"/>
        <v>1</v>
      </c>
      <c r="O738" s="4"/>
      <c r="P738" s="4"/>
      <c r="Q738" s="4"/>
      <c r="R738" s="4"/>
    </row>
    <row r="739" ht="15.75" customHeight="1">
      <c r="A739" s="13">
        <f>A738+'Energy Balance'!$N$7</f>
        <v>737</v>
      </c>
      <c r="B739" s="18">
        <f t="shared" si="1"/>
        <v>7.789588225</v>
      </c>
      <c r="C739" s="13">
        <f t="shared" si="2"/>
        <v>0</v>
      </c>
      <c r="D739" s="13">
        <f t="shared" si="3"/>
        <v>1</v>
      </c>
      <c r="O739" s="4"/>
      <c r="P739" s="4"/>
      <c r="Q739" s="4"/>
      <c r="R739" s="4"/>
    </row>
    <row r="740" ht="15.75" customHeight="1">
      <c r="A740" s="13">
        <f>A739+'Energy Balance'!$N$7</f>
        <v>738</v>
      </c>
      <c r="B740" s="18">
        <f t="shared" si="1"/>
        <v>7.800157544</v>
      </c>
      <c r="C740" s="13">
        <f t="shared" si="2"/>
        <v>0</v>
      </c>
      <c r="D740" s="13">
        <f t="shared" si="3"/>
        <v>1</v>
      </c>
      <c r="O740" s="4"/>
      <c r="P740" s="4"/>
      <c r="Q740" s="4"/>
      <c r="R740" s="4"/>
    </row>
    <row r="741" ht="15.75" customHeight="1">
      <c r="A741" s="13">
        <f>A740+'Energy Balance'!$N$7</f>
        <v>739</v>
      </c>
      <c r="B741" s="18">
        <f t="shared" si="1"/>
        <v>7.810726864</v>
      </c>
      <c r="C741" s="13">
        <f t="shared" si="2"/>
        <v>0</v>
      </c>
      <c r="D741" s="13">
        <f t="shared" si="3"/>
        <v>1</v>
      </c>
      <c r="O741" s="4"/>
      <c r="P741" s="4"/>
      <c r="Q741" s="4"/>
      <c r="R741" s="4"/>
    </row>
    <row r="742" ht="15.75" customHeight="1">
      <c r="A742" s="13">
        <f>A741+'Energy Balance'!$N$7</f>
        <v>740</v>
      </c>
      <c r="B742" s="18">
        <f t="shared" si="1"/>
        <v>7.821296183</v>
      </c>
      <c r="C742" s="13">
        <f t="shared" si="2"/>
        <v>0</v>
      </c>
      <c r="D742" s="13">
        <f t="shared" si="3"/>
        <v>1</v>
      </c>
      <c r="O742" s="4"/>
      <c r="P742" s="4"/>
      <c r="Q742" s="4"/>
      <c r="R742" s="4"/>
    </row>
    <row r="743" ht="15.75" customHeight="1">
      <c r="A743" s="13">
        <f>A742+'Energy Balance'!$N$7</f>
        <v>741</v>
      </c>
      <c r="B743" s="18">
        <f t="shared" si="1"/>
        <v>7.831865502</v>
      </c>
      <c r="C743" s="13">
        <f t="shared" si="2"/>
        <v>0</v>
      </c>
      <c r="D743" s="13">
        <f t="shared" si="3"/>
        <v>1</v>
      </c>
      <c r="O743" s="4"/>
      <c r="P743" s="4"/>
      <c r="Q743" s="4"/>
      <c r="R743" s="4"/>
    </row>
    <row r="744" ht="15.75" customHeight="1">
      <c r="A744" s="13">
        <f>A743+'Energy Balance'!$N$7</f>
        <v>742</v>
      </c>
      <c r="B744" s="18">
        <f t="shared" si="1"/>
        <v>7.842434821</v>
      </c>
      <c r="C744" s="13">
        <f t="shared" si="2"/>
        <v>0</v>
      </c>
      <c r="D744" s="13">
        <f t="shared" si="3"/>
        <v>1</v>
      </c>
      <c r="O744" s="4"/>
      <c r="P744" s="4"/>
      <c r="Q744" s="4"/>
      <c r="R744" s="4"/>
    </row>
    <row r="745" ht="15.75" customHeight="1">
      <c r="A745" s="13">
        <f>A744+'Energy Balance'!$N$7</f>
        <v>743</v>
      </c>
      <c r="B745" s="18">
        <f t="shared" si="1"/>
        <v>7.85300414</v>
      </c>
      <c r="C745" s="13">
        <f t="shared" si="2"/>
        <v>0</v>
      </c>
      <c r="D745" s="13">
        <f t="shared" si="3"/>
        <v>1</v>
      </c>
      <c r="O745" s="4"/>
      <c r="P745" s="4"/>
      <c r="Q745" s="4"/>
      <c r="R745" s="4"/>
    </row>
    <row r="746" ht="15.75" customHeight="1">
      <c r="A746" s="13">
        <f>A745+'Energy Balance'!$N$7</f>
        <v>744</v>
      </c>
      <c r="B746" s="18">
        <f t="shared" si="1"/>
        <v>7.863573459</v>
      </c>
      <c r="C746" s="13">
        <f t="shared" si="2"/>
        <v>0</v>
      </c>
      <c r="D746" s="13">
        <f t="shared" si="3"/>
        <v>1</v>
      </c>
      <c r="O746" s="4"/>
      <c r="P746" s="4"/>
      <c r="Q746" s="4"/>
      <c r="R746" s="4"/>
    </row>
    <row r="747" ht="15.75" customHeight="1">
      <c r="A747" s="13">
        <f>A746+'Energy Balance'!$N$7</f>
        <v>745</v>
      </c>
      <c r="B747" s="18">
        <f t="shared" si="1"/>
        <v>7.874142779</v>
      </c>
      <c r="C747" s="13">
        <f t="shared" si="2"/>
        <v>0</v>
      </c>
      <c r="D747" s="13">
        <f t="shared" si="3"/>
        <v>1</v>
      </c>
      <c r="O747" s="4"/>
      <c r="P747" s="4"/>
      <c r="Q747" s="4"/>
      <c r="R747" s="4"/>
    </row>
    <row r="748" ht="15.75" customHeight="1">
      <c r="A748" s="13">
        <f>A747+'Energy Balance'!$N$7</f>
        <v>746</v>
      </c>
      <c r="B748" s="18">
        <f t="shared" si="1"/>
        <v>7.884712098</v>
      </c>
      <c r="C748" s="13">
        <f t="shared" si="2"/>
        <v>0</v>
      </c>
      <c r="D748" s="13">
        <f t="shared" si="3"/>
        <v>1</v>
      </c>
      <c r="O748" s="4"/>
      <c r="P748" s="4"/>
      <c r="Q748" s="4"/>
      <c r="R748" s="4"/>
    </row>
    <row r="749" ht="15.75" customHeight="1">
      <c r="A749" s="13">
        <f>A748+'Energy Balance'!$N$7</f>
        <v>747</v>
      </c>
      <c r="B749" s="18">
        <f t="shared" si="1"/>
        <v>7.895281417</v>
      </c>
      <c r="C749" s="13">
        <f t="shared" si="2"/>
        <v>0</v>
      </c>
      <c r="D749" s="13">
        <f t="shared" si="3"/>
        <v>1</v>
      </c>
      <c r="O749" s="4"/>
      <c r="P749" s="4"/>
      <c r="Q749" s="4"/>
      <c r="R749" s="4"/>
    </row>
    <row r="750" ht="15.75" customHeight="1">
      <c r="A750" s="13">
        <f>A749+'Energy Balance'!$N$7</f>
        <v>748</v>
      </c>
      <c r="B750" s="18">
        <f t="shared" si="1"/>
        <v>7.905850736</v>
      </c>
      <c r="C750" s="13">
        <f t="shared" si="2"/>
        <v>0</v>
      </c>
      <c r="D750" s="13">
        <f t="shared" si="3"/>
        <v>1</v>
      </c>
      <c r="O750" s="4"/>
      <c r="P750" s="4"/>
      <c r="Q750" s="4"/>
      <c r="R750" s="4"/>
    </row>
    <row r="751" ht="15.75" customHeight="1">
      <c r="A751" s="13">
        <f>A750+'Energy Balance'!$N$7</f>
        <v>749</v>
      </c>
      <c r="B751" s="18">
        <f t="shared" si="1"/>
        <v>7.916420055</v>
      </c>
      <c r="C751" s="13">
        <f t="shared" si="2"/>
        <v>0</v>
      </c>
      <c r="D751" s="13">
        <f t="shared" si="3"/>
        <v>1</v>
      </c>
      <c r="O751" s="4"/>
      <c r="P751" s="4"/>
      <c r="Q751" s="4"/>
      <c r="R751" s="4"/>
    </row>
    <row r="752" ht="15.75" customHeight="1">
      <c r="A752" s="13">
        <f>A751+'Energy Balance'!$N$7</f>
        <v>750</v>
      </c>
      <c r="B752" s="18">
        <f t="shared" si="1"/>
        <v>7.926989374</v>
      </c>
      <c r="C752" s="13">
        <f t="shared" si="2"/>
        <v>0</v>
      </c>
      <c r="D752" s="13">
        <f t="shared" si="3"/>
        <v>1</v>
      </c>
      <c r="O752" s="4"/>
      <c r="P752" s="4"/>
      <c r="Q752" s="4"/>
      <c r="R752" s="4"/>
    </row>
    <row r="753" ht="15.75" customHeight="1">
      <c r="A753" s="13">
        <f>A752+'Energy Balance'!$N$7</f>
        <v>751</v>
      </c>
      <c r="B753" s="18">
        <f t="shared" si="1"/>
        <v>7.937558694</v>
      </c>
      <c r="C753" s="13">
        <f t="shared" si="2"/>
        <v>0</v>
      </c>
      <c r="D753" s="13">
        <f t="shared" si="3"/>
        <v>1</v>
      </c>
      <c r="O753" s="4"/>
      <c r="P753" s="4"/>
      <c r="Q753" s="4"/>
      <c r="R753" s="4"/>
    </row>
    <row r="754" ht="15.75" customHeight="1">
      <c r="A754" s="13">
        <f>A753+'Energy Balance'!$N$7</f>
        <v>752</v>
      </c>
      <c r="B754" s="18">
        <f t="shared" si="1"/>
        <v>7.948128013</v>
      </c>
      <c r="C754" s="13">
        <f t="shared" si="2"/>
        <v>0</v>
      </c>
      <c r="D754" s="13">
        <f t="shared" si="3"/>
        <v>1</v>
      </c>
      <c r="O754" s="4"/>
      <c r="P754" s="4"/>
      <c r="Q754" s="4"/>
      <c r="R754" s="4"/>
    </row>
    <row r="755" ht="15.75" customHeight="1">
      <c r="A755" s="13">
        <f>A754+'Energy Balance'!$N$7</f>
        <v>753</v>
      </c>
      <c r="B755" s="18">
        <f t="shared" si="1"/>
        <v>7.958697332</v>
      </c>
      <c r="C755" s="13">
        <f t="shared" si="2"/>
        <v>0</v>
      </c>
      <c r="D755" s="13">
        <f t="shared" si="3"/>
        <v>1</v>
      </c>
      <c r="O755" s="4"/>
      <c r="P755" s="4"/>
      <c r="Q755" s="4"/>
      <c r="R755" s="4"/>
    </row>
    <row r="756" ht="15.75" customHeight="1">
      <c r="A756" s="13">
        <f>A755+'Energy Balance'!$N$7</f>
        <v>754</v>
      </c>
      <c r="B756" s="18">
        <f t="shared" si="1"/>
        <v>7.969266651</v>
      </c>
      <c r="C756" s="13">
        <f t="shared" si="2"/>
        <v>0</v>
      </c>
      <c r="D756" s="13">
        <f t="shared" si="3"/>
        <v>1</v>
      </c>
      <c r="O756" s="4"/>
      <c r="P756" s="4"/>
      <c r="Q756" s="4"/>
      <c r="R756" s="4"/>
    </row>
    <row r="757" ht="15.75" customHeight="1">
      <c r="A757" s="13">
        <f>A756+'Energy Balance'!$N$7</f>
        <v>755</v>
      </c>
      <c r="B757" s="18">
        <f t="shared" si="1"/>
        <v>7.97983597</v>
      </c>
      <c r="C757" s="13">
        <f t="shared" si="2"/>
        <v>0</v>
      </c>
      <c r="D757" s="13">
        <f t="shared" si="3"/>
        <v>1</v>
      </c>
      <c r="O757" s="4"/>
      <c r="P757" s="4"/>
      <c r="Q757" s="4"/>
      <c r="R757" s="4"/>
    </row>
    <row r="758" ht="15.75" customHeight="1">
      <c r="A758" s="13">
        <f>A757+'Energy Balance'!$N$7</f>
        <v>756</v>
      </c>
      <c r="B758" s="18">
        <f t="shared" si="1"/>
        <v>7.990405289</v>
      </c>
      <c r="C758" s="13">
        <f t="shared" si="2"/>
        <v>0</v>
      </c>
      <c r="D758" s="13">
        <f t="shared" si="3"/>
        <v>1</v>
      </c>
      <c r="O758" s="4"/>
      <c r="P758" s="4"/>
      <c r="Q758" s="4"/>
      <c r="R758" s="4"/>
    </row>
    <row r="759" ht="15.75" customHeight="1">
      <c r="A759" s="13">
        <f>A758+'Energy Balance'!$N$7</f>
        <v>757</v>
      </c>
      <c r="B759" s="18">
        <f t="shared" si="1"/>
        <v>8.000974609</v>
      </c>
      <c r="C759" s="13">
        <f t="shared" si="2"/>
        <v>1</v>
      </c>
      <c r="D759" s="13">
        <f t="shared" si="3"/>
        <v>0</v>
      </c>
      <c r="O759" s="4"/>
      <c r="P759" s="4"/>
      <c r="Q759" s="4"/>
      <c r="R759" s="4"/>
    </row>
    <row r="760" ht="15.75" customHeight="1">
      <c r="A760" s="13">
        <f>A759+'Energy Balance'!$N$7</f>
        <v>758</v>
      </c>
      <c r="B760" s="18">
        <f t="shared" si="1"/>
        <v>8.011543928</v>
      </c>
      <c r="C760" s="13">
        <f t="shared" si="2"/>
        <v>1</v>
      </c>
      <c r="D760" s="13">
        <f t="shared" si="3"/>
        <v>0</v>
      </c>
      <c r="O760" s="4"/>
      <c r="P760" s="4"/>
      <c r="Q760" s="4"/>
      <c r="R760" s="4"/>
    </row>
    <row r="761" ht="15.75" customHeight="1">
      <c r="A761" s="13">
        <f>A760+'Energy Balance'!$N$7</f>
        <v>759</v>
      </c>
      <c r="B761" s="18">
        <f t="shared" si="1"/>
        <v>8.022113247</v>
      </c>
      <c r="C761" s="13">
        <f t="shared" si="2"/>
        <v>1</v>
      </c>
      <c r="D761" s="13">
        <f t="shared" si="3"/>
        <v>0</v>
      </c>
      <c r="O761" s="4"/>
      <c r="P761" s="4"/>
      <c r="Q761" s="4"/>
      <c r="R761" s="4"/>
    </row>
    <row r="762" ht="15.75" customHeight="1">
      <c r="A762" s="13">
        <f>A761+'Energy Balance'!$N$7</f>
        <v>760</v>
      </c>
      <c r="B762" s="18">
        <f t="shared" si="1"/>
        <v>8.032682566</v>
      </c>
      <c r="C762" s="13">
        <f t="shared" si="2"/>
        <v>1</v>
      </c>
      <c r="D762" s="13">
        <f t="shared" si="3"/>
        <v>0</v>
      </c>
      <c r="O762" s="4"/>
      <c r="P762" s="4"/>
      <c r="Q762" s="4"/>
      <c r="R762" s="4"/>
    </row>
    <row r="763" ht="15.75" customHeight="1">
      <c r="A763" s="13">
        <f>A762+'Energy Balance'!$N$7</f>
        <v>761</v>
      </c>
      <c r="B763" s="18">
        <f t="shared" si="1"/>
        <v>8.043251885</v>
      </c>
      <c r="C763" s="13">
        <f t="shared" si="2"/>
        <v>1</v>
      </c>
      <c r="D763" s="13">
        <f t="shared" si="3"/>
        <v>0</v>
      </c>
      <c r="O763" s="4"/>
      <c r="P763" s="4"/>
      <c r="Q763" s="4"/>
      <c r="R763" s="4"/>
    </row>
    <row r="764" ht="15.75" customHeight="1">
      <c r="A764" s="13">
        <f>A763+'Energy Balance'!$N$7</f>
        <v>762</v>
      </c>
      <c r="B764" s="18">
        <f t="shared" si="1"/>
        <v>8.053821204</v>
      </c>
      <c r="C764" s="13">
        <f t="shared" si="2"/>
        <v>1</v>
      </c>
      <c r="D764" s="13">
        <f t="shared" si="3"/>
        <v>0</v>
      </c>
      <c r="O764" s="4"/>
      <c r="P764" s="4"/>
      <c r="Q764" s="4"/>
      <c r="R764" s="4"/>
    </row>
    <row r="765" ht="15.75" customHeight="1">
      <c r="A765" s="13">
        <f>A764+'Energy Balance'!$N$7</f>
        <v>763</v>
      </c>
      <c r="B765" s="18">
        <f t="shared" si="1"/>
        <v>8.064390524</v>
      </c>
      <c r="C765" s="13">
        <f t="shared" si="2"/>
        <v>1</v>
      </c>
      <c r="D765" s="13">
        <f t="shared" si="3"/>
        <v>0</v>
      </c>
      <c r="O765" s="4"/>
      <c r="P765" s="4"/>
      <c r="Q765" s="4"/>
      <c r="R765" s="4"/>
    </row>
    <row r="766" ht="15.75" customHeight="1">
      <c r="A766" s="13">
        <f>A765+'Energy Balance'!$N$7</f>
        <v>764</v>
      </c>
      <c r="B766" s="18">
        <f t="shared" si="1"/>
        <v>8.074959843</v>
      </c>
      <c r="C766" s="13">
        <f t="shared" si="2"/>
        <v>1</v>
      </c>
      <c r="D766" s="13">
        <f t="shared" si="3"/>
        <v>0</v>
      </c>
      <c r="O766" s="4"/>
      <c r="P766" s="4"/>
      <c r="Q766" s="4"/>
      <c r="R766" s="4"/>
    </row>
    <row r="767" ht="15.75" customHeight="1">
      <c r="A767" s="13">
        <f>A766+'Energy Balance'!$N$7</f>
        <v>765</v>
      </c>
      <c r="B767" s="18">
        <f t="shared" si="1"/>
        <v>8.085529162</v>
      </c>
      <c r="C767" s="13">
        <f t="shared" si="2"/>
        <v>1</v>
      </c>
      <c r="D767" s="13">
        <f t="shared" si="3"/>
        <v>0</v>
      </c>
      <c r="O767" s="4"/>
      <c r="P767" s="4"/>
      <c r="Q767" s="4"/>
      <c r="R767" s="4"/>
    </row>
    <row r="768" ht="15.75" customHeight="1">
      <c r="A768" s="13">
        <f>A767+'Energy Balance'!$N$7</f>
        <v>766</v>
      </c>
      <c r="B768" s="18">
        <f t="shared" si="1"/>
        <v>8.096098481</v>
      </c>
      <c r="C768" s="13">
        <f t="shared" si="2"/>
        <v>1</v>
      </c>
      <c r="D768" s="13">
        <f t="shared" si="3"/>
        <v>0</v>
      </c>
      <c r="O768" s="4"/>
      <c r="P768" s="4"/>
      <c r="Q768" s="4"/>
      <c r="R768" s="4"/>
    </row>
    <row r="769" ht="15.75" customHeight="1">
      <c r="A769" s="13">
        <f>A768+'Energy Balance'!$N$7</f>
        <v>767</v>
      </c>
      <c r="B769" s="18">
        <f t="shared" si="1"/>
        <v>8.1066678</v>
      </c>
      <c r="C769" s="13">
        <f t="shared" si="2"/>
        <v>1</v>
      </c>
      <c r="D769" s="13">
        <f t="shared" si="3"/>
        <v>0</v>
      </c>
      <c r="O769" s="4"/>
      <c r="P769" s="4"/>
      <c r="Q769" s="4"/>
      <c r="R769" s="4"/>
    </row>
    <row r="770" ht="15.75" customHeight="1">
      <c r="A770" s="13">
        <f>A769+'Energy Balance'!$N$7</f>
        <v>768</v>
      </c>
      <c r="B770" s="18">
        <f t="shared" si="1"/>
        <v>8.117237119</v>
      </c>
      <c r="C770" s="13">
        <f t="shared" si="2"/>
        <v>1</v>
      </c>
      <c r="D770" s="13">
        <f t="shared" si="3"/>
        <v>0</v>
      </c>
      <c r="O770" s="4"/>
      <c r="P770" s="4"/>
      <c r="Q770" s="4"/>
      <c r="R770" s="4"/>
    </row>
    <row r="771" ht="15.75" customHeight="1">
      <c r="A771" s="13">
        <f>A770+'Energy Balance'!$N$7</f>
        <v>769</v>
      </c>
      <c r="B771" s="18">
        <f t="shared" si="1"/>
        <v>8.127806439</v>
      </c>
      <c r="C771" s="13">
        <f t="shared" si="2"/>
        <v>1</v>
      </c>
      <c r="D771" s="13">
        <f t="shared" si="3"/>
        <v>0</v>
      </c>
      <c r="O771" s="4"/>
      <c r="P771" s="4"/>
      <c r="Q771" s="4"/>
      <c r="R771" s="4"/>
    </row>
    <row r="772" ht="15.75" customHeight="1">
      <c r="A772" s="13">
        <f>A771+'Energy Balance'!$N$7</f>
        <v>770</v>
      </c>
      <c r="B772" s="18">
        <f t="shared" si="1"/>
        <v>8.138375758</v>
      </c>
      <c r="C772" s="13">
        <f t="shared" si="2"/>
        <v>1</v>
      </c>
      <c r="D772" s="13">
        <f t="shared" si="3"/>
        <v>0</v>
      </c>
      <c r="O772" s="4"/>
      <c r="P772" s="4"/>
      <c r="Q772" s="4"/>
      <c r="R772" s="4"/>
    </row>
    <row r="773" ht="15.75" customHeight="1">
      <c r="A773" s="13">
        <f>A772+'Energy Balance'!$N$7</f>
        <v>771</v>
      </c>
      <c r="B773" s="18">
        <f t="shared" si="1"/>
        <v>8.148945077</v>
      </c>
      <c r="C773" s="13">
        <f t="shared" si="2"/>
        <v>1</v>
      </c>
      <c r="D773" s="13">
        <f t="shared" si="3"/>
        <v>0</v>
      </c>
      <c r="O773" s="4"/>
      <c r="P773" s="4"/>
      <c r="Q773" s="4"/>
      <c r="R773" s="4"/>
    </row>
    <row r="774" ht="15.75" customHeight="1">
      <c r="A774" s="13">
        <f>A773+'Energy Balance'!$N$7</f>
        <v>772</v>
      </c>
      <c r="B774" s="18">
        <f t="shared" si="1"/>
        <v>8.159514396</v>
      </c>
      <c r="C774" s="13">
        <f t="shared" si="2"/>
        <v>1</v>
      </c>
      <c r="D774" s="13">
        <f t="shared" si="3"/>
        <v>0</v>
      </c>
      <c r="O774" s="4"/>
      <c r="P774" s="4"/>
      <c r="Q774" s="4"/>
      <c r="R774" s="4"/>
    </row>
    <row r="775" ht="15.75" customHeight="1">
      <c r="A775" s="13">
        <f>A774+'Energy Balance'!$N$7</f>
        <v>773</v>
      </c>
      <c r="B775" s="18">
        <f t="shared" si="1"/>
        <v>8.170083715</v>
      </c>
      <c r="C775" s="13">
        <f t="shared" si="2"/>
        <v>1</v>
      </c>
      <c r="D775" s="13">
        <f t="shared" si="3"/>
        <v>0</v>
      </c>
      <c r="O775" s="4"/>
      <c r="P775" s="4"/>
      <c r="Q775" s="4"/>
      <c r="R775" s="4"/>
    </row>
    <row r="776" ht="15.75" customHeight="1">
      <c r="A776" s="13">
        <f>A775+'Energy Balance'!$N$7</f>
        <v>774</v>
      </c>
      <c r="B776" s="18">
        <f t="shared" si="1"/>
        <v>8.180653034</v>
      </c>
      <c r="C776" s="13">
        <f t="shared" si="2"/>
        <v>1</v>
      </c>
      <c r="D776" s="13">
        <f t="shared" si="3"/>
        <v>0</v>
      </c>
      <c r="O776" s="4"/>
      <c r="P776" s="4"/>
      <c r="Q776" s="4"/>
      <c r="R776" s="4"/>
    </row>
    <row r="777" ht="15.75" customHeight="1">
      <c r="A777" s="13">
        <f>A776+'Energy Balance'!$N$7</f>
        <v>775</v>
      </c>
      <c r="B777" s="18">
        <f t="shared" si="1"/>
        <v>8.191222354</v>
      </c>
      <c r="C777" s="13">
        <f t="shared" si="2"/>
        <v>1</v>
      </c>
      <c r="D777" s="13">
        <f t="shared" si="3"/>
        <v>0</v>
      </c>
      <c r="O777" s="4"/>
      <c r="P777" s="4"/>
      <c r="Q777" s="4"/>
      <c r="R777" s="4"/>
    </row>
    <row r="778" ht="15.75" customHeight="1">
      <c r="A778" s="13">
        <f>A777+'Energy Balance'!$N$7</f>
        <v>776</v>
      </c>
      <c r="B778" s="18">
        <f t="shared" si="1"/>
        <v>8.201791673</v>
      </c>
      <c r="C778" s="13">
        <f t="shared" si="2"/>
        <v>1</v>
      </c>
      <c r="D778" s="13">
        <f t="shared" si="3"/>
        <v>0</v>
      </c>
      <c r="O778" s="4"/>
      <c r="P778" s="4"/>
      <c r="Q778" s="4"/>
      <c r="R778" s="4"/>
    </row>
    <row r="779" ht="15.75" customHeight="1">
      <c r="A779" s="13">
        <f>A778+'Energy Balance'!$N$7</f>
        <v>777</v>
      </c>
      <c r="B779" s="18">
        <f t="shared" si="1"/>
        <v>8.212360992</v>
      </c>
      <c r="C779" s="13">
        <f t="shared" si="2"/>
        <v>1</v>
      </c>
      <c r="D779" s="13">
        <f t="shared" si="3"/>
        <v>0</v>
      </c>
      <c r="O779" s="4"/>
      <c r="P779" s="4"/>
      <c r="Q779" s="4"/>
      <c r="R779" s="4"/>
    </row>
    <row r="780" ht="15.75" customHeight="1">
      <c r="A780" s="13">
        <f>A779+'Energy Balance'!$N$7</f>
        <v>778</v>
      </c>
      <c r="B780" s="18">
        <f t="shared" si="1"/>
        <v>8.222930311</v>
      </c>
      <c r="C780" s="13">
        <f t="shared" si="2"/>
        <v>1</v>
      </c>
      <c r="D780" s="13">
        <f t="shared" si="3"/>
        <v>0</v>
      </c>
      <c r="O780" s="4"/>
      <c r="P780" s="4"/>
      <c r="Q780" s="4"/>
      <c r="R780" s="4"/>
    </row>
    <row r="781" ht="15.75" customHeight="1">
      <c r="A781" s="13">
        <f>A780+'Energy Balance'!$N$7</f>
        <v>779</v>
      </c>
      <c r="B781" s="18">
        <f t="shared" si="1"/>
        <v>8.23349963</v>
      </c>
      <c r="C781" s="13">
        <f t="shared" si="2"/>
        <v>1</v>
      </c>
      <c r="D781" s="13">
        <f t="shared" si="3"/>
        <v>0</v>
      </c>
      <c r="O781" s="4"/>
      <c r="P781" s="4"/>
      <c r="Q781" s="4"/>
      <c r="R781" s="4"/>
    </row>
    <row r="782" ht="15.75" customHeight="1">
      <c r="A782" s="13">
        <f>A781+'Energy Balance'!$N$7</f>
        <v>780</v>
      </c>
      <c r="B782" s="18">
        <f t="shared" si="1"/>
        <v>8.244068949</v>
      </c>
      <c r="C782" s="13">
        <f t="shared" si="2"/>
        <v>1</v>
      </c>
      <c r="D782" s="13">
        <f t="shared" si="3"/>
        <v>0</v>
      </c>
      <c r="O782" s="4"/>
      <c r="P782" s="4"/>
      <c r="Q782" s="4"/>
      <c r="R782" s="4"/>
    </row>
    <row r="783" ht="15.75" customHeight="1">
      <c r="A783" s="13">
        <f>A782+'Energy Balance'!$N$7</f>
        <v>781</v>
      </c>
      <c r="B783" s="18">
        <f t="shared" si="1"/>
        <v>8.254638269</v>
      </c>
      <c r="C783" s="13">
        <f t="shared" si="2"/>
        <v>1</v>
      </c>
      <c r="D783" s="13">
        <f t="shared" si="3"/>
        <v>0</v>
      </c>
      <c r="O783" s="4"/>
      <c r="P783" s="4"/>
      <c r="Q783" s="4"/>
      <c r="R783" s="4"/>
    </row>
    <row r="784" ht="15.75" customHeight="1">
      <c r="A784" s="13">
        <f>A783+'Energy Balance'!$N$7</f>
        <v>782</v>
      </c>
      <c r="B784" s="18">
        <f t="shared" si="1"/>
        <v>8.265207588</v>
      </c>
      <c r="C784" s="13">
        <f t="shared" si="2"/>
        <v>1</v>
      </c>
      <c r="D784" s="13">
        <f t="shared" si="3"/>
        <v>0</v>
      </c>
      <c r="O784" s="4"/>
      <c r="P784" s="4"/>
      <c r="Q784" s="4"/>
      <c r="R784" s="4"/>
    </row>
    <row r="785" ht="15.75" customHeight="1">
      <c r="A785" s="13">
        <f>A784+'Energy Balance'!$N$7</f>
        <v>783</v>
      </c>
      <c r="B785" s="18">
        <f t="shared" si="1"/>
        <v>8.275776907</v>
      </c>
      <c r="C785" s="13">
        <f t="shared" si="2"/>
        <v>1</v>
      </c>
      <c r="D785" s="13">
        <f t="shared" si="3"/>
        <v>0</v>
      </c>
      <c r="O785" s="4"/>
      <c r="P785" s="4"/>
      <c r="Q785" s="4"/>
      <c r="R785" s="4"/>
    </row>
    <row r="786" ht="15.75" customHeight="1">
      <c r="A786" s="13">
        <f>A785+'Energy Balance'!$N$7</f>
        <v>784</v>
      </c>
      <c r="B786" s="18">
        <f t="shared" si="1"/>
        <v>8.286346226</v>
      </c>
      <c r="C786" s="13">
        <f t="shared" si="2"/>
        <v>1</v>
      </c>
      <c r="D786" s="13">
        <f t="shared" si="3"/>
        <v>0</v>
      </c>
      <c r="O786" s="4"/>
      <c r="P786" s="4"/>
      <c r="Q786" s="4"/>
      <c r="R786" s="4"/>
    </row>
    <row r="787" ht="15.75" customHeight="1">
      <c r="A787" s="13">
        <f>A786+'Energy Balance'!$N$7</f>
        <v>785</v>
      </c>
      <c r="B787" s="18">
        <f t="shared" si="1"/>
        <v>8.296915545</v>
      </c>
      <c r="C787" s="13">
        <f t="shared" si="2"/>
        <v>1</v>
      </c>
      <c r="D787" s="13">
        <f t="shared" si="3"/>
        <v>0</v>
      </c>
      <c r="O787" s="4"/>
      <c r="P787" s="4"/>
      <c r="Q787" s="4"/>
      <c r="R787" s="4"/>
    </row>
    <row r="788" ht="15.75" customHeight="1">
      <c r="A788" s="13">
        <f>A787+'Energy Balance'!$N$7</f>
        <v>786</v>
      </c>
      <c r="B788" s="18">
        <f t="shared" si="1"/>
        <v>8.307484864</v>
      </c>
      <c r="C788" s="13">
        <f t="shared" si="2"/>
        <v>1</v>
      </c>
      <c r="D788" s="13">
        <f t="shared" si="3"/>
        <v>0</v>
      </c>
      <c r="O788" s="4"/>
      <c r="P788" s="4"/>
      <c r="Q788" s="4"/>
      <c r="R788" s="4"/>
    </row>
    <row r="789" ht="15.75" customHeight="1">
      <c r="A789" s="13">
        <f>A788+'Energy Balance'!$N$7</f>
        <v>787</v>
      </c>
      <c r="B789" s="18">
        <f t="shared" si="1"/>
        <v>8.318054184</v>
      </c>
      <c r="C789" s="13">
        <f t="shared" si="2"/>
        <v>1</v>
      </c>
      <c r="D789" s="13">
        <f t="shared" si="3"/>
        <v>0</v>
      </c>
      <c r="O789" s="4"/>
      <c r="P789" s="4"/>
      <c r="Q789" s="4"/>
      <c r="R789" s="4"/>
    </row>
    <row r="790" ht="15.75" customHeight="1">
      <c r="A790" s="13">
        <f>A789+'Energy Balance'!$N$7</f>
        <v>788</v>
      </c>
      <c r="B790" s="18">
        <f t="shared" si="1"/>
        <v>8.328623503</v>
      </c>
      <c r="C790" s="13">
        <f t="shared" si="2"/>
        <v>1</v>
      </c>
      <c r="D790" s="13">
        <f t="shared" si="3"/>
        <v>0</v>
      </c>
      <c r="O790" s="4"/>
      <c r="P790" s="4"/>
      <c r="Q790" s="4"/>
      <c r="R790" s="4"/>
    </row>
    <row r="791" ht="15.75" customHeight="1">
      <c r="A791" s="13">
        <f>A790+'Energy Balance'!$N$7</f>
        <v>789</v>
      </c>
      <c r="B791" s="18">
        <f t="shared" si="1"/>
        <v>8.339192822</v>
      </c>
      <c r="C791" s="13">
        <f t="shared" si="2"/>
        <v>1</v>
      </c>
      <c r="D791" s="13">
        <f t="shared" si="3"/>
        <v>0</v>
      </c>
      <c r="O791" s="4"/>
      <c r="P791" s="4"/>
      <c r="Q791" s="4"/>
      <c r="R791" s="4"/>
    </row>
    <row r="792" ht="15.75" customHeight="1">
      <c r="A792" s="13">
        <f>A791+'Energy Balance'!$N$7</f>
        <v>790</v>
      </c>
      <c r="B792" s="18">
        <f t="shared" si="1"/>
        <v>8.349762141</v>
      </c>
      <c r="C792" s="13">
        <f t="shared" si="2"/>
        <v>1</v>
      </c>
      <c r="D792" s="13">
        <f t="shared" si="3"/>
        <v>0</v>
      </c>
      <c r="O792" s="4"/>
      <c r="P792" s="4"/>
      <c r="Q792" s="4"/>
      <c r="R792" s="4"/>
    </row>
    <row r="793" ht="15.75" customHeight="1">
      <c r="A793" s="13">
        <f>A792+'Energy Balance'!$N$7</f>
        <v>791</v>
      </c>
      <c r="B793" s="18">
        <f t="shared" si="1"/>
        <v>8.36033146</v>
      </c>
      <c r="C793" s="13">
        <f t="shared" si="2"/>
        <v>1</v>
      </c>
      <c r="D793" s="13">
        <f t="shared" si="3"/>
        <v>0</v>
      </c>
      <c r="O793" s="4"/>
      <c r="P793" s="4"/>
      <c r="Q793" s="4"/>
      <c r="R793" s="4"/>
    </row>
    <row r="794" ht="15.75" customHeight="1">
      <c r="A794" s="13">
        <f>A793+'Energy Balance'!$N$7</f>
        <v>792</v>
      </c>
      <c r="B794" s="18">
        <f t="shared" si="1"/>
        <v>8.370900779</v>
      </c>
      <c r="C794" s="13">
        <f t="shared" si="2"/>
        <v>1</v>
      </c>
      <c r="D794" s="13">
        <f t="shared" si="3"/>
        <v>0</v>
      </c>
      <c r="O794" s="4"/>
      <c r="P794" s="4"/>
      <c r="Q794" s="4"/>
      <c r="R794" s="4"/>
    </row>
    <row r="795" ht="15.75" customHeight="1">
      <c r="A795" s="13">
        <f>A794+'Energy Balance'!$N$7</f>
        <v>793</v>
      </c>
      <c r="B795" s="18">
        <f t="shared" si="1"/>
        <v>8.381470099</v>
      </c>
      <c r="C795" s="13">
        <f t="shared" si="2"/>
        <v>1</v>
      </c>
      <c r="D795" s="13">
        <f t="shared" si="3"/>
        <v>0</v>
      </c>
      <c r="O795" s="4"/>
      <c r="P795" s="4"/>
      <c r="Q795" s="4"/>
      <c r="R795" s="4"/>
    </row>
    <row r="796" ht="15.75" customHeight="1">
      <c r="A796" s="13">
        <f>A795+'Energy Balance'!$N$7</f>
        <v>794</v>
      </c>
      <c r="B796" s="18">
        <f t="shared" si="1"/>
        <v>8.392039418</v>
      </c>
      <c r="C796" s="13">
        <f t="shared" si="2"/>
        <v>1</v>
      </c>
      <c r="D796" s="13">
        <f t="shared" si="3"/>
        <v>0</v>
      </c>
      <c r="O796" s="4"/>
      <c r="P796" s="4"/>
      <c r="Q796" s="4"/>
      <c r="R796" s="4"/>
    </row>
    <row r="797" ht="15.75" customHeight="1">
      <c r="A797" s="13">
        <f>A796+'Energy Balance'!$N$7</f>
        <v>795</v>
      </c>
      <c r="B797" s="18">
        <f t="shared" si="1"/>
        <v>8.402608737</v>
      </c>
      <c r="C797" s="13">
        <f t="shared" si="2"/>
        <v>1</v>
      </c>
      <c r="D797" s="13">
        <f t="shared" si="3"/>
        <v>0</v>
      </c>
      <c r="O797" s="4"/>
      <c r="P797" s="4"/>
      <c r="Q797" s="4"/>
      <c r="R797" s="4"/>
    </row>
    <row r="798" ht="15.75" customHeight="1">
      <c r="A798" s="13">
        <f>A797+'Energy Balance'!$N$7</f>
        <v>796</v>
      </c>
      <c r="B798" s="18">
        <f t="shared" si="1"/>
        <v>8.413178056</v>
      </c>
      <c r="C798" s="13">
        <f t="shared" si="2"/>
        <v>1</v>
      </c>
      <c r="D798" s="13">
        <f t="shared" si="3"/>
        <v>0</v>
      </c>
      <c r="O798" s="4"/>
      <c r="P798" s="4"/>
      <c r="Q798" s="4"/>
      <c r="R798" s="4"/>
    </row>
    <row r="799" ht="15.75" customHeight="1">
      <c r="A799" s="13">
        <f>A798+'Energy Balance'!$N$7</f>
        <v>797</v>
      </c>
      <c r="B799" s="18">
        <f t="shared" si="1"/>
        <v>8.423747375</v>
      </c>
      <c r="C799" s="13">
        <f t="shared" si="2"/>
        <v>1</v>
      </c>
      <c r="D799" s="13">
        <f t="shared" si="3"/>
        <v>0</v>
      </c>
      <c r="O799" s="4"/>
      <c r="P799" s="4"/>
      <c r="Q799" s="4"/>
      <c r="R799" s="4"/>
    </row>
    <row r="800" ht="15.75" customHeight="1">
      <c r="A800" s="13">
        <f>A799+'Energy Balance'!$N$7</f>
        <v>798</v>
      </c>
      <c r="B800" s="18">
        <f t="shared" si="1"/>
        <v>8.434316694</v>
      </c>
      <c r="C800" s="13">
        <f t="shared" si="2"/>
        <v>1</v>
      </c>
      <c r="D800" s="13">
        <f t="shared" si="3"/>
        <v>0</v>
      </c>
      <c r="O800" s="4"/>
      <c r="P800" s="4"/>
      <c r="Q800" s="4"/>
      <c r="R800" s="4"/>
    </row>
    <row r="801" ht="15.75" customHeight="1">
      <c r="A801" s="13">
        <f>A800+'Energy Balance'!$N$7</f>
        <v>799</v>
      </c>
      <c r="B801" s="18">
        <f t="shared" si="1"/>
        <v>8.444886014</v>
      </c>
      <c r="C801" s="13">
        <f t="shared" si="2"/>
        <v>1</v>
      </c>
      <c r="D801" s="13">
        <f t="shared" si="3"/>
        <v>0</v>
      </c>
      <c r="O801" s="4"/>
      <c r="P801" s="4"/>
      <c r="Q801" s="4"/>
      <c r="R801" s="4"/>
    </row>
    <row r="802" ht="15.75" customHeight="1">
      <c r="A802" s="13">
        <f>A801+'Energy Balance'!$N$7</f>
        <v>800</v>
      </c>
      <c r="B802" s="18">
        <f t="shared" si="1"/>
        <v>8.455455333</v>
      </c>
      <c r="C802" s="13">
        <f t="shared" si="2"/>
        <v>1</v>
      </c>
      <c r="D802" s="13">
        <f t="shared" si="3"/>
        <v>0</v>
      </c>
      <c r="O802" s="4"/>
      <c r="P802" s="4"/>
      <c r="Q802" s="4"/>
      <c r="R802" s="4"/>
    </row>
    <row r="803" ht="15.75" customHeight="1">
      <c r="A803" s="13">
        <f>A802+'Energy Balance'!$N$7</f>
        <v>801</v>
      </c>
      <c r="B803" s="18">
        <f t="shared" si="1"/>
        <v>8.466024652</v>
      </c>
      <c r="C803" s="13">
        <f t="shared" si="2"/>
        <v>1</v>
      </c>
      <c r="D803" s="13">
        <f t="shared" si="3"/>
        <v>0</v>
      </c>
      <c r="O803" s="4"/>
      <c r="P803" s="4"/>
      <c r="Q803" s="4"/>
      <c r="R803" s="4"/>
    </row>
    <row r="804" ht="15.75" customHeight="1">
      <c r="A804" s="13">
        <f>A803+'Energy Balance'!$N$7</f>
        <v>802</v>
      </c>
      <c r="B804" s="18">
        <f t="shared" si="1"/>
        <v>8.476593971</v>
      </c>
      <c r="C804" s="13">
        <f t="shared" si="2"/>
        <v>1</v>
      </c>
      <c r="D804" s="13">
        <f t="shared" si="3"/>
        <v>0</v>
      </c>
      <c r="O804" s="4"/>
      <c r="P804" s="4"/>
      <c r="Q804" s="4"/>
      <c r="R804" s="4"/>
    </row>
    <row r="805" ht="15.75" customHeight="1">
      <c r="A805" s="13">
        <f>A804+'Energy Balance'!$N$7</f>
        <v>803</v>
      </c>
      <c r="B805" s="18">
        <f t="shared" si="1"/>
        <v>8.48716329</v>
      </c>
      <c r="C805" s="13">
        <f t="shared" si="2"/>
        <v>1</v>
      </c>
      <c r="D805" s="13">
        <f t="shared" si="3"/>
        <v>0</v>
      </c>
      <c r="O805" s="4"/>
      <c r="P805" s="4"/>
      <c r="Q805" s="4"/>
      <c r="R805" s="4"/>
    </row>
    <row r="806" ht="15.75" customHeight="1">
      <c r="A806" s="13">
        <f>A805+'Energy Balance'!$N$7</f>
        <v>804</v>
      </c>
      <c r="B806" s="18">
        <f t="shared" si="1"/>
        <v>8.497732609</v>
      </c>
      <c r="C806" s="13">
        <f t="shared" si="2"/>
        <v>1</v>
      </c>
      <c r="D806" s="13">
        <f t="shared" si="3"/>
        <v>0</v>
      </c>
      <c r="O806" s="4"/>
      <c r="P806" s="4"/>
      <c r="Q806" s="4"/>
      <c r="R806" s="4"/>
    </row>
    <row r="807" ht="15.75" customHeight="1">
      <c r="A807" s="13">
        <f>A806+'Energy Balance'!$N$7</f>
        <v>805</v>
      </c>
      <c r="B807" s="18">
        <f t="shared" si="1"/>
        <v>8.508301929</v>
      </c>
      <c r="C807" s="13">
        <f t="shared" si="2"/>
        <v>1</v>
      </c>
      <c r="D807" s="13">
        <f t="shared" si="3"/>
        <v>0</v>
      </c>
      <c r="O807" s="4"/>
      <c r="P807" s="4"/>
      <c r="Q807" s="4"/>
      <c r="R807" s="4"/>
    </row>
    <row r="808" ht="15.75" customHeight="1">
      <c r="A808" s="13">
        <f>A807+'Energy Balance'!$N$7</f>
        <v>806</v>
      </c>
      <c r="B808" s="18">
        <f t="shared" si="1"/>
        <v>8.518871248</v>
      </c>
      <c r="C808" s="13">
        <f t="shared" si="2"/>
        <v>1</v>
      </c>
      <c r="D808" s="13">
        <f t="shared" si="3"/>
        <v>0</v>
      </c>
      <c r="O808" s="4"/>
      <c r="P808" s="4"/>
      <c r="Q808" s="4"/>
      <c r="R808" s="4"/>
    </row>
    <row r="809" ht="15.75" customHeight="1">
      <c r="A809" s="13">
        <f>A808+'Energy Balance'!$N$7</f>
        <v>807</v>
      </c>
      <c r="B809" s="18">
        <f t="shared" si="1"/>
        <v>8.529440567</v>
      </c>
      <c r="C809" s="13">
        <f t="shared" si="2"/>
        <v>1</v>
      </c>
      <c r="D809" s="13">
        <f t="shared" si="3"/>
        <v>0</v>
      </c>
      <c r="O809" s="4"/>
      <c r="P809" s="4"/>
      <c r="Q809" s="4"/>
      <c r="R809" s="4"/>
    </row>
    <row r="810" ht="15.75" customHeight="1">
      <c r="A810" s="13">
        <f>A809+'Energy Balance'!$N$7</f>
        <v>808</v>
      </c>
      <c r="B810" s="18">
        <f t="shared" si="1"/>
        <v>8.540009886</v>
      </c>
      <c r="C810" s="13">
        <f t="shared" si="2"/>
        <v>1</v>
      </c>
      <c r="D810" s="13">
        <f t="shared" si="3"/>
        <v>0</v>
      </c>
      <c r="O810" s="4"/>
      <c r="P810" s="4"/>
      <c r="Q810" s="4"/>
      <c r="R810" s="4"/>
    </row>
    <row r="811" ht="15.75" customHeight="1">
      <c r="A811" s="13">
        <f>A810+'Energy Balance'!$N$7</f>
        <v>809</v>
      </c>
      <c r="B811" s="18">
        <f t="shared" si="1"/>
        <v>8.550579205</v>
      </c>
      <c r="C811" s="13">
        <f t="shared" si="2"/>
        <v>1</v>
      </c>
      <c r="D811" s="13">
        <f t="shared" si="3"/>
        <v>0</v>
      </c>
      <c r="O811" s="4"/>
      <c r="P811" s="4"/>
      <c r="Q811" s="4"/>
      <c r="R811" s="4"/>
    </row>
    <row r="812" ht="15.75" customHeight="1">
      <c r="A812" s="13">
        <f>A811+'Energy Balance'!$N$7</f>
        <v>810</v>
      </c>
      <c r="B812" s="18">
        <f t="shared" si="1"/>
        <v>8.561148524</v>
      </c>
      <c r="C812" s="13">
        <f t="shared" si="2"/>
        <v>1</v>
      </c>
      <c r="D812" s="13">
        <f t="shared" si="3"/>
        <v>0</v>
      </c>
      <c r="O812" s="4"/>
      <c r="P812" s="4"/>
      <c r="Q812" s="4"/>
      <c r="R812" s="4"/>
    </row>
    <row r="813" ht="15.75" customHeight="1">
      <c r="A813" s="13">
        <f>A812+'Energy Balance'!$N$7</f>
        <v>811</v>
      </c>
      <c r="B813" s="18">
        <f t="shared" si="1"/>
        <v>8.571717844</v>
      </c>
      <c r="C813" s="13">
        <f t="shared" si="2"/>
        <v>1</v>
      </c>
      <c r="D813" s="13">
        <f t="shared" si="3"/>
        <v>0</v>
      </c>
      <c r="O813" s="4"/>
      <c r="P813" s="4"/>
      <c r="Q813" s="4"/>
      <c r="R813" s="4"/>
    </row>
    <row r="814" ht="15.75" customHeight="1">
      <c r="A814" s="13">
        <f>A813+'Energy Balance'!$N$7</f>
        <v>812</v>
      </c>
      <c r="B814" s="18">
        <f t="shared" si="1"/>
        <v>8.582287163</v>
      </c>
      <c r="C814" s="13">
        <f t="shared" si="2"/>
        <v>1</v>
      </c>
      <c r="D814" s="13">
        <f t="shared" si="3"/>
        <v>0</v>
      </c>
      <c r="O814" s="4"/>
      <c r="P814" s="4"/>
      <c r="Q814" s="4"/>
      <c r="R814" s="4"/>
    </row>
    <row r="815" ht="15.75" customHeight="1">
      <c r="A815" s="13">
        <f>A814+'Energy Balance'!$N$7</f>
        <v>813</v>
      </c>
      <c r="B815" s="18">
        <f t="shared" si="1"/>
        <v>8.592856482</v>
      </c>
      <c r="C815" s="13">
        <f t="shared" si="2"/>
        <v>1</v>
      </c>
      <c r="D815" s="13">
        <f t="shared" si="3"/>
        <v>0</v>
      </c>
      <c r="O815" s="4"/>
      <c r="P815" s="4"/>
      <c r="Q815" s="4"/>
      <c r="R815" s="4"/>
    </row>
    <row r="816" ht="15.75" customHeight="1">
      <c r="A816" s="13">
        <f>A815+'Energy Balance'!$N$7</f>
        <v>814</v>
      </c>
      <c r="B816" s="18">
        <f t="shared" si="1"/>
        <v>8.603425801</v>
      </c>
      <c r="C816" s="13">
        <f t="shared" si="2"/>
        <v>1</v>
      </c>
      <c r="D816" s="13">
        <f t="shared" si="3"/>
        <v>0</v>
      </c>
      <c r="O816" s="4"/>
      <c r="P816" s="4"/>
      <c r="Q816" s="4"/>
      <c r="R816" s="4"/>
    </row>
    <row r="817" ht="15.75" customHeight="1">
      <c r="A817" s="13">
        <f>A816+'Energy Balance'!$N$7</f>
        <v>815</v>
      </c>
      <c r="B817" s="18">
        <f t="shared" si="1"/>
        <v>8.61399512</v>
      </c>
      <c r="C817" s="13">
        <f t="shared" si="2"/>
        <v>1</v>
      </c>
      <c r="D817" s="13">
        <f t="shared" si="3"/>
        <v>0</v>
      </c>
      <c r="O817" s="4"/>
      <c r="P817" s="4"/>
      <c r="Q817" s="4"/>
      <c r="R817" s="4"/>
    </row>
    <row r="818" ht="15.75" customHeight="1">
      <c r="A818" s="13">
        <f>A817+'Energy Balance'!$N$7</f>
        <v>816</v>
      </c>
      <c r="B818" s="18">
        <f t="shared" si="1"/>
        <v>8.624564439</v>
      </c>
      <c r="C818" s="13">
        <f t="shared" si="2"/>
        <v>0</v>
      </c>
      <c r="D818" s="13">
        <f t="shared" si="3"/>
        <v>1</v>
      </c>
      <c r="O818" s="4"/>
      <c r="P818" s="4"/>
      <c r="Q818" s="4"/>
      <c r="R818" s="4"/>
    </row>
    <row r="819" ht="15.75" customHeight="1">
      <c r="A819" s="13">
        <f>A818+'Energy Balance'!$N$7</f>
        <v>817</v>
      </c>
      <c r="B819" s="18">
        <f t="shared" si="1"/>
        <v>8.635133759</v>
      </c>
      <c r="C819" s="13">
        <f t="shared" si="2"/>
        <v>0</v>
      </c>
      <c r="D819" s="13">
        <f t="shared" si="3"/>
        <v>1</v>
      </c>
      <c r="O819" s="4"/>
      <c r="P819" s="4"/>
      <c r="Q819" s="4"/>
      <c r="R819" s="4"/>
    </row>
    <row r="820" ht="15.75" customHeight="1">
      <c r="A820" s="13">
        <f>A819+'Energy Balance'!$N$7</f>
        <v>818</v>
      </c>
      <c r="B820" s="18">
        <f t="shared" si="1"/>
        <v>8.645703078</v>
      </c>
      <c r="C820" s="13">
        <f t="shared" si="2"/>
        <v>0</v>
      </c>
      <c r="D820" s="13">
        <f t="shared" si="3"/>
        <v>1</v>
      </c>
      <c r="O820" s="4"/>
      <c r="P820" s="4"/>
      <c r="Q820" s="4"/>
      <c r="R820" s="4"/>
    </row>
    <row r="821" ht="15.75" customHeight="1">
      <c r="A821" s="13">
        <f>A820+'Energy Balance'!$N$7</f>
        <v>819</v>
      </c>
      <c r="B821" s="18">
        <f t="shared" si="1"/>
        <v>8.656272397</v>
      </c>
      <c r="C821" s="13">
        <f t="shared" si="2"/>
        <v>0</v>
      </c>
      <c r="D821" s="13">
        <f t="shared" si="3"/>
        <v>1</v>
      </c>
      <c r="O821" s="4"/>
      <c r="P821" s="4"/>
      <c r="Q821" s="4"/>
      <c r="R821" s="4"/>
    </row>
    <row r="822" ht="15.75" customHeight="1">
      <c r="A822" s="13">
        <f>A821+'Energy Balance'!$N$7</f>
        <v>820</v>
      </c>
      <c r="B822" s="18">
        <f t="shared" si="1"/>
        <v>8.666841716</v>
      </c>
      <c r="C822" s="13">
        <f t="shared" si="2"/>
        <v>0</v>
      </c>
      <c r="D822" s="13">
        <f t="shared" si="3"/>
        <v>1</v>
      </c>
      <c r="O822" s="4"/>
      <c r="P822" s="4"/>
      <c r="Q822" s="4"/>
      <c r="R822" s="4"/>
    </row>
    <row r="823" ht="15.75" customHeight="1">
      <c r="A823" s="13">
        <f>A822+'Energy Balance'!$N$7</f>
        <v>821</v>
      </c>
      <c r="B823" s="18">
        <f t="shared" si="1"/>
        <v>8.677411035</v>
      </c>
      <c r="C823" s="13">
        <f t="shared" si="2"/>
        <v>0</v>
      </c>
      <c r="D823" s="13">
        <f t="shared" si="3"/>
        <v>1</v>
      </c>
      <c r="O823" s="4"/>
      <c r="P823" s="4"/>
      <c r="Q823" s="4"/>
      <c r="R823" s="4"/>
    </row>
    <row r="824" ht="15.75" customHeight="1">
      <c r="A824" s="13">
        <f>A823+'Energy Balance'!$N$7</f>
        <v>822</v>
      </c>
      <c r="B824" s="18">
        <f t="shared" si="1"/>
        <v>8.687980354</v>
      </c>
      <c r="C824" s="13">
        <f t="shared" si="2"/>
        <v>0</v>
      </c>
      <c r="D824" s="13">
        <f t="shared" si="3"/>
        <v>1</v>
      </c>
      <c r="O824" s="4"/>
      <c r="P824" s="4"/>
      <c r="Q824" s="4"/>
      <c r="R824" s="4"/>
    </row>
    <row r="825" ht="15.75" customHeight="1">
      <c r="A825" s="13">
        <f>A824+'Energy Balance'!$N$7</f>
        <v>823</v>
      </c>
      <c r="B825" s="18">
        <f t="shared" si="1"/>
        <v>8.698549674</v>
      </c>
      <c r="C825" s="13">
        <f t="shared" si="2"/>
        <v>0</v>
      </c>
      <c r="D825" s="13">
        <f t="shared" si="3"/>
        <v>1</v>
      </c>
      <c r="O825" s="4"/>
      <c r="P825" s="4"/>
      <c r="Q825" s="4"/>
      <c r="R825" s="4"/>
    </row>
    <row r="826" ht="15.75" customHeight="1">
      <c r="A826" s="13">
        <f>A825+'Energy Balance'!$N$7</f>
        <v>824</v>
      </c>
      <c r="B826" s="18">
        <f t="shared" si="1"/>
        <v>8.709118993</v>
      </c>
      <c r="C826" s="13">
        <f t="shared" si="2"/>
        <v>0</v>
      </c>
      <c r="D826" s="13">
        <f t="shared" si="3"/>
        <v>1</v>
      </c>
      <c r="O826" s="4"/>
      <c r="P826" s="4"/>
      <c r="Q826" s="4"/>
      <c r="R826" s="4"/>
    </row>
    <row r="827" ht="15.75" customHeight="1">
      <c r="A827" s="13">
        <f>A826+'Energy Balance'!$N$7</f>
        <v>825</v>
      </c>
      <c r="B827" s="18">
        <f t="shared" si="1"/>
        <v>8.719688312</v>
      </c>
      <c r="C827" s="13">
        <f t="shared" si="2"/>
        <v>0</v>
      </c>
      <c r="D827" s="13">
        <f t="shared" si="3"/>
        <v>1</v>
      </c>
      <c r="O827" s="4"/>
      <c r="P827" s="4"/>
      <c r="Q827" s="4"/>
      <c r="R827" s="4"/>
    </row>
    <row r="828" ht="15.75" customHeight="1">
      <c r="A828" s="13">
        <f>A827+'Energy Balance'!$N$7</f>
        <v>826</v>
      </c>
      <c r="B828" s="18">
        <f t="shared" si="1"/>
        <v>8.730257631</v>
      </c>
      <c r="C828" s="13">
        <f t="shared" si="2"/>
        <v>0</v>
      </c>
      <c r="D828" s="13">
        <f t="shared" si="3"/>
        <v>1</v>
      </c>
      <c r="O828" s="4"/>
      <c r="P828" s="4"/>
      <c r="Q828" s="4"/>
      <c r="R828" s="4"/>
    </row>
    <row r="829" ht="15.75" customHeight="1">
      <c r="A829" s="13">
        <f>A828+'Energy Balance'!$N$7</f>
        <v>827</v>
      </c>
      <c r="B829" s="18">
        <f t="shared" si="1"/>
        <v>8.74082695</v>
      </c>
      <c r="C829" s="13">
        <f t="shared" si="2"/>
        <v>0</v>
      </c>
      <c r="D829" s="13">
        <f t="shared" si="3"/>
        <v>1</v>
      </c>
      <c r="O829" s="4"/>
      <c r="P829" s="4"/>
      <c r="Q829" s="4"/>
      <c r="R829" s="4"/>
    </row>
    <row r="830" ht="15.75" customHeight="1">
      <c r="A830" s="13">
        <f>A829+'Energy Balance'!$N$7</f>
        <v>828</v>
      </c>
      <c r="B830" s="18">
        <f t="shared" si="1"/>
        <v>8.751396269</v>
      </c>
      <c r="C830" s="13">
        <f t="shared" si="2"/>
        <v>0</v>
      </c>
      <c r="D830" s="13">
        <f t="shared" si="3"/>
        <v>1</v>
      </c>
      <c r="O830" s="4"/>
      <c r="P830" s="4"/>
      <c r="Q830" s="4"/>
      <c r="R830" s="4"/>
    </row>
    <row r="831" ht="15.75" customHeight="1">
      <c r="A831" s="13">
        <f>A830+'Energy Balance'!$N$7</f>
        <v>829</v>
      </c>
      <c r="B831" s="18">
        <f t="shared" si="1"/>
        <v>8.761965589</v>
      </c>
      <c r="C831" s="13">
        <f t="shared" si="2"/>
        <v>0</v>
      </c>
      <c r="D831" s="13">
        <f t="shared" si="3"/>
        <v>1</v>
      </c>
      <c r="O831" s="4"/>
      <c r="P831" s="4"/>
      <c r="Q831" s="4"/>
      <c r="R831" s="4"/>
    </row>
    <row r="832" ht="15.75" customHeight="1">
      <c r="A832" s="13">
        <f>A831+'Energy Balance'!$N$7</f>
        <v>830</v>
      </c>
      <c r="B832" s="18">
        <f t="shared" si="1"/>
        <v>8.772534908</v>
      </c>
      <c r="C832" s="13">
        <f t="shared" si="2"/>
        <v>0</v>
      </c>
      <c r="D832" s="13">
        <f t="shared" si="3"/>
        <v>1</v>
      </c>
      <c r="O832" s="4"/>
      <c r="P832" s="4"/>
      <c r="Q832" s="4"/>
      <c r="R832" s="4"/>
    </row>
    <row r="833" ht="15.75" customHeight="1">
      <c r="A833" s="13">
        <f>A832+'Energy Balance'!$N$7</f>
        <v>831</v>
      </c>
      <c r="B833" s="18">
        <f t="shared" si="1"/>
        <v>8.783104227</v>
      </c>
      <c r="C833" s="13">
        <f t="shared" si="2"/>
        <v>0</v>
      </c>
      <c r="D833" s="13">
        <f t="shared" si="3"/>
        <v>1</v>
      </c>
      <c r="O833" s="4"/>
      <c r="P833" s="4"/>
      <c r="Q833" s="4"/>
      <c r="R833" s="4"/>
    </row>
    <row r="834" ht="15.75" customHeight="1">
      <c r="A834" s="13">
        <f>A833+'Energy Balance'!$N$7</f>
        <v>832</v>
      </c>
      <c r="B834" s="18">
        <f t="shared" si="1"/>
        <v>8.793673546</v>
      </c>
      <c r="C834" s="13">
        <f t="shared" si="2"/>
        <v>0</v>
      </c>
      <c r="D834" s="13">
        <f t="shared" si="3"/>
        <v>1</v>
      </c>
      <c r="O834" s="4"/>
      <c r="P834" s="4"/>
      <c r="Q834" s="4"/>
      <c r="R834" s="4"/>
    </row>
    <row r="835" ht="15.75" customHeight="1">
      <c r="A835" s="13">
        <f>A834+'Energy Balance'!$N$7</f>
        <v>833</v>
      </c>
      <c r="B835" s="18">
        <f t="shared" si="1"/>
        <v>8.804242865</v>
      </c>
      <c r="C835" s="13">
        <f t="shared" si="2"/>
        <v>0</v>
      </c>
      <c r="D835" s="13">
        <f t="shared" si="3"/>
        <v>1</v>
      </c>
      <c r="O835" s="4"/>
      <c r="P835" s="4"/>
      <c r="Q835" s="4"/>
      <c r="R835" s="4"/>
    </row>
    <row r="836" ht="15.75" customHeight="1">
      <c r="A836" s="13">
        <f>A835+'Energy Balance'!$N$7</f>
        <v>834</v>
      </c>
      <c r="B836" s="18">
        <f t="shared" si="1"/>
        <v>8.814812184</v>
      </c>
      <c r="C836" s="13">
        <f t="shared" si="2"/>
        <v>0</v>
      </c>
      <c r="D836" s="13">
        <f t="shared" si="3"/>
        <v>1</v>
      </c>
      <c r="O836" s="4"/>
      <c r="P836" s="4"/>
      <c r="Q836" s="4"/>
      <c r="R836" s="4"/>
    </row>
    <row r="837" ht="15.75" customHeight="1">
      <c r="A837" s="13">
        <f>A836+'Energy Balance'!$N$7</f>
        <v>835</v>
      </c>
      <c r="B837" s="18">
        <f t="shared" si="1"/>
        <v>8.825381504</v>
      </c>
      <c r="C837" s="13">
        <f t="shared" si="2"/>
        <v>0</v>
      </c>
      <c r="D837" s="13">
        <f t="shared" si="3"/>
        <v>1</v>
      </c>
      <c r="O837" s="4"/>
      <c r="P837" s="4"/>
      <c r="Q837" s="4"/>
      <c r="R837" s="4"/>
    </row>
    <row r="838" ht="15.75" customHeight="1">
      <c r="A838" s="13">
        <f>A837+'Energy Balance'!$N$7</f>
        <v>836</v>
      </c>
      <c r="B838" s="18">
        <f t="shared" si="1"/>
        <v>8.835950823</v>
      </c>
      <c r="C838" s="13">
        <f t="shared" si="2"/>
        <v>0</v>
      </c>
      <c r="D838" s="13">
        <f t="shared" si="3"/>
        <v>1</v>
      </c>
      <c r="O838" s="4"/>
      <c r="P838" s="4"/>
      <c r="Q838" s="4"/>
      <c r="R838" s="4"/>
    </row>
    <row r="839" ht="15.75" customHeight="1">
      <c r="A839" s="13">
        <f>A838+'Energy Balance'!$N$7</f>
        <v>837</v>
      </c>
      <c r="B839" s="18">
        <f t="shared" si="1"/>
        <v>8.846520142</v>
      </c>
      <c r="C839" s="13">
        <f t="shared" si="2"/>
        <v>0</v>
      </c>
      <c r="D839" s="13">
        <f t="shared" si="3"/>
        <v>1</v>
      </c>
      <c r="O839" s="4"/>
      <c r="P839" s="4"/>
      <c r="Q839" s="4"/>
      <c r="R839" s="4"/>
    </row>
    <row r="840" ht="15.75" customHeight="1">
      <c r="A840" s="13">
        <f>A839+'Energy Balance'!$N$7</f>
        <v>838</v>
      </c>
      <c r="B840" s="18">
        <f t="shared" si="1"/>
        <v>8.857089461</v>
      </c>
      <c r="C840" s="13">
        <f t="shared" si="2"/>
        <v>0</v>
      </c>
      <c r="D840" s="13">
        <f t="shared" si="3"/>
        <v>1</v>
      </c>
      <c r="O840" s="4"/>
      <c r="P840" s="4"/>
      <c r="Q840" s="4"/>
      <c r="R840" s="4"/>
    </row>
    <row r="841" ht="15.75" customHeight="1">
      <c r="A841" s="13">
        <f>A840+'Energy Balance'!$N$7</f>
        <v>839</v>
      </c>
      <c r="B841" s="18">
        <f t="shared" si="1"/>
        <v>8.86765878</v>
      </c>
      <c r="C841" s="13">
        <f t="shared" si="2"/>
        <v>0</v>
      </c>
      <c r="D841" s="13">
        <f t="shared" si="3"/>
        <v>1</v>
      </c>
      <c r="O841" s="4"/>
      <c r="P841" s="4"/>
      <c r="Q841" s="4"/>
      <c r="R841" s="4"/>
    </row>
    <row r="842" ht="15.75" customHeight="1">
      <c r="A842" s="13">
        <f>A841+'Energy Balance'!$N$7</f>
        <v>840</v>
      </c>
      <c r="B842" s="18">
        <f t="shared" si="1"/>
        <v>8.878228099</v>
      </c>
      <c r="C842" s="13">
        <f t="shared" si="2"/>
        <v>0</v>
      </c>
      <c r="D842" s="13">
        <f t="shared" si="3"/>
        <v>1</v>
      </c>
      <c r="O842" s="4"/>
      <c r="P842" s="4"/>
      <c r="Q842" s="4"/>
      <c r="R842" s="4"/>
    </row>
    <row r="843" ht="15.75" customHeight="1">
      <c r="A843" s="13">
        <f>A842+'Energy Balance'!$N$7</f>
        <v>841</v>
      </c>
      <c r="B843" s="18">
        <f t="shared" si="1"/>
        <v>8.888797419</v>
      </c>
      <c r="C843" s="13">
        <f t="shared" si="2"/>
        <v>0</v>
      </c>
      <c r="D843" s="13">
        <f t="shared" si="3"/>
        <v>1</v>
      </c>
      <c r="O843" s="4"/>
      <c r="P843" s="4"/>
      <c r="Q843" s="4"/>
      <c r="R843" s="4"/>
    </row>
    <row r="844" ht="15.75" customHeight="1">
      <c r="A844" s="13">
        <f>A843+'Energy Balance'!$N$7</f>
        <v>842</v>
      </c>
      <c r="B844" s="18">
        <f t="shared" si="1"/>
        <v>8.899366738</v>
      </c>
      <c r="C844" s="13">
        <f t="shared" si="2"/>
        <v>0</v>
      </c>
      <c r="D844" s="13">
        <f t="shared" si="3"/>
        <v>1</v>
      </c>
      <c r="O844" s="4"/>
      <c r="P844" s="4"/>
      <c r="Q844" s="4"/>
      <c r="R844" s="4"/>
    </row>
    <row r="845" ht="15.75" customHeight="1">
      <c r="A845" s="13">
        <f>A844+'Energy Balance'!$N$7</f>
        <v>843</v>
      </c>
      <c r="B845" s="18">
        <f t="shared" si="1"/>
        <v>8.909936057</v>
      </c>
      <c r="C845" s="13">
        <f t="shared" si="2"/>
        <v>0</v>
      </c>
      <c r="D845" s="13">
        <f t="shared" si="3"/>
        <v>1</v>
      </c>
      <c r="O845" s="4"/>
      <c r="P845" s="4"/>
      <c r="Q845" s="4"/>
      <c r="R845" s="4"/>
    </row>
    <row r="846" ht="15.75" customHeight="1">
      <c r="A846" s="13">
        <f>A845+'Energy Balance'!$N$7</f>
        <v>844</v>
      </c>
      <c r="B846" s="18">
        <f t="shared" si="1"/>
        <v>8.920505376</v>
      </c>
      <c r="C846" s="13">
        <f t="shared" si="2"/>
        <v>0</v>
      </c>
      <c r="D846" s="13">
        <f t="shared" si="3"/>
        <v>1</v>
      </c>
      <c r="O846" s="4"/>
      <c r="P846" s="4"/>
      <c r="Q846" s="4"/>
      <c r="R846" s="4"/>
    </row>
    <row r="847" ht="15.75" customHeight="1">
      <c r="A847" s="13">
        <f>A846+'Energy Balance'!$N$7</f>
        <v>845</v>
      </c>
      <c r="B847" s="18">
        <f t="shared" si="1"/>
        <v>8.931074695</v>
      </c>
      <c r="C847" s="13">
        <f t="shared" si="2"/>
        <v>0</v>
      </c>
      <c r="D847" s="13">
        <f t="shared" si="3"/>
        <v>1</v>
      </c>
      <c r="O847" s="4"/>
      <c r="P847" s="4"/>
      <c r="Q847" s="4"/>
      <c r="R847" s="4"/>
    </row>
    <row r="848" ht="15.75" customHeight="1">
      <c r="A848" s="13">
        <f>A847+'Energy Balance'!$N$7</f>
        <v>846</v>
      </c>
      <c r="B848" s="18">
        <f t="shared" si="1"/>
        <v>8.941644014</v>
      </c>
      <c r="C848" s="13">
        <f t="shared" si="2"/>
        <v>0</v>
      </c>
      <c r="D848" s="13">
        <f t="shared" si="3"/>
        <v>1</v>
      </c>
      <c r="O848" s="4"/>
      <c r="P848" s="4"/>
      <c r="Q848" s="4"/>
      <c r="R848" s="4"/>
    </row>
    <row r="849" ht="15.75" customHeight="1">
      <c r="A849" s="13">
        <f>A848+'Energy Balance'!$N$7</f>
        <v>847</v>
      </c>
      <c r="B849" s="18">
        <f t="shared" si="1"/>
        <v>8.952213334</v>
      </c>
      <c r="C849" s="13">
        <f t="shared" si="2"/>
        <v>0</v>
      </c>
      <c r="D849" s="13">
        <f t="shared" si="3"/>
        <v>1</v>
      </c>
      <c r="O849" s="4"/>
      <c r="P849" s="4"/>
      <c r="Q849" s="4"/>
      <c r="R849" s="4"/>
    </row>
    <row r="850" ht="15.75" customHeight="1">
      <c r="A850" s="13">
        <f>A849+'Energy Balance'!$N$7</f>
        <v>848</v>
      </c>
      <c r="B850" s="18">
        <f t="shared" si="1"/>
        <v>8.962782653</v>
      </c>
      <c r="C850" s="13">
        <f t="shared" si="2"/>
        <v>0</v>
      </c>
      <c r="D850" s="13">
        <f t="shared" si="3"/>
        <v>1</v>
      </c>
      <c r="O850" s="4"/>
      <c r="P850" s="4"/>
      <c r="Q850" s="4"/>
      <c r="R850" s="4"/>
    </row>
    <row r="851" ht="15.75" customHeight="1">
      <c r="A851" s="13">
        <f>A850+'Energy Balance'!$N$7</f>
        <v>849</v>
      </c>
      <c r="B851" s="18">
        <f t="shared" si="1"/>
        <v>8.973351972</v>
      </c>
      <c r="C851" s="13">
        <f t="shared" si="2"/>
        <v>0</v>
      </c>
      <c r="D851" s="13">
        <f t="shared" si="3"/>
        <v>1</v>
      </c>
      <c r="O851" s="4"/>
      <c r="P851" s="4"/>
      <c r="Q851" s="4"/>
      <c r="R851" s="4"/>
    </row>
    <row r="852" ht="15.75" customHeight="1">
      <c r="A852" s="13">
        <f>A851+'Energy Balance'!$N$7</f>
        <v>850</v>
      </c>
      <c r="B852" s="18">
        <f t="shared" si="1"/>
        <v>8.983921291</v>
      </c>
      <c r="C852" s="13">
        <f t="shared" si="2"/>
        <v>0</v>
      </c>
      <c r="D852" s="13">
        <f t="shared" si="3"/>
        <v>1</v>
      </c>
      <c r="O852" s="4"/>
      <c r="P852" s="4"/>
      <c r="Q852" s="4"/>
      <c r="R852" s="4"/>
    </row>
    <row r="853" ht="15.75" customHeight="1">
      <c r="A853" s="13">
        <f>A852+'Energy Balance'!$N$7</f>
        <v>851</v>
      </c>
      <c r="B853" s="18">
        <f t="shared" si="1"/>
        <v>8.99449061</v>
      </c>
      <c r="C853" s="13">
        <f t="shared" si="2"/>
        <v>0</v>
      </c>
      <c r="D853" s="13">
        <f t="shared" si="3"/>
        <v>1</v>
      </c>
      <c r="O853" s="4"/>
      <c r="P853" s="4"/>
      <c r="Q853" s="4"/>
      <c r="R853" s="4"/>
    </row>
    <row r="854" ht="15.75" customHeight="1">
      <c r="A854" s="13">
        <f>A853+'Energy Balance'!$N$7</f>
        <v>852</v>
      </c>
      <c r="B854" s="18">
        <f t="shared" si="1"/>
        <v>9.005059929</v>
      </c>
      <c r="C854" s="13">
        <f t="shared" si="2"/>
        <v>1</v>
      </c>
      <c r="D854" s="13">
        <f t="shared" si="3"/>
        <v>0</v>
      </c>
      <c r="O854" s="4"/>
      <c r="P854" s="4"/>
      <c r="Q854" s="4"/>
      <c r="R854" s="4"/>
    </row>
    <row r="855" ht="15.75" customHeight="1">
      <c r="A855" s="13">
        <f>A854+'Energy Balance'!$N$7</f>
        <v>853</v>
      </c>
      <c r="B855" s="18">
        <f t="shared" si="1"/>
        <v>9.015629249</v>
      </c>
      <c r="C855" s="13">
        <f t="shared" si="2"/>
        <v>1</v>
      </c>
      <c r="D855" s="13">
        <f t="shared" si="3"/>
        <v>0</v>
      </c>
      <c r="O855" s="4"/>
      <c r="P855" s="4"/>
      <c r="Q855" s="4"/>
      <c r="R855" s="4"/>
    </row>
    <row r="856" ht="15.75" customHeight="1">
      <c r="A856" s="13">
        <f>A855+'Energy Balance'!$N$7</f>
        <v>854</v>
      </c>
      <c r="B856" s="18">
        <f t="shared" si="1"/>
        <v>9.026198568</v>
      </c>
      <c r="C856" s="13">
        <f t="shared" si="2"/>
        <v>1</v>
      </c>
      <c r="D856" s="13">
        <f t="shared" si="3"/>
        <v>0</v>
      </c>
      <c r="O856" s="4"/>
      <c r="P856" s="4"/>
      <c r="Q856" s="4"/>
      <c r="R856" s="4"/>
    </row>
    <row r="857" ht="15.75" customHeight="1">
      <c r="A857" s="13">
        <f>A856+'Energy Balance'!$N$7</f>
        <v>855</v>
      </c>
      <c r="B857" s="18">
        <f t="shared" si="1"/>
        <v>9.036767887</v>
      </c>
      <c r="C857" s="13">
        <f t="shared" si="2"/>
        <v>1</v>
      </c>
      <c r="D857" s="13">
        <f t="shared" si="3"/>
        <v>0</v>
      </c>
      <c r="O857" s="4"/>
      <c r="P857" s="4"/>
      <c r="Q857" s="4"/>
      <c r="R857" s="4"/>
    </row>
    <row r="858" ht="15.75" customHeight="1">
      <c r="A858" s="13">
        <f>A857+'Energy Balance'!$N$7</f>
        <v>856</v>
      </c>
      <c r="B858" s="18">
        <f t="shared" si="1"/>
        <v>9.047337206</v>
      </c>
      <c r="C858" s="13">
        <f t="shared" si="2"/>
        <v>1</v>
      </c>
      <c r="D858" s="13">
        <f t="shared" si="3"/>
        <v>0</v>
      </c>
      <c r="O858" s="4"/>
      <c r="P858" s="4"/>
      <c r="Q858" s="4"/>
      <c r="R858" s="4"/>
    </row>
    <row r="859" ht="15.75" customHeight="1">
      <c r="A859" s="13">
        <f>A858+'Energy Balance'!$N$7</f>
        <v>857</v>
      </c>
      <c r="B859" s="18">
        <f t="shared" si="1"/>
        <v>9.057906525</v>
      </c>
      <c r="C859" s="13">
        <f t="shared" si="2"/>
        <v>1</v>
      </c>
      <c r="D859" s="13">
        <f t="shared" si="3"/>
        <v>0</v>
      </c>
      <c r="O859" s="4"/>
      <c r="P859" s="4"/>
      <c r="Q859" s="4"/>
      <c r="R859" s="4"/>
    </row>
    <row r="860" ht="15.75" customHeight="1">
      <c r="A860" s="13">
        <f>A859+'Energy Balance'!$N$7</f>
        <v>858</v>
      </c>
      <c r="B860" s="18">
        <f t="shared" si="1"/>
        <v>9.068475844</v>
      </c>
      <c r="C860" s="13">
        <f t="shared" si="2"/>
        <v>1</v>
      </c>
      <c r="D860" s="13">
        <f t="shared" si="3"/>
        <v>0</v>
      </c>
      <c r="O860" s="4"/>
      <c r="P860" s="4"/>
      <c r="Q860" s="4"/>
      <c r="R860" s="4"/>
    </row>
    <row r="861" ht="15.75" customHeight="1">
      <c r="A861" s="13">
        <f>A860+'Energy Balance'!$N$7</f>
        <v>859</v>
      </c>
      <c r="B861" s="18">
        <f t="shared" si="1"/>
        <v>9.079045163</v>
      </c>
      <c r="C861" s="13">
        <f t="shared" si="2"/>
        <v>1</v>
      </c>
      <c r="D861" s="13">
        <f t="shared" si="3"/>
        <v>0</v>
      </c>
      <c r="O861" s="4"/>
      <c r="P861" s="4"/>
      <c r="Q861" s="4"/>
      <c r="R861" s="4"/>
    </row>
    <row r="862" ht="15.75" customHeight="1">
      <c r="A862" s="13">
        <f>A861+'Energy Balance'!$N$7</f>
        <v>860</v>
      </c>
      <c r="B862" s="18">
        <f t="shared" si="1"/>
        <v>9.089614483</v>
      </c>
      <c r="C862" s="13">
        <f t="shared" si="2"/>
        <v>1</v>
      </c>
      <c r="D862" s="13">
        <f t="shared" si="3"/>
        <v>0</v>
      </c>
      <c r="O862" s="4"/>
      <c r="P862" s="4"/>
      <c r="Q862" s="4"/>
      <c r="R862" s="4"/>
    </row>
    <row r="863" ht="15.75" customHeight="1">
      <c r="A863" s="13">
        <f>A862+'Energy Balance'!$N$7</f>
        <v>861</v>
      </c>
      <c r="B863" s="18">
        <f t="shared" si="1"/>
        <v>9.100183802</v>
      </c>
      <c r="C863" s="13">
        <f t="shared" si="2"/>
        <v>1</v>
      </c>
      <c r="D863" s="13">
        <f t="shared" si="3"/>
        <v>0</v>
      </c>
      <c r="O863" s="4"/>
      <c r="P863" s="4"/>
      <c r="Q863" s="4"/>
      <c r="R863" s="4"/>
    </row>
    <row r="864" ht="15.75" customHeight="1">
      <c r="A864" s="13">
        <f>A863+'Energy Balance'!$N$7</f>
        <v>862</v>
      </c>
      <c r="B864" s="18">
        <f t="shared" si="1"/>
        <v>9.110753121</v>
      </c>
      <c r="C864" s="13">
        <f t="shared" si="2"/>
        <v>1</v>
      </c>
      <c r="D864" s="13">
        <f t="shared" si="3"/>
        <v>0</v>
      </c>
      <c r="O864" s="4"/>
      <c r="P864" s="4"/>
      <c r="Q864" s="4"/>
      <c r="R864" s="4"/>
    </row>
    <row r="865" ht="15.75" customHeight="1">
      <c r="A865" s="13">
        <f>A864+'Energy Balance'!$N$7</f>
        <v>863</v>
      </c>
      <c r="B865" s="18">
        <f t="shared" si="1"/>
        <v>9.12132244</v>
      </c>
      <c r="C865" s="13">
        <f t="shared" si="2"/>
        <v>1</v>
      </c>
      <c r="D865" s="13">
        <f t="shared" si="3"/>
        <v>0</v>
      </c>
      <c r="O865" s="4"/>
      <c r="P865" s="4"/>
      <c r="Q865" s="4"/>
      <c r="R865" s="4"/>
    </row>
    <row r="866" ht="15.75" customHeight="1">
      <c r="A866" s="13">
        <f>A865+'Energy Balance'!$N$7</f>
        <v>864</v>
      </c>
      <c r="B866" s="18">
        <f t="shared" si="1"/>
        <v>9.131891759</v>
      </c>
      <c r="C866" s="13">
        <f t="shared" si="2"/>
        <v>1</v>
      </c>
      <c r="D866" s="13">
        <f t="shared" si="3"/>
        <v>0</v>
      </c>
      <c r="O866" s="4"/>
      <c r="P866" s="4"/>
      <c r="Q866" s="4"/>
      <c r="R866" s="4"/>
    </row>
    <row r="867" ht="15.75" customHeight="1">
      <c r="A867" s="13">
        <f>A866+'Energy Balance'!$N$7</f>
        <v>865</v>
      </c>
      <c r="B867" s="18">
        <f t="shared" si="1"/>
        <v>9.142461078</v>
      </c>
      <c r="C867" s="13">
        <f t="shared" si="2"/>
        <v>1</v>
      </c>
      <c r="D867" s="13">
        <f t="shared" si="3"/>
        <v>0</v>
      </c>
      <c r="O867" s="4"/>
      <c r="P867" s="4"/>
      <c r="Q867" s="4"/>
      <c r="R867" s="4"/>
    </row>
    <row r="868" ht="15.75" customHeight="1">
      <c r="A868" s="13">
        <f>A867+'Energy Balance'!$N$7</f>
        <v>866</v>
      </c>
      <c r="B868" s="18">
        <f t="shared" si="1"/>
        <v>9.153030398</v>
      </c>
      <c r="C868" s="13">
        <f t="shared" si="2"/>
        <v>1</v>
      </c>
      <c r="D868" s="13">
        <f t="shared" si="3"/>
        <v>0</v>
      </c>
      <c r="O868" s="4"/>
      <c r="P868" s="4"/>
      <c r="Q868" s="4"/>
      <c r="R868" s="4"/>
    </row>
    <row r="869" ht="15.75" customHeight="1">
      <c r="A869" s="13">
        <f>A868+'Energy Balance'!$N$7</f>
        <v>867</v>
      </c>
      <c r="B869" s="18">
        <f t="shared" si="1"/>
        <v>9.163599717</v>
      </c>
      <c r="C869" s="13">
        <f t="shared" si="2"/>
        <v>1</v>
      </c>
      <c r="D869" s="13">
        <f t="shared" si="3"/>
        <v>0</v>
      </c>
      <c r="O869" s="4"/>
      <c r="P869" s="4"/>
      <c r="Q869" s="4"/>
      <c r="R869" s="4"/>
    </row>
    <row r="870" ht="15.75" customHeight="1">
      <c r="A870" s="13">
        <f>A869+'Energy Balance'!$N$7</f>
        <v>868</v>
      </c>
      <c r="B870" s="18">
        <f t="shared" si="1"/>
        <v>9.174169036</v>
      </c>
      <c r="C870" s="13">
        <f t="shared" si="2"/>
        <v>1</v>
      </c>
      <c r="D870" s="13">
        <f t="shared" si="3"/>
        <v>0</v>
      </c>
      <c r="O870" s="4"/>
      <c r="P870" s="4"/>
      <c r="Q870" s="4"/>
      <c r="R870" s="4"/>
    </row>
    <row r="871" ht="15.75" customHeight="1">
      <c r="A871" s="13">
        <f>A870+'Energy Balance'!$N$7</f>
        <v>869</v>
      </c>
      <c r="B871" s="18">
        <f t="shared" si="1"/>
        <v>9.184738355</v>
      </c>
      <c r="C871" s="13">
        <f t="shared" si="2"/>
        <v>1</v>
      </c>
      <c r="D871" s="13">
        <f t="shared" si="3"/>
        <v>0</v>
      </c>
      <c r="O871" s="4"/>
      <c r="P871" s="4"/>
      <c r="Q871" s="4"/>
      <c r="R871" s="4"/>
    </row>
    <row r="872" ht="15.75" customHeight="1">
      <c r="A872" s="13">
        <f>A871+'Energy Balance'!$N$7</f>
        <v>870</v>
      </c>
      <c r="B872" s="18">
        <f t="shared" si="1"/>
        <v>9.195307674</v>
      </c>
      <c r="C872" s="13">
        <f t="shared" si="2"/>
        <v>1</v>
      </c>
      <c r="D872" s="13">
        <f t="shared" si="3"/>
        <v>0</v>
      </c>
      <c r="O872" s="4"/>
      <c r="P872" s="4"/>
      <c r="Q872" s="4"/>
      <c r="R872" s="4"/>
    </row>
    <row r="873" ht="15.75" customHeight="1">
      <c r="A873" s="13">
        <f>A872+'Energy Balance'!$N$7</f>
        <v>871</v>
      </c>
      <c r="B873" s="18">
        <f t="shared" si="1"/>
        <v>9.205876993</v>
      </c>
      <c r="C873" s="13">
        <f t="shared" si="2"/>
        <v>1</v>
      </c>
      <c r="D873" s="13">
        <f t="shared" si="3"/>
        <v>0</v>
      </c>
      <c r="O873" s="4"/>
      <c r="P873" s="4"/>
      <c r="Q873" s="4"/>
      <c r="R873" s="4"/>
    </row>
    <row r="874" ht="15.75" customHeight="1">
      <c r="A874" s="13">
        <f>A873+'Energy Balance'!$N$7</f>
        <v>872</v>
      </c>
      <c r="B874" s="18">
        <f t="shared" si="1"/>
        <v>9.216446313</v>
      </c>
      <c r="C874" s="13">
        <f t="shared" si="2"/>
        <v>1</v>
      </c>
      <c r="D874" s="13">
        <f t="shared" si="3"/>
        <v>0</v>
      </c>
      <c r="O874" s="4"/>
      <c r="P874" s="4"/>
      <c r="Q874" s="4"/>
      <c r="R874" s="4"/>
    </row>
    <row r="875" ht="15.75" customHeight="1">
      <c r="A875" s="13">
        <f>A874+'Energy Balance'!$N$7</f>
        <v>873</v>
      </c>
      <c r="B875" s="18">
        <f t="shared" si="1"/>
        <v>9.227015632</v>
      </c>
      <c r="C875" s="13">
        <f t="shared" si="2"/>
        <v>1</v>
      </c>
      <c r="D875" s="13">
        <f t="shared" si="3"/>
        <v>0</v>
      </c>
      <c r="O875" s="4"/>
      <c r="P875" s="4"/>
      <c r="Q875" s="4"/>
      <c r="R875" s="4"/>
    </row>
    <row r="876" ht="15.75" customHeight="1">
      <c r="A876" s="13">
        <f>A875+'Energy Balance'!$N$7</f>
        <v>874</v>
      </c>
      <c r="B876" s="18">
        <f t="shared" si="1"/>
        <v>9.237584951</v>
      </c>
      <c r="C876" s="13">
        <f t="shared" si="2"/>
        <v>1</v>
      </c>
      <c r="D876" s="13">
        <f t="shared" si="3"/>
        <v>0</v>
      </c>
      <c r="O876" s="4"/>
      <c r="P876" s="4"/>
      <c r="Q876" s="4"/>
      <c r="R876" s="4"/>
    </row>
    <row r="877" ht="15.75" customHeight="1">
      <c r="A877" s="13">
        <f>A876+'Energy Balance'!$N$7</f>
        <v>875</v>
      </c>
      <c r="B877" s="18">
        <f t="shared" si="1"/>
        <v>9.24815427</v>
      </c>
      <c r="C877" s="13">
        <f t="shared" si="2"/>
        <v>1</v>
      </c>
      <c r="D877" s="13">
        <f t="shared" si="3"/>
        <v>0</v>
      </c>
      <c r="O877" s="4"/>
      <c r="P877" s="4"/>
      <c r="Q877" s="4"/>
      <c r="R877" s="4"/>
    </row>
    <row r="878" ht="15.75" customHeight="1">
      <c r="A878" s="13">
        <f>A877+'Energy Balance'!$N$7</f>
        <v>876</v>
      </c>
      <c r="B878" s="18">
        <f t="shared" si="1"/>
        <v>9.258723589</v>
      </c>
      <c r="C878" s="13">
        <f t="shared" si="2"/>
        <v>1</v>
      </c>
      <c r="D878" s="13">
        <f t="shared" si="3"/>
        <v>0</v>
      </c>
      <c r="O878" s="4"/>
      <c r="P878" s="4"/>
      <c r="Q878" s="4"/>
      <c r="R878" s="4"/>
    </row>
    <row r="879" ht="15.75" customHeight="1">
      <c r="A879" s="13">
        <f>A878+'Energy Balance'!$N$7</f>
        <v>877</v>
      </c>
      <c r="B879" s="18">
        <f t="shared" si="1"/>
        <v>9.269292908</v>
      </c>
      <c r="C879" s="13">
        <f t="shared" si="2"/>
        <v>1</v>
      </c>
      <c r="D879" s="13">
        <f t="shared" si="3"/>
        <v>0</v>
      </c>
      <c r="O879" s="4"/>
      <c r="P879" s="4"/>
      <c r="Q879" s="4"/>
      <c r="R879" s="4"/>
    </row>
    <row r="880" ht="15.75" customHeight="1">
      <c r="A880" s="13">
        <f>A879+'Energy Balance'!$N$7</f>
        <v>878</v>
      </c>
      <c r="B880" s="18">
        <f t="shared" si="1"/>
        <v>9.279862228</v>
      </c>
      <c r="C880" s="13">
        <f t="shared" si="2"/>
        <v>1</v>
      </c>
      <c r="D880" s="13">
        <f t="shared" si="3"/>
        <v>0</v>
      </c>
      <c r="O880" s="4"/>
      <c r="P880" s="4"/>
      <c r="Q880" s="4"/>
      <c r="R880" s="4"/>
    </row>
    <row r="881" ht="15.75" customHeight="1">
      <c r="A881" s="13">
        <f>A880+'Energy Balance'!$N$7</f>
        <v>879</v>
      </c>
      <c r="B881" s="18">
        <f t="shared" si="1"/>
        <v>9.290431547</v>
      </c>
      <c r="C881" s="13">
        <f t="shared" si="2"/>
        <v>1</v>
      </c>
      <c r="D881" s="13">
        <f t="shared" si="3"/>
        <v>0</v>
      </c>
      <c r="O881" s="4"/>
      <c r="P881" s="4"/>
      <c r="Q881" s="4"/>
      <c r="R881" s="4"/>
    </row>
    <row r="882" ht="15.75" customHeight="1">
      <c r="A882" s="13">
        <f>A881+'Energy Balance'!$N$7</f>
        <v>880</v>
      </c>
      <c r="B882" s="18">
        <f t="shared" si="1"/>
        <v>9.301000866</v>
      </c>
      <c r="C882" s="13">
        <f t="shared" si="2"/>
        <v>1</v>
      </c>
      <c r="D882" s="13">
        <f t="shared" si="3"/>
        <v>0</v>
      </c>
      <c r="O882" s="4"/>
      <c r="P882" s="4"/>
      <c r="Q882" s="4"/>
      <c r="R882" s="4"/>
    </row>
    <row r="883" ht="15.75" customHeight="1">
      <c r="A883" s="13">
        <f>A882+'Energy Balance'!$N$7</f>
        <v>881</v>
      </c>
      <c r="B883" s="18">
        <f t="shared" si="1"/>
        <v>9.311570185</v>
      </c>
      <c r="C883" s="13">
        <f t="shared" si="2"/>
        <v>1</v>
      </c>
      <c r="D883" s="13">
        <f t="shared" si="3"/>
        <v>0</v>
      </c>
      <c r="O883" s="4"/>
      <c r="P883" s="4"/>
      <c r="Q883" s="4"/>
      <c r="R883" s="4"/>
    </row>
    <row r="884" ht="15.75" customHeight="1">
      <c r="A884" s="13">
        <f>A883+'Energy Balance'!$N$7</f>
        <v>882</v>
      </c>
      <c r="B884" s="18">
        <f t="shared" si="1"/>
        <v>9.322139504</v>
      </c>
      <c r="C884" s="13">
        <f t="shared" si="2"/>
        <v>1</v>
      </c>
      <c r="D884" s="13">
        <f t="shared" si="3"/>
        <v>0</v>
      </c>
      <c r="O884" s="4"/>
      <c r="P884" s="4"/>
      <c r="Q884" s="4"/>
      <c r="R884" s="4"/>
    </row>
    <row r="885" ht="15.75" customHeight="1">
      <c r="A885" s="13">
        <f>A884+'Energy Balance'!$N$7</f>
        <v>883</v>
      </c>
      <c r="B885" s="18">
        <f t="shared" si="1"/>
        <v>9.332708823</v>
      </c>
      <c r="C885" s="13">
        <f t="shared" si="2"/>
        <v>1</v>
      </c>
      <c r="D885" s="13">
        <f t="shared" si="3"/>
        <v>0</v>
      </c>
      <c r="O885" s="4"/>
      <c r="P885" s="4"/>
      <c r="Q885" s="4"/>
      <c r="R885" s="4"/>
    </row>
    <row r="886" ht="15.75" customHeight="1">
      <c r="A886" s="13">
        <f>A885+'Energy Balance'!$N$7</f>
        <v>884</v>
      </c>
      <c r="B886" s="18">
        <f t="shared" si="1"/>
        <v>9.343278143</v>
      </c>
      <c r="C886" s="13">
        <f t="shared" si="2"/>
        <v>1</v>
      </c>
      <c r="D886" s="13">
        <f t="shared" si="3"/>
        <v>0</v>
      </c>
      <c r="O886" s="4"/>
      <c r="P886" s="4"/>
      <c r="Q886" s="4"/>
      <c r="R886" s="4"/>
    </row>
    <row r="887" ht="15.75" customHeight="1">
      <c r="A887" s="13">
        <f>A886+'Energy Balance'!$N$7</f>
        <v>885</v>
      </c>
      <c r="B887" s="18">
        <f t="shared" si="1"/>
        <v>9.353847462</v>
      </c>
      <c r="C887" s="13">
        <f t="shared" si="2"/>
        <v>1</v>
      </c>
      <c r="D887" s="13">
        <f t="shared" si="3"/>
        <v>0</v>
      </c>
      <c r="O887" s="4"/>
      <c r="P887" s="4"/>
      <c r="Q887" s="4"/>
      <c r="R887" s="4"/>
    </row>
    <row r="888" ht="15.75" customHeight="1">
      <c r="A888" s="13">
        <f>A887+'Energy Balance'!$N$7</f>
        <v>886</v>
      </c>
      <c r="B888" s="18">
        <f t="shared" si="1"/>
        <v>9.364416781</v>
      </c>
      <c r="C888" s="13">
        <f t="shared" si="2"/>
        <v>1</v>
      </c>
      <c r="D888" s="13">
        <f t="shared" si="3"/>
        <v>0</v>
      </c>
      <c r="O888" s="4"/>
      <c r="P888" s="4"/>
      <c r="Q888" s="4"/>
      <c r="R888" s="4"/>
    </row>
    <row r="889" ht="15.75" customHeight="1">
      <c r="A889" s="13">
        <f>A888+'Energy Balance'!$N$7</f>
        <v>887</v>
      </c>
      <c r="B889" s="18">
        <f t="shared" si="1"/>
        <v>9.3749861</v>
      </c>
      <c r="C889" s="13">
        <f t="shared" si="2"/>
        <v>1</v>
      </c>
      <c r="D889" s="13">
        <f t="shared" si="3"/>
        <v>0</v>
      </c>
      <c r="O889" s="4"/>
      <c r="P889" s="4"/>
      <c r="Q889" s="4"/>
      <c r="R889" s="4"/>
    </row>
    <row r="890" ht="15.75" customHeight="1">
      <c r="A890" s="13">
        <f>A889+'Energy Balance'!$N$7</f>
        <v>888</v>
      </c>
      <c r="B890" s="18">
        <f t="shared" si="1"/>
        <v>9.385555419</v>
      </c>
      <c r="C890" s="13">
        <f t="shared" si="2"/>
        <v>1</v>
      </c>
      <c r="D890" s="13">
        <f t="shared" si="3"/>
        <v>0</v>
      </c>
      <c r="O890" s="4"/>
      <c r="P890" s="4"/>
      <c r="Q890" s="4"/>
      <c r="R890" s="4"/>
    </row>
    <row r="891" ht="15.75" customHeight="1">
      <c r="A891" s="13">
        <f>A890+'Energy Balance'!$N$7</f>
        <v>889</v>
      </c>
      <c r="B891" s="18">
        <f t="shared" si="1"/>
        <v>9.396124738</v>
      </c>
      <c r="C891" s="13">
        <f t="shared" si="2"/>
        <v>1</v>
      </c>
      <c r="D891" s="13">
        <f t="shared" si="3"/>
        <v>0</v>
      </c>
      <c r="O891" s="4"/>
      <c r="P891" s="4"/>
      <c r="Q891" s="4"/>
      <c r="R891" s="4"/>
    </row>
    <row r="892" ht="15.75" customHeight="1">
      <c r="A892" s="13">
        <f>A891+'Energy Balance'!$N$7</f>
        <v>890</v>
      </c>
      <c r="B892" s="18">
        <f t="shared" si="1"/>
        <v>9.406694058</v>
      </c>
      <c r="C892" s="13">
        <f t="shared" si="2"/>
        <v>1</v>
      </c>
      <c r="D892" s="13">
        <f t="shared" si="3"/>
        <v>0</v>
      </c>
      <c r="O892" s="4"/>
      <c r="P892" s="4"/>
      <c r="Q892" s="4"/>
      <c r="R892" s="4"/>
    </row>
    <row r="893" ht="15.75" customHeight="1">
      <c r="A893" s="13">
        <f>A892+'Energy Balance'!$N$7</f>
        <v>891</v>
      </c>
      <c r="B893" s="18">
        <f t="shared" si="1"/>
        <v>9.417263377</v>
      </c>
      <c r="C893" s="13">
        <f t="shared" si="2"/>
        <v>1</v>
      </c>
      <c r="D893" s="13">
        <f t="shared" si="3"/>
        <v>0</v>
      </c>
      <c r="O893" s="4"/>
      <c r="P893" s="4"/>
      <c r="Q893" s="4"/>
      <c r="R893" s="4"/>
    </row>
    <row r="894" ht="15.75" customHeight="1">
      <c r="A894" s="13">
        <f>A893+'Energy Balance'!$N$7</f>
        <v>892</v>
      </c>
      <c r="B894" s="18">
        <f t="shared" si="1"/>
        <v>9.427832696</v>
      </c>
      <c r="C894" s="13">
        <f t="shared" si="2"/>
        <v>1</v>
      </c>
      <c r="D894" s="13">
        <f t="shared" si="3"/>
        <v>0</v>
      </c>
      <c r="O894" s="4"/>
      <c r="P894" s="4"/>
      <c r="Q894" s="4"/>
      <c r="R894" s="4"/>
    </row>
    <row r="895" ht="15.75" customHeight="1">
      <c r="A895" s="13">
        <f>A894+'Energy Balance'!$N$7</f>
        <v>893</v>
      </c>
      <c r="B895" s="18">
        <f t="shared" si="1"/>
        <v>9.438402015</v>
      </c>
      <c r="C895" s="13">
        <f t="shared" si="2"/>
        <v>1</v>
      </c>
      <c r="D895" s="13">
        <f t="shared" si="3"/>
        <v>0</v>
      </c>
      <c r="O895" s="4"/>
      <c r="P895" s="4"/>
      <c r="Q895" s="4"/>
      <c r="R895" s="4"/>
    </row>
    <row r="896" ht="15.75" customHeight="1">
      <c r="A896" s="13">
        <f>A895+'Energy Balance'!$N$7</f>
        <v>894</v>
      </c>
      <c r="B896" s="18">
        <f t="shared" si="1"/>
        <v>9.448971334</v>
      </c>
      <c r="C896" s="13">
        <f t="shared" si="2"/>
        <v>1</v>
      </c>
      <c r="D896" s="13">
        <f t="shared" si="3"/>
        <v>0</v>
      </c>
      <c r="O896" s="4"/>
      <c r="P896" s="4"/>
      <c r="Q896" s="4"/>
      <c r="R896" s="4"/>
    </row>
    <row r="897" ht="15.75" customHeight="1">
      <c r="A897" s="13">
        <f>A896+'Energy Balance'!$N$7</f>
        <v>895</v>
      </c>
      <c r="B897" s="18">
        <f t="shared" si="1"/>
        <v>9.459540653</v>
      </c>
      <c r="C897" s="13">
        <f t="shared" si="2"/>
        <v>1</v>
      </c>
      <c r="D897" s="13">
        <f t="shared" si="3"/>
        <v>0</v>
      </c>
      <c r="O897" s="4"/>
      <c r="P897" s="4"/>
      <c r="Q897" s="4"/>
      <c r="R897" s="4"/>
    </row>
    <row r="898" ht="15.75" customHeight="1">
      <c r="A898" s="13">
        <f>A897+'Energy Balance'!$N$7</f>
        <v>896</v>
      </c>
      <c r="B898" s="18">
        <f t="shared" si="1"/>
        <v>9.470109973</v>
      </c>
      <c r="C898" s="13">
        <f t="shared" si="2"/>
        <v>1</v>
      </c>
      <c r="D898" s="13">
        <f t="shared" si="3"/>
        <v>0</v>
      </c>
      <c r="O898" s="4"/>
      <c r="P898" s="4"/>
      <c r="Q898" s="4"/>
      <c r="R898" s="4"/>
    </row>
    <row r="899" ht="15.75" customHeight="1">
      <c r="A899" s="13">
        <f>A898+'Energy Balance'!$N$7</f>
        <v>897</v>
      </c>
      <c r="B899" s="18">
        <f t="shared" si="1"/>
        <v>9.480679292</v>
      </c>
      <c r="C899" s="13">
        <f t="shared" si="2"/>
        <v>1</v>
      </c>
      <c r="D899" s="13">
        <f t="shared" si="3"/>
        <v>0</v>
      </c>
      <c r="O899" s="4"/>
      <c r="P899" s="4"/>
      <c r="Q899" s="4"/>
      <c r="R899" s="4"/>
    </row>
    <row r="900" ht="15.75" customHeight="1">
      <c r="A900" s="13">
        <f>A899+'Energy Balance'!$N$7</f>
        <v>898</v>
      </c>
      <c r="B900" s="18">
        <f t="shared" si="1"/>
        <v>9.491248611</v>
      </c>
      <c r="C900" s="13">
        <f t="shared" si="2"/>
        <v>1</v>
      </c>
      <c r="D900" s="13">
        <f t="shared" si="3"/>
        <v>0</v>
      </c>
      <c r="O900" s="4"/>
      <c r="P900" s="4"/>
      <c r="Q900" s="4"/>
      <c r="R900" s="4"/>
    </row>
    <row r="901" ht="15.75" customHeight="1">
      <c r="A901" s="13">
        <f>A900+'Energy Balance'!$N$7</f>
        <v>899</v>
      </c>
      <c r="B901" s="18">
        <f t="shared" si="1"/>
        <v>9.50181793</v>
      </c>
      <c r="C901" s="13">
        <f t="shared" si="2"/>
        <v>1</v>
      </c>
      <c r="D901" s="13">
        <f t="shared" si="3"/>
        <v>0</v>
      </c>
      <c r="O901" s="4"/>
      <c r="P901" s="4"/>
      <c r="Q901" s="4"/>
      <c r="R901" s="4"/>
    </row>
    <row r="902" ht="15.75" customHeight="1">
      <c r="A902" s="13">
        <f>A901+'Energy Balance'!$N$7</f>
        <v>900</v>
      </c>
      <c r="B902" s="18">
        <f t="shared" si="1"/>
        <v>9.512387249</v>
      </c>
      <c r="C902" s="13">
        <f t="shared" si="2"/>
        <v>1</v>
      </c>
      <c r="D902" s="13">
        <f t="shared" si="3"/>
        <v>0</v>
      </c>
      <c r="O902" s="4"/>
      <c r="P902" s="4"/>
      <c r="Q902" s="4"/>
      <c r="R902" s="4"/>
    </row>
    <row r="903" ht="15.75" customHeight="1">
      <c r="A903" s="13">
        <f>A902+'Energy Balance'!$N$7</f>
        <v>901</v>
      </c>
      <c r="B903" s="18">
        <f t="shared" si="1"/>
        <v>9.522956568</v>
      </c>
      <c r="C903" s="13">
        <f t="shared" si="2"/>
        <v>1</v>
      </c>
      <c r="D903" s="13">
        <f t="shared" si="3"/>
        <v>0</v>
      </c>
      <c r="O903" s="4"/>
      <c r="P903" s="4"/>
      <c r="Q903" s="4"/>
      <c r="R903" s="4"/>
    </row>
    <row r="904" ht="15.75" customHeight="1">
      <c r="A904" s="13">
        <f>A903+'Energy Balance'!$N$7</f>
        <v>902</v>
      </c>
      <c r="B904" s="18">
        <f t="shared" si="1"/>
        <v>9.533525888</v>
      </c>
      <c r="C904" s="13">
        <f t="shared" si="2"/>
        <v>1</v>
      </c>
      <c r="D904" s="13">
        <f t="shared" si="3"/>
        <v>0</v>
      </c>
      <c r="O904" s="4"/>
      <c r="P904" s="4"/>
      <c r="Q904" s="4"/>
      <c r="R904" s="4"/>
    </row>
    <row r="905" ht="15.75" customHeight="1">
      <c r="A905" s="13">
        <f>A904+'Energy Balance'!$N$7</f>
        <v>903</v>
      </c>
      <c r="B905" s="18">
        <f t="shared" si="1"/>
        <v>9.544095207</v>
      </c>
      <c r="C905" s="13">
        <f t="shared" si="2"/>
        <v>1</v>
      </c>
      <c r="D905" s="13">
        <f t="shared" si="3"/>
        <v>0</v>
      </c>
      <c r="O905" s="4"/>
      <c r="P905" s="4"/>
      <c r="Q905" s="4"/>
      <c r="R905" s="4"/>
    </row>
    <row r="906" ht="15.75" customHeight="1">
      <c r="A906" s="13">
        <f>A905+'Energy Balance'!$N$7</f>
        <v>904</v>
      </c>
      <c r="B906" s="18">
        <f t="shared" si="1"/>
        <v>9.554664526</v>
      </c>
      <c r="C906" s="13">
        <f t="shared" si="2"/>
        <v>1</v>
      </c>
      <c r="D906" s="13">
        <f t="shared" si="3"/>
        <v>0</v>
      </c>
      <c r="O906" s="4"/>
      <c r="P906" s="4"/>
      <c r="Q906" s="4"/>
      <c r="R906" s="4"/>
    </row>
    <row r="907" ht="15.75" customHeight="1">
      <c r="A907" s="13">
        <f>A906+'Energy Balance'!$N$7</f>
        <v>905</v>
      </c>
      <c r="B907" s="18">
        <f t="shared" si="1"/>
        <v>9.565233845</v>
      </c>
      <c r="C907" s="13">
        <f t="shared" si="2"/>
        <v>1</v>
      </c>
      <c r="D907" s="13">
        <f t="shared" si="3"/>
        <v>0</v>
      </c>
      <c r="O907" s="4"/>
      <c r="P907" s="4"/>
      <c r="Q907" s="4"/>
      <c r="R907" s="4"/>
    </row>
    <row r="908" ht="15.75" customHeight="1">
      <c r="A908" s="13">
        <f>A907+'Energy Balance'!$N$7</f>
        <v>906</v>
      </c>
      <c r="B908" s="18">
        <f t="shared" si="1"/>
        <v>9.575803164</v>
      </c>
      <c r="C908" s="13">
        <f t="shared" si="2"/>
        <v>1</v>
      </c>
      <c r="D908" s="13">
        <f t="shared" si="3"/>
        <v>0</v>
      </c>
      <c r="O908" s="4"/>
      <c r="P908" s="4"/>
      <c r="Q908" s="4"/>
      <c r="R908" s="4"/>
    </row>
    <row r="909" ht="15.75" customHeight="1">
      <c r="A909" s="13">
        <f>A908+'Energy Balance'!$N$7</f>
        <v>907</v>
      </c>
      <c r="B909" s="18">
        <f t="shared" si="1"/>
        <v>9.586372483</v>
      </c>
      <c r="C909" s="13">
        <f t="shared" si="2"/>
        <v>1</v>
      </c>
      <c r="D909" s="13">
        <f t="shared" si="3"/>
        <v>0</v>
      </c>
      <c r="O909" s="4"/>
      <c r="P909" s="4"/>
      <c r="Q909" s="4"/>
      <c r="R909" s="4"/>
    </row>
    <row r="910" ht="15.75" customHeight="1">
      <c r="A910" s="13">
        <f>A909+'Energy Balance'!$N$7</f>
        <v>908</v>
      </c>
      <c r="B910" s="18">
        <f t="shared" si="1"/>
        <v>9.596941803</v>
      </c>
      <c r="C910" s="13">
        <f t="shared" si="2"/>
        <v>1</v>
      </c>
      <c r="D910" s="13">
        <f t="shared" si="3"/>
        <v>0</v>
      </c>
      <c r="O910" s="4"/>
      <c r="P910" s="4"/>
      <c r="Q910" s="4"/>
      <c r="R910" s="4"/>
    </row>
    <row r="911" ht="15.75" customHeight="1">
      <c r="A911" s="13">
        <f>A910+'Energy Balance'!$N$7</f>
        <v>909</v>
      </c>
      <c r="B911" s="18">
        <f t="shared" si="1"/>
        <v>9.607511122</v>
      </c>
      <c r="C911" s="13">
        <f t="shared" si="2"/>
        <v>1</v>
      </c>
      <c r="D911" s="13">
        <f t="shared" si="3"/>
        <v>0</v>
      </c>
      <c r="O911" s="4"/>
      <c r="P911" s="4"/>
      <c r="Q911" s="4"/>
      <c r="R911" s="4"/>
    </row>
    <row r="912" ht="15.75" customHeight="1">
      <c r="A912" s="13">
        <f>A911+'Energy Balance'!$N$7</f>
        <v>910</v>
      </c>
      <c r="B912" s="18">
        <f t="shared" si="1"/>
        <v>9.618080441</v>
      </c>
      <c r="C912" s="13">
        <f t="shared" si="2"/>
        <v>1</v>
      </c>
      <c r="D912" s="13">
        <f t="shared" si="3"/>
        <v>0</v>
      </c>
      <c r="O912" s="4"/>
      <c r="P912" s="4"/>
      <c r="Q912" s="4"/>
      <c r="R912" s="4"/>
    </row>
    <row r="913" ht="15.75" customHeight="1">
      <c r="A913" s="13">
        <f>A912+'Energy Balance'!$N$7</f>
        <v>911</v>
      </c>
      <c r="B913" s="18">
        <f t="shared" si="1"/>
        <v>9.62864976</v>
      </c>
      <c r="C913" s="13">
        <f t="shared" si="2"/>
        <v>0</v>
      </c>
      <c r="D913" s="13">
        <f t="shared" si="3"/>
        <v>1</v>
      </c>
      <c r="O913" s="4"/>
      <c r="P913" s="4"/>
      <c r="Q913" s="4"/>
      <c r="R913" s="4"/>
    </row>
    <row r="914" ht="15.75" customHeight="1">
      <c r="A914" s="13">
        <f>A913+'Energy Balance'!$N$7</f>
        <v>912</v>
      </c>
      <c r="B914" s="18">
        <f t="shared" si="1"/>
        <v>9.639219079</v>
      </c>
      <c r="C914" s="13">
        <f t="shared" si="2"/>
        <v>0</v>
      </c>
      <c r="D914" s="13">
        <f t="shared" si="3"/>
        <v>1</v>
      </c>
      <c r="O914" s="4"/>
      <c r="P914" s="4"/>
      <c r="Q914" s="4"/>
      <c r="R914" s="4"/>
    </row>
    <row r="915" ht="15.75" customHeight="1">
      <c r="A915" s="13">
        <f>A914+'Energy Balance'!$N$7</f>
        <v>913</v>
      </c>
      <c r="B915" s="18">
        <f t="shared" si="1"/>
        <v>9.649788398</v>
      </c>
      <c r="C915" s="13">
        <f t="shared" si="2"/>
        <v>0</v>
      </c>
      <c r="D915" s="13">
        <f t="shared" si="3"/>
        <v>1</v>
      </c>
      <c r="O915" s="4"/>
      <c r="P915" s="4"/>
      <c r="Q915" s="4"/>
      <c r="R915" s="4"/>
    </row>
    <row r="916" ht="15.75" customHeight="1">
      <c r="A916" s="13">
        <f>A915+'Energy Balance'!$N$7</f>
        <v>914</v>
      </c>
      <c r="B916" s="18">
        <f t="shared" si="1"/>
        <v>9.660357718</v>
      </c>
      <c r="C916" s="13">
        <f t="shared" si="2"/>
        <v>0</v>
      </c>
      <c r="D916" s="13">
        <f t="shared" si="3"/>
        <v>1</v>
      </c>
      <c r="O916" s="4"/>
      <c r="P916" s="4"/>
      <c r="Q916" s="4"/>
      <c r="R916" s="4"/>
    </row>
    <row r="917" ht="15.75" customHeight="1">
      <c r="A917" s="13">
        <f>A916+'Energy Balance'!$N$7</f>
        <v>915</v>
      </c>
      <c r="B917" s="18">
        <f t="shared" si="1"/>
        <v>9.670927037</v>
      </c>
      <c r="C917" s="13">
        <f t="shared" si="2"/>
        <v>0</v>
      </c>
      <c r="D917" s="13">
        <f t="shared" si="3"/>
        <v>1</v>
      </c>
      <c r="O917" s="4"/>
      <c r="P917" s="4"/>
      <c r="Q917" s="4"/>
      <c r="R917" s="4"/>
    </row>
    <row r="918" ht="15.75" customHeight="1">
      <c r="A918" s="13">
        <f>A917+'Energy Balance'!$N$7</f>
        <v>916</v>
      </c>
      <c r="B918" s="18">
        <f t="shared" si="1"/>
        <v>9.681496356</v>
      </c>
      <c r="C918" s="13">
        <f t="shared" si="2"/>
        <v>0</v>
      </c>
      <c r="D918" s="13">
        <f t="shared" si="3"/>
        <v>1</v>
      </c>
      <c r="O918" s="4"/>
      <c r="P918" s="4"/>
      <c r="Q918" s="4"/>
      <c r="R918" s="4"/>
    </row>
    <row r="919" ht="15.75" customHeight="1">
      <c r="A919" s="13">
        <f>A918+'Energy Balance'!$N$7</f>
        <v>917</v>
      </c>
      <c r="B919" s="18">
        <f t="shared" si="1"/>
        <v>9.692065675</v>
      </c>
      <c r="C919" s="13">
        <f t="shared" si="2"/>
        <v>0</v>
      </c>
      <c r="D919" s="13">
        <f t="shared" si="3"/>
        <v>1</v>
      </c>
      <c r="O919" s="4"/>
      <c r="P919" s="4"/>
      <c r="Q919" s="4"/>
      <c r="R919" s="4"/>
    </row>
    <row r="920" ht="15.75" customHeight="1">
      <c r="A920" s="13">
        <f>A919+'Energy Balance'!$N$7</f>
        <v>918</v>
      </c>
      <c r="B920" s="18">
        <f t="shared" si="1"/>
        <v>9.702634994</v>
      </c>
      <c r="C920" s="13">
        <f t="shared" si="2"/>
        <v>0</v>
      </c>
      <c r="D920" s="13">
        <f t="shared" si="3"/>
        <v>1</v>
      </c>
      <c r="O920" s="4"/>
      <c r="P920" s="4"/>
      <c r="Q920" s="4"/>
      <c r="R920" s="4"/>
    </row>
    <row r="921" ht="15.75" customHeight="1">
      <c r="A921" s="13">
        <f>A920+'Energy Balance'!$N$7</f>
        <v>919</v>
      </c>
      <c r="B921" s="18">
        <f t="shared" si="1"/>
        <v>9.713204313</v>
      </c>
      <c r="C921" s="13">
        <f t="shared" si="2"/>
        <v>0</v>
      </c>
      <c r="D921" s="13">
        <f t="shared" si="3"/>
        <v>1</v>
      </c>
      <c r="O921" s="4"/>
      <c r="P921" s="4"/>
      <c r="Q921" s="4"/>
      <c r="R921" s="4"/>
    </row>
    <row r="922" ht="15.75" customHeight="1">
      <c r="A922" s="13">
        <f>A921+'Energy Balance'!$N$7</f>
        <v>920</v>
      </c>
      <c r="B922" s="18">
        <f t="shared" si="1"/>
        <v>9.723773633</v>
      </c>
      <c r="C922" s="13">
        <f t="shared" si="2"/>
        <v>0</v>
      </c>
      <c r="D922" s="13">
        <f t="shared" si="3"/>
        <v>1</v>
      </c>
      <c r="O922" s="4"/>
      <c r="P922" s="4"/>
      <c r="Q922" s="4"/>
      <c r="R922" s="4"/>
    </row>
    <row r="923" ht="15.75" customHeight="1">
      <c r="A923" s="13">
        <f>A922+'Energy Balance'!$N$7</f>
        <v>921</v>
      </c>
      <c r="B923" s="18">
        <f t="shared" si="1"/>
        <v>9.734342952</v>
      </c>
      <c r="C923" s="13">
        <f t="shared" si="2"/>
        <v>0</v>
      </c>
      <c r="D923" s="13">
        <f t="shared" si="3"/>
        <v>1</v>
      </c>
      <c r="O923" s="4"/>
      <c r="P923" s="4"/>
      <c r="Q923" s="4"/>
      <c r="R923" s="4"/>
    </row>
    <row r="924" ht="15.75" customHeight="1">
      <c r="A924" s="13">
        <f>A923+'Energy Balance'!$N$7</f>
        <v>922</v>
      </c>
      <c r="B924" s="18">
        <f t="shared" si="1"/>
        <v>9.744912271</v>
      </c>
      <c r="C924" s="13">
        <f t="shared" si="2"/>
        <v>0</v>
      </c>
      <c r="D924" s="13">
        <f t="shared" si="3"/>
        <v>1</v>
      </c>
      <c r="O924" s="4"/>
      <c r="P924" s="4"/>
      <c r="Q924" s="4"/>
      <c r="R924" s="4"/>
    </row>
    <row r="925" ht="15.75" customHeight="1">
      <c r="A925" s="13">
        <f>A924+'Energy Balance'!$N$7</f>
        <v>923</v>
      </c>
      <c r="B925" s="18">
        <f t="shared" si="1"/>
        <v>9.75548159</v>
      </c>
      <c r="C925" s="13">
        <f t="shared" si="2"/>
        <v>0</v>
      </c>
      <c r="D925" s="13">
        <f t="shared" si="3"/>
        <v>1</v>
      </c>
      <c r="O925" s="4"/>
      <c r="P925" s="4"/>
      <c r="Q925" s="4"/>
      <c r="R925" s="4"/>
    </row>
    <row r="926" ht="15.75" customHeight="1">
      <c r="A926" s="13">
        <f>A925+'Energy Balance'!$N$7</f>
        <v>924</v>
      </c>
      <c r="B926" s="18">
        <f t="shared" si="1"/>
        <v>9.766050909</v>
      </c>
      <c r="C926" s="13">
        <f t="shared" si="2"/>
        <v>0</v>
      </c>
      <c r="D926" s="13">
        <f t="shared" si="3"/>
        <v>1</v>
      </c>
      <c r="O926" s="4"/>
      <c r="P926" s="4"/>
      <c r="Q926" s="4"/>
      <c r="R926" s="4"/>
    </row>
    <row r="927" ht="15.75" customHeight="1">
      <c r="A927" s="13">
        <f>A926+'Energy Balance'!$N$7</f>
        <v>925</v>
      </c>
      <c r="B927" s="18">
        <f t="shared" si="1"/>
        <v>9.776620228</v>
      </c>
      <c r="C927" s="13">
        <f t="shared" si="2"/>
        <v>0</v>
      </c>
      <c r="D927" s="13">
        <f t="shared" si="3"/>
        <v>1</v>
      </c>
      <c r="O927" s="4"/>
      <c r="P927" s="4"/>
      <c r="Q927" s="4"/>
      <c r="R927" s="4"/>
    </row>
    <row r="928" ht="15.75" customHeight="1">
      <c r="A928" s="13">
        <f>A927+'Energy Balance'!$N$7</f>
        <v>926</v>
      </c>
      <c r="B928" s="18">
        <f t="shared" si="1"/>
        <v>9.787189548</v>
      </c>
      <c r="C928" s="13">
        <f t="shared" si="2"/>
        <v>0</v>
      </c>
      <c r="D928" s="13">
        <f t="shared" si="3"/>
        <v>1</v>
      </c>
      <c r="O928" s="4"/>
      <c r="P928" s="4"/>
      <c r="Q928" s="4"/>
      <c r="R928" s="4"/>
    </row>
    <row r="929" ht="15.75" customHeight="1">
      <c r="A929" s="13">
        <f>A928+'Energy Balance'!$N$7</f>
        <v>927</v>
      </c>
      <c r="B929" s="18">
        <f t="shared" si="1"/>
        <v>9.797758867</v>
      </c>
      <c r="C929" s="13">
        <f t="shared" si="2"/>
        <v>0</v>
      </c>
      <c r="D929" s="13">
        <f t="shared" si="3"/>
        <v>1</v>
      </c>
      <c r="O929" s="4"/>
      <c r="P929" s="4"/>
      <c r="Q929" s="4"/>
      <c r="R929" s="4"/>
    </row>
    <row r="930" ht="15.75" customHeight="1">
      <c r="A930" s="13">
        <f>A929+'Energy Balance'!$N$7</f>
        <v>928</v>
      </c>
      <c r="B930" s="18">
        <f t="shared" si="1"/>
        <v>9.808328186</v>
      </c>
      <c r="C930" s="13">
        <f t="shared" si="2"/>
        <v>0</v>
      </c>
      <c r="D930" s="13">
        <f t="shared" si="3"/>
        <v>1</v>
      </c>
      <c r="O930" s="4"/>
      <c r="P930" s="4"/>
      <c r="Q930" s="4"/>
      <c r="R930" s="4"/>
    </row>
    <row r="931" ht="15.75" customHeight="1">
      <c r="A931" s="13">
        <f>A930+'Energy Balance'!$N$7</f>
        <v>929</v>
      </c>
      <c r="B931" s="18">
        <f t="shared" si="1"/>
        <v>9.818897505</v>
      </c>
      <c r="C931" s="13">
        <f t="shared" si="2"/>
        <v>0</v>
      </c>
      <c r="D931" s="13">
        <f t="shared" si="3"/>
        <v>1</v>
      </c>
      <c r="O931" s="4"/>
      <c r="P931" s="4"/>
      <c r="Q931" s="4"/>
      <c r="R931" s="4"/>
    </row>
    <row r="932" ht="15.75" customHeight="1">
      <c r="A932" s="13">
        <f>A931+'Energy Balance'!$N$7</f>
        <v>930</v>
      </c>
      <c r="B932" s="18">
        <f t="shared" si="1"/>
        <v>9.829466824</v>
      </c>
      <c r="C932" s="13">
        <f t="shared" si="2"/>
        <v>0</v>
      </c>
      <c r="D932" s="13">
        <f t="shared" si="3"/>
        <v>1</v>
      </c>
      <c r="O932" s="4"/>
      <c r="P932" s="4"/>
      <c r="Q932" s="4"/>
      <c r="R932" s="4"/>
    </row>
    <row r="933" ht="15.75" customHeight="1">
      <c r="A933" s="13">
        <f>A932+'Energy Balance'!$N$7</f>
        <v>931</v>
      </c>
      <c r="B933" s="18">
        <f t="shared" si="1"/>
        <v>9.840036143</v>
      </c>
      <c r="C933" s="13">
        <f t="shared" si="2"/>
        <v>0</v>
      </c>
      <c r="D933" s="13">
        <f t="shared" si="3"/>
        <v>1</v>
      </c>
      <c r="O933" s="4"/>
      <c r="P933" s="4"/>
      <c r="Q933" s="4"/>
      <c r="R933" s="4"/>
    </row>
    <row r="934" ht="15.75" customHeight="1">
      <c r="A934" s="13">
        <f>A933+'Energy Balance'!$N$7</f>
        <v>932</v>
      </c>
      <c r="B934" s="18">
        <f t="shared" si="1"/>
        <v>9.850605463</v>
      </c>
      <c r="C934" s="13">
        <f t="shared" si="2"/>
        <v>0</v>
      </c>
      <c r="D934" s="13">
        <f t="shared" si="3"/>
        <v>1</v>
      </c>
      <c r="O934" s="4"/>
      <c r="P934" s="4"/>
      <c r="Q934" s="4"/>
      <c r="R934" s="4"/>
    </row>
    <row r="935" ht="15.75" customHeight="1">
      <c r="A935" s="13">
        <f>A934+'Energy Balance'!$N$7</f>
        <v>933</v>
      </c>
      <c r="B935" s="18">
        <f t="shared" si="1"/>
        <v>9.861174782</v>
      </c>
      <c r="C935" s="13">
        <f t="shared" si="2"/>
        <v>0</v>
      </c>
      <c r="D935" s="13">
        <f t="shared" si="3"/>
        <v>1</v>
      </c>
      <c r="O935" s="4"/>
      <c r="P935" s="4"/>
      <c r="Q935" s="4"/>
      <c r="R935" s="4"/>
    </row>
    <row r="936" ht="15.75" customHeight="1">
      <c r="A936" s="13">
        <f>A935+'Energy Balance'!$N$7</f>
        <v>934</v>
      </c>
      <c r="B936" s="18">
        <f t="shared" si="1"/>
        <v>9.871744101</v>
      </c>
      <c r="C936" s="13">
        <f t="shared" si="2"/>
        <v>0</v>
      </c>
      <c r="D936" s="13">
        <f t="shared" si="3"/>
        <v>1</v>
      </c>
      <c r="O936" s="4"/>
      <c r="P936" s="4"/>
      <c r="Q936" s="4"/>
      <c r="R936" s="4"/>
    </row>
    <row r="937" ht="15.75" customHeight="1">
      <c r="A937" s="13">
        <f>A936+'Energy Balance'!$N$7</f>
        <v>935</v>
      </c>
      <c r="B937" s="18">
        <f t="shared" si="1"/>
        <v>9.88231342</v>
      </c>
      <c r="C937" s="13">
        <f t="shared" si="2"/>
        <v>0</v>
      </c>
      <c r="D937" s="13">
        <f t="shared" si="3"/>
        <v>1</v>
      </c>
      <c r="O937" s="4"/>
      <c r="P937" s="4"/>
      <c r="Q937" s="4"/>
      <c r="R937" s="4"/>
    </row>
    <row r="938" ht="15.75" customHeight="1">
      <c r="A938" s="13">
        <f>A937+'Energy Balance'!$N$7</f>
        <v>936</v>
      </c>
      <c r="B938" s="18">
        <f t="shared" si="1"/>
        <v>9.892882739</v>
      </c>
      <c r="C938" s="13">
        <f t="shared" si="2"/>
        <v>0</v>
      </c>
      <c r="D938" s="13">
        <f t="shared" si="3"/>
        <v>1</v>
      </c>
      <c r="O938" s="4"/>
      <c r="P938" s="4"/>
      <c r="Q938" s="4"/>
      <c r="R938" s="4"/>
    </row>
    <row r="939" ht="15.75" customHeight="1">
      <c r="A939" s="13">
        <f>A938+'Energy Balance'!$N$7</f>
        <v>937</v>
      </c>
      <c r="B939" s="18">
        <f t="shared" si="1"/>
        <v>9.903452058</v>
      </c>
      <c r="C939" s="13">
        <f t="shared" si="2"/>
        <v>0</v>
      </c>
      <c r="D939" s="13">
        <f t="shared" si="3"/>
        <v>1</v>
      </c>
      <c r="O939" s="4"/>
      <c r="P939" s="4"/>
      <c r="Q939" s="4"/>
      <c r="R939" s="4"/>
    </row>
    <row r="940" ht="15.75" customHeight="1">
      <c r="A940" s="13">
        <f>A939+'Energy Balance'!$N$7</f>
        <v>938</v>
      </c>
      <c r="B940" s="18">
        <f t="shared" si="1"/>
        <v>9.914021378</v>
      </c>
      <c r="C940" s="13">
        <f t="shared" si="2"/>
        <v>0</v>
      </c>
      <c r="D940" s="13">
        <f t="shared" si="3"/>
        <v>1</v>
      </c>
      <c r="O940" s="4"/>
      <c r="P940" s="4"/>
      <c r="Q940" s="4"/>
      <c r="R940" s="4"/>
    </row>
    <row r="941" ht="15.75" customHeight="1">
      <c r="A941" s="13">
        <f>A940+'Energy Balance'!$N$7</f>
        <v>939</v>
      </c>
      <c r="B941" s="18">
        <f t="shared" si="1"/>
        <v>9.924590697</v>
      </c>
      <c r="C941" s="13">
        <f t="shared" si="2"/>
        <v>0</v>
      </c>
      <c r="D941" s="13">
        <f t="shared" si="3"/>
        <v>1</v>
      </c>
      <c r="O941" s="4"/>
      <c r="P941" s="4"/>
      <c r="Q941" s="4"/>
      <c r="R941" s="4"/>
    </row>
    <row r="942" ht="15.75" customHeight="1">
      <c r="A942" s="13">
        <f>A941+'Energy Balance'!$N$7</f>
        <v>940</v>
      </c>
      <c r="B942" s="18">
        <f t="shared" si="1"/>
        <v>9.935160016</v>
      </c>
      <c r="C942" s="13">
        <f t="shared" si="2"/>
        <v>0</v>
      </c>
      <c r="D942" s="13">
        <f t="shared" si="3"/>
        <v>1</v>
      </c>
      <c r="O942" s="4"/>
      <c r="P942" s="4"/>
      <c r="Q942" s="4"/>
      <c r="R942" s="4"/>
    </row>
    <row r="943" ht="15.75" customHeight="1">
      <c r="A943" s="13">
        <f>A942+'Energy Balance'!$N$7</f>
        <v>941</v>
      </c>
      <c r="B943" s="18">
        <f t="shared" si="1"/>
        <v>9.945729335</v>
      </c>
      <c r="C943" s="13">
        <f t="shared" si="2"/>
        <v>0</v>
      </c>
      <c r="D943" s="13">
        <f t="shared" si="3"/>
        <v>1</v>
      </c>
      <c r="O943" s="4"/>
      <c r="P943" s="4"/>
      <c r="Q943" s="4"/>
      <c r="R943" s="4"/>
    </row>
    <row r="944" ht="15.75" customHeight="1">
      <c r="A944" s="13">
        <f>A943+'Energy Balance'!$N$7</f>
        <v>942</v>
      </c>
      <c r="B944" s="18">
        <f t="shared" si="1"/>
        <v>9.956298654</v>
      </c>
      <c r="C944" s="13">
        <f t="shared" si="2"/>
        <v>0</v>
      </c>
      <c r="D944" s="13">
        <f t="shared" si="3"/>
        <v>1</v>
      </c>
      <c r="O944" s="4"/>
      <c r="P944" s="4"/>
      <c r="Q944" s="4"/>
      <c r="R944" s="4"/>
    </row>
    <row r="945" ht="15.75" customHeight="1">
      <c r="A945" s="13">
        <f>A944+'Energy Balance'!$N$7</f>
        <v>943</v>
      </c>
      <c r="B945" s="18">
        <f t="shared" si="1"/>
        <v>9.966867973</v>
      </c>
      <c r="C945" s="13">
        <f t="shared" si="2"/>
        <v>0</v>
      </c>
      <c r="D945" s="13">
        <f t="shared" si="3"/>
        <v>1</v>
      </c>
      <c r="O945" s="4"/>
      <c r="P945" s="4"/>
      <c r="Q945" s="4"/>
      <c r="R945" s="4"/>
    </row>
    <row r="946" ht="15.75" customHeight="1">
      <c r="A946" s="13">
        <f>A945+'Energy Balance'!$N$7</f>
        <v>944</v>
      </c>
      <c r="B946" s="18">
        <f t="shared" si="1"/>
        <v>9.977437293</v>
      </c>
      <c r="C946" s="13">
        <f t="shared" si="2"/>
        <v>0</v>
      </c>
      <c r="D946" s="13">
        <f t="shared" si="3"/>
        <v>1</v>
      </c>
      <c r="O946" s="4"/>
      <c r="P946" s="4"/>
      <c r="Q946" s="4"/>
      <c r="R946" s="4"/>
    </row>
    <row r="947" ht="15.75" customHeight="1">
      <c r="A947" s="13">
        <f>A946+'Energy Balance'!$N$7</f>
        <v>945</v>
      </c>
      <c r="B947" s="18">
        <f t="shared" si="1"/>
        <v>9.988006612</v>
      </c>
      <c r="C947" s="13">
        <f t="shared" si="2"/>
        <v>0</v>
      </c>
      <c r="D947" s="13">
        <f t="shared" si="3"/>
        <v>1</v>
      </c>
      <c r="O947" s="4"/>
      <c r="P947" s="4"/>
      <c r="Q947" s="4"/>
      <c r="R947" s="4"/>
    </row>
    <row r="948" ht="15.75" customHeight="1">
      <c r="A948" s="13">
        <f>A947+'Energy Balance'!$N$7</f>
        <v>946</v>
      </c>
      <c r="B948" s="18">
        <f t="shared" si="1"/>
        <v>9.998575931</v>
      </c>
      <c r="C948" s="13">
        <f t="shared" si="2"/>
        <v>0</v>
      </c>
      <c r="D948" s="13">
        <f t="shared" si="3"/>
        <v>1</v>
      </c>
      <c r="O948" s="4"/>
      <c r="P948" s="4"/>
      <c r="Q948" s="4"/>
      <c r="R948" s="4"/>
    </row>
    <row r="949" ht="15.75" customHeight="1">
      <c r="A949" s="13">
        <f>A948+'Energy Balance'!$N$7</f>
        <v>947</v>
      </c>
      <c r="B949" s="18">
        <f t="shared" si="1"/>
        <v>10.00914525</v>
      </c>
      <c r="C949" s="13">
        <f t="shared" si="2"/>
        <v>1</v>
      </c>
      <c r="D949" s="13">
        <f t="shared" si="3"/>
        <v>0</v>
      </c>
      <c r="O949" s="4"/>
      <c r="P949" s="4"/>
      <c r="Q949" s="4"/>
      <c r="R949" s="4"/>
    </row>
    <row r="950" ht="15.75" customHeight="1">
      <c r="A950" s="13">
        <f>A949+'Energy Balance'!$N$7</f>
        <v>948</v>
      </c>
      <c r="B950" s="18">
        <f t="shared" si="1"/>
        <v>10.01971457</v>
      </c>
      <c r="C950" s="13">
        <f t="shared" si="2"/>
        <v>1</v>
      </c>
      <c r="D950" s="13">
        <f t="shared" si="3"/>
        <v>0</v>
      </c>
      <c r="O950" s="4"/>
      <c r="P950" s="4"/>
      <c r="Q950" s="4"/>
      <c r="R950" s="4"/>
    </row>
    <row r="951" ht="15.75" customHeight="1">
      <c r="A951" s="13">
        <f>A950+'Energy Balance'!$N$7</f>
        <v>949</v>
      </c>
      <c r="B951" s="18">
        <f t="shared" si="1"/>
        <v>10.03028389</v>
      </c>
      <c r="C951" s="13">
        <f t="shared" si="2"/>
        <v>1</v>
      </c>
      <c r="D951" s="13">
        <f t="shared" si="3"/>
        <v>0</v>
      </c>
      <c r="O951" s="4"/>
      <c r="P951" s="4"/>
      <c r="Q951" s="4"/>
      <c r="R951" s="4"/>
    </row>
    <row r="952" ht="15.75" customHeight="1">
      <c r="A952" s="13">
        <f>A951+'Energy Balance'!$N$7</f>
        <v>950</v>
      </c>
      <c r="B952" s="18">
        <f t="shared" si="1"/>
        <v>10.04085321</v>
      </c>
      <c r="C952" s="13">
        <f t="shared" si="2"/>
        <v>1</v>
      </c>
      <c r="D952" s="13">
        <f t="shared" si="3"/>
        <v>0</v>
      </c>
      <c r="O952" s="4"/>
      <c r="P952" s="4"/>
      <c r="Q952" s="4"/>
      <c r="R952" s="4"/>
    </row>
    <row r="953" ht="15.75" customHeight="1">
      <c r="A953" s="13">
        <f>A952+'Energy Balance'!$N$7</f>
        <v>951</v>
      </c>
      <c r="B953" s="18">
        <f t="shared" si="1"/>
        <v>10.05142253</v>
      </c>
      <c r="C953" s="13">
        <f t="shared" si="2"/>
        <v>1</v>
      </c>
      <c r="D953" s="13">
        <f t="shared" si="3"/>
        <v>0</v>
      </c>
      <c r="O953" s="4"/>
      <c r="P953" s="4"/>
      <c r="Q953" s="4"/>
      <c r="R953" s="4"/>
    </row>
    <row r="954" ht="15.75" customHeight="1">
      <c r="A954" s="13">
        <f>A953+'Energy Balance'!$N$7</f>
        <v>952</v>
      </c>
      <c r="B954" s="18">
        <f t="shared" si="1"/>
        <v>10.06199185</v>
      </c>
      <c r="C954" s="13">
        <f t="shared" si="2"/>
        <v>1</v>
      </c>
      <c r="D954" s="13">
        <f t="shared" si="3"/>
        <v>0</v>
      </c>
      <c r="O954" s="4"/>
      <c r="P954" s="4"/>
      <c r="Q954" s="4"/>
      <c r="R954" s="4"/>
    </row>
    <row r="955" ht="15.75" customHeight="1">
      <c r="A955" s="13">
        <f>A954+'Energy Balance'!$N$7</f>
        <v>953</v>
      </c>
      <c r="B955" s="18">
        <f t="shared" si="1"/>
        <v>10.07256117</v>
      </c>
      <c r="C955" s="13">
        <f t="shared" si="2"/>
        <v>1</v>
      </c>
      <c r="D955" s="13">
        <f t="shared" si="3"/>
        <v>0</v>
      </c>
      <c r="O955" s="4"/>
      <c r="P955" s="4"/>
      <c r="Q955" s="4"/>
      <c r="R955" s="4"/>
    </row>
    <row r="956" ht="15.75" customHeight="1">
      <c r="A956" s="13">
        <f>A955+'Energy Balance'!$N$7</f>
        <v>954</v>
      </c>
      <c r="B956" s="18">
        <f t="shared" si="1"/>
        <v>10.08313048</v>
      </c>
      <c r="C956" s="13">
        <f t="shared" si="2"/>
        <v>1</v>
      </c>
      <c r="D956" s="13">
        <f t="shared" si="3"/>
        <v>0</v>
      </c>
      <c r="O956" s="4"/>
      <c r="P956" s="4"/>
      <c r="Q956" s="4"/>
      <c r="R956" s="4"/>
    </row>
    <row r="957" ht="15.75" customHeight="1">
      <c r="A957" s="13">
        <f>A956+'Energy Balance'!$N$7</f>
        <v>955</v>
      </c>
      <c r="B957" s="18">
        <f t="shared" si="1"/>
        <v>10.0936998</v>
      </c>
      <c r="C957" s="13">
        <f t="shared" si="2"/>
        <v>1</v>
      </c>
      <c r="D957" s="13">
        <f t="shared" si="3"/>
        <v>0</v>
      </c>
      <c r="O957" s="4"/>
      <c r="P957" s="4"/>
      <c r="Q957" s="4"/>
      <c r="R957" s="4"/>
    </row>
    <row r="958" ht="15.75" customHeight="1">
      <c r="A958" s="13">
        <f>A957+'Energy Balance'!$N$7</f>
        <v>956</v>
      </c>
      <c r="B958" s="18">
        <f t="shared" si="1"/>
        <v>10.10426912</v>
      </c>
      <c r="C958" s="13">
        <f t="shared" si="2"/>
        <v>1</v>
      </c>
      <c r="D958" s="13">
        <f t="shared" si="3"/>
        <v>0</v>
      </c>
      <c r="O958" s="4"/>
      <c r="P958" s="4"/>
      <c r="Q958" s="4"/>
      <c r="R958" s="4"/>
    </row>
    <row r="959" ht="15.75" customHeight="1">
      <c r="A959" s="13">
        <f>A958+'Energy Balance'!$N$7</f>
        <v>957</v>
      </c>
      <c r="B959" s="18">
        <f t="shared" si="1"/>
        <v>10.11483844</v>
      </c>
      <c r="C959" s="13">
        <f t="shared" si="2"/>
        <v>1</v>
      </c>
      <c r="D959" s="13">
        <f t="shared" si="3"/>
        <v>0</v>
      </c>
      <c r="O959" s="4"/>
      <c r="P959" s="4"/>
      <c r="Q959" s="4"/>
      <c r="R959" s="4"/>
    </row>
    <row r="960" ht="15.75" customHeight="1">
      <c r="A960" s="13">
        <f>A959+'Energy Balance'!$N$7</f>
        <v>958</v>
      </c>
      <c r="B960" s="18">
        <f t="shared" si="1"/>
        <v>10.12540776</v>
      </c>
      <c r="C960" s="13">
        <f t="shared" si="2"/>
        <v>1</v>
      </c>
      <c r="D960" s="13">
        <f t="shared" si="3"/>
        <v>0</v>
      </c>
      <c r="O960" s="4"/>
      <c r="P960" s="4"/>
      <c r="Q960" s="4"/>
      <c r="R960" s="4"/>
    </row>
    <row r="961" ht="15.75" customHeight="1">
      <c r="A961" s="13">
        <f>A960+'Energy Balance'!$N$7</f>
        <v>959</v>
      </c>
      <c r="B961" s="18">
        <f t="shared" si="1"/>
        <v>10.13597708</v>
      </c>
      <c r="C961" s="13">
        <f t="shared" si="2"/>
        <v>1</v>
      </c>
      <c r="D961" s="13">
        <f t="shared" si="3"/>
        <v>0</v>
      </c>
      <c r="O961" s="4"/>
      <c r="P961" s="4"/>
      <c r="Q961" s="4"/>
      <c r="R961" s="4"/>
    </row>
    <row r="962" ht="15.75" customHeight="1">
      <c r="A962" s="13">
        <f>A961+'Energy Balance'!$N$7</f>
        <v>960</v>
      </c>
      <c r="B962" s="18">
        <f t="shared" si="1"/>
        <v>10.1465464</v>
      </c>
      <c r="C962" s="13">
        <f t="shared" si="2"/>
        <v>1</v>
      </c>
      <c r="D962" s="13">
        <f t="shared" si="3"/>
        <v>0</v>
      </c>
      <c r="O962" s="4"/>
      <c r="P962" s="4"/>
      <c r="Q962" s="4"/>
      <c r="R962" s="4"/>
    </row>
    <row r="963" ht="15.75" customHeight="1">
      <c r="A963" s="13">
        <f>A962+'Energy Balance'!$N$7</f>
        <v>961</v>
      </c>
      <c r="B963" s="18">
        <f t="shared" si="1"/>
        <v>10.15711572</v>
      </c>
      <c r="C963" s="13">
        <f t="shared" si="2"/>
        <v>1</v>
      </c>
      <c r="D963" s="13">
        <f t="shared" si="3"/>
        <v>0</v>
      </c>
      <c r="O963" s="4"/>
      <c r="P963" s="4"/>
      <c r="Q963" s="4"/>
      <c r="R963" s="4"/>
    </row>
    <row r="964" ht="15.75" customHeight="1">
      <c r="A964" s="13">
        <f>A963+'Energy Balance'!$N$7</f>
        <v>962</v>
      </c>
      <c r="B964" s="18">
        <f t="shared" si="1"/>
        <v>10.16768504</v>
      </c>
      <c r="C964" s="13">
        <f t="shared" si="2"/>
        <v>1</v>
      </c>
      <c r="D964" s="13">
        <f t="shared" si="3"/>
        <v>0</v>
      </c>
      <c r="O964" s="4"/>
      <c r="P964" s="4"/>
      <c r="Q964" s="4"/>
      <c r="R964" s="4"/>
    </row>
    <row r="965" ht="15.75" customHeight="1">
      <c r="A965" s="13">
        <f>A964+'Energy Balance'!$N$7</f>
        <v>963</v>
      </c>
      <c r="B965" s="18">
        <f t="shared" si="1"/>
        <v>10.17825436</v>
      </c>
      <c r="C965" s="13">
        <f t="shared" si="2"/>
        <v>1</v>
      </c>
      <c r="D965" s="13">
        <f t="shared" si="3"/>
        <v>0</v>
      </c>
      <c r="O965" s="4"/>
      <c r="P965" s="4"/>
      <c r="Q965" s="4"/>
      <c r="R965" s="4"/>
    </row>
    <row r="966" ht="15.75" customHeight="1">
      <c r="A966" s="13">
        <f>A965+'Energy Balance'!$N$7</f>
        <v>964</v>
      </c>
      <c r="B966" s="18">
        <f t="shared" si="1"/>
        <v>10.18882368</v>
      </c>
      <c r="C966" s="13">
        <f t="shared" si="2"/>
        <v>1</v>
      </c>
      <c r="D966" s="13">
        <f t="shared" si="3"/>
        <v>0</v>
      </c>
      <c r="O966" s="4"/>
      <c r="P966" s="4"/>
      <c r="Q966" s="4"/>
      <c r="R966" s="4"/>
    </row>
    <row r="967" ht="15.75" customHeight="1">
      <c r="A967" s="13">
        <f>A966+'Energy Balance'!$N$7</f>
        <v>965</v>
      </c>
      <c r="B967" s="18">
        <f t="shared" si="1"/>
        <v>10.199393</v>
      </c>
      <c r="C967" s="13">
        <f t="shared" si="2"/>
        <v>1</v>
      </c>
      <c r="D967" s="13">
        <f t="shared" si="3"/>
        <v>0</v>
      </c>
      <c r="O967" s="4"/>
      <c r="P967" s="4"/>
      <c r="Q967" s="4"/>
      <c r="R967" s="4"/>
    </row>
    <row r="968" ht="15.75" customHeight="1">
      <c r="A968" s="13">
        <f>A967+'Energy Balance'!$N$7</f>
        <v>966</v>
      </c>
      <c r="B968" s="18">
        <f t="shared" si="1"/>
        <v>10.20996231</v>
      </c>
      <c r="C968" s="13">
        <f t="shared" si="2"/>
        <v>1</v>
      </c>
      <c r="D968" s="13">
        <f t="shared" si="3"/>
        <v>0</v>
      </c>
      <c r="O968" s="4"/>
      <c r="P968" s="4"/>
      <c r="Q968" s="4"/>
      <c r="R968" s="4"/>
    </row>
    <row r="969" ht="15.75" customHeight="1">
      <c r="A969" s="13">
        <f>A968+'Energy Balance'!$N$7</f>
        <v>967</v>
      </c>
      <c r="B969" s="18">
        <f t="shared" si="1"/>
        <v>10.22053163</v>
      </c>
      <c r="C969" s="13">
        <f t="shared" si="2"/>
        <v>1</v>
      </c>
      <c r="D969" s="13">
        <f t="shared" si="3"/>
        <v>0</v>
      </c>
      <c r="O969" s="4"/>
      <c r="P969" s="4"/>
      <c r="Q969" s="4"/>
      <c r="R969" s="4"/>
    </row>
    <row r="970" ht="15.75" customHeight="1">
      <c r="A970" s="13">
        <f>A969+'Energy Balance'!$N$7</f>
        <v>968</v>
      </c>
      <c r="B970" s="18">
        <f t="shared" si="1"/>
        <v>10.23110095</v>
      </c>
      <c r="C970" s="13">
        <f t="shared" si="2"/>
        <v>1</v>
      </c>
      <c r="D970" s="13">
        <f t="shared" si="3"/>
        <v>0</v>
      </c>
      <c r="O970" s="4"/>
      <c r="P970" s="4"/>
      <c r="Q970" s="4"/>
      <c r="R970" s="4"/>
    </row>
    <row r="971" ht="15.75" customHeight="1">
      <c r="A971" s="13">
        <f>A970+'Energy Balance'!$N$7</f>
        <v>969</v>
      </c>
      <c r="B971" s="18">
        <f t="shared" si="1"/>
        <v>10.24167027</v>
      </c>
      <c r="C971" s="13">
        <f t="shared" si="2"/>
        <v>1</v>
      </c>
      <c r="D971" s="13">
        <f t="shared" si="3"/>
        <v>0</v>
      </c>
      <c r="O971" s="4"/>
      <c r="P971" s="4"/>
      <c r="Q971" s="4"/>
      <c r="R971" s="4"/>
    </row>
    <row r="972" ht="15.75" customHeight="1">
      <c r="A972" s="13">
        <f>A971+'Energy Balance'!$N$7</f>
        <v>970</v>
      </c>
      <c r="B972" s="18">
        <f t="shared" si="1"/>
        <v>10.25223959</v>
      </c>
      <c r="C972" s="13">
        <f t="shared" si="2"/>
        <v>1</v>
      </c>
      <c r="D972" s="13">
        <f t="shared" si="3"/>
        <v>0</v>
      </c>
      <c r="O972" s="4"/>
      <c r="P972" s="4"/>
      <c r="Q972" s="4"/>
      <c r="R972" s="4"/>
    </row>
    <row r="973" ht="15.75" customHeight="1">
      <c r="A973" s="13">
        <f>A972+'Energy Balance'!$N$7</f>
        <v>971</v>
      </c>
      <c r="B973" s="18">
        <f t="shared" si="1"/>
        <v>10.26280891</v>
      </c>
      <c r="C973" s="13">
        <f t="shared" si="2"/>
        <v>1</v>
      </c>
      <c r="D973" s="13">
        <f t="shared" si="3"/>
        <v>0</v>
      </c>
      <c r="O973" s="4"/>
      <c r="P973" s="4"/>
      <c r="Q973" s="4"/>
      <c r="R973" s="4"/>
    </row>
    <row r="974" ht="15.75" customHeight="1">
      <c r="A974" s="13">
        <f>A973+'Energy Balance'!$N$7</f>
        <v>972</v>
      </c>
      <c r="B974" s="18">
        <f t="shared" si="1"/>
        <v>10.27337823</v>
      </c>
      <c r="C974" s="13">
        <f t="shared" si="2"/>
        <v>1</v>
      </c>
      <c r="D974" s="13">
        <f t="shared" si="3"/>
        <v>0</v>
      </c>
      <c r="O974" s="4"/>
      <c r="P974" s="4"/>
      <c r="Q974" s="4"/>
      <c r="R974" s="4"/>
    </row>
    <row r="975" ht="15.75" customHeight="1">
      <c r="A975" s="13">
        <f>A974+'Energy Balance'!$N$7</f>
        <v>973</v>
      </c>
      <c r="B975" s="18">
        <f t="shared" si="1"/>
        <v>10.28394755</v>
      </c>
      <c r="C975" s="13">
        <f t="shared" si="2"/>
        <v>1</v>
      </c>
      <c r="D975" s="13">
        <f t="shared" si="3"/>
        <v>0</v>
      </c>
      <c r="O975" s="4"/>
      <c r="P975" s="4"/>
      <c r="Q975" s="4"/>
      <c r="R975" s="4"/>
    </row>
    <row r="976" ht="15.75" customHeight="1">
      <c r="A976" s="13">
        <f>A975+'Energy Balance'!$N$7</f>
        <v>974</v>
      </c>
      <c r="B976" s="18">
        <f t="shared" si="1"/>
        <v>10.29451687</v>
      </c>
      <c r="C976" s="13">
        <f t="shared" si="2"/>
        <v>1</v>
      </c>
      <c r="D976" s="13">
        <f t="shared" si="3"/>
        <v>0</v>
      </c>
      <c r="O976" s="4"/>
      <c r="P976" s="4"/>
      <c r="Q976" s="4"/>
      <c r="R976" s="4"/>
    </row>
    <row r="977" ht="15.75" customHeight="1">
      <c r="A977" s="13">
        <f>A976+'Energy Balance'!$N$7</f>
        <v>975</v>
      </c>
      <c r="B977" s="18">
        <f t="shared" si="1"/>
        <v>10.30508619</v>
      </c>
      <c r="C977" s="13">
        <f t="shared" si="2"/>
        <v>1</v>
      </c>
      <c r="D977" s="13">
        <f t="shared" si="3"/>
        <v>0</v>
      </c>
      <c r="O977" s="4"/>
      <c r="P977" s="4"/>
      <c r="Q977" s="4"/>
      <c r="R977" s="4"/>
    </row>
    <row r="978" ht="15.75" customHeight="1">
      <c r="A978" s="13">
        <f>A977+'Energy Balance'!$N$7</f>
        <v>976</v>
      </c>
      <c r="B978" s="18">
        <f t="shared" si="1"/>
        <v>10.31565551</v>
      </c>
      <c r="C978" s="13">
        <f t="shared" si="2"/>
        <v>1</v>
      </c>
      <c r="D978" s="13">
        <f t="shared" si="3"/>
        <v>0</v>
      </c>
      <c r="O978" s="4"/>
      <c r="P978" s="4"/>
      <c r="Q978" s="4"/>
      <c r="R978" s="4"/>
    </row>
    <row r="979" ht="15.75" customHeight="1">
      <c r="A979" s="13">
        <f>A978+'Energy Balance'!$N$7</f>
        <v>977</v>
      </c>
      <c r="B979" s="18">
        <f t="shared" si="1"/>
        <v>10.32622483</v>
      </c>
      <c r="C979" s="13">
        <f t="shared" si="2"/>
        <v>1</v>
      </c>
      <c r="D979" s="13">
        <f t="shared" si="3"/>
        <v>0</v>
      </c>
      <c r="O979" s="4"/>
      <c r="P979" s="4"/>
      <c r="Q979" s="4"/>
      <c r="R979" s="4"/>
    </row>
    <row r="980" ht="15.75" customHeight="1">
      <c r="A980" s="13">
        <f>A979+'Energy Balance'!$N$7</f>
        <v>978</v>
      </c>
      <c r="B980" s="18">
        <f t="shared" si="1"/>
        <v>10.33679414</v>
      </c>
      <c r="C980" s="13">
        <f t="shared" si="2"/>
        <v>1</v>
      </c>
      <c r="D980" s="13">
        <f t="shared" si="3"/>
        <v>0</v>
      </c>
      <c r="O980" s="4"/>
      <c r="P980" s="4"/>
      <c r="Q980" s="4"/>
      <c r="R980" s="4"/>
    </row>
    <row r="981" ht="15.75" customHeight="1">
      <c r="A981" s="13">
        <f>A980+'Energy Balance'!$N$7</f>
        <v>979</v>
      </c>
      <c r="B981" s="18">
        <f t="shared" si="1"/>
        <v>10.34736346</v>
      </c>
      <c r="C981" s="13">
        <f t="shared" si="2"/>
        <v>1</v>
      </c>
      <c r="D981" s="13">
        <f t="shared" si="3"/>
        <v>0</v>
      </c>
      <c r="O981" s="4"/>
      <c r="P981" s="4"/>
      <c r="Q981" s="4"/>
      <c r="R981" s="4"/>
    </row>
    <row r="982" ht="15.75" customHeight="1">
      <c r="A982" s="13">
        <f>A981+'Energy Balance'!$N$7</f>
        <v>980</v>
      </c>
      <c r="B982" s="18">
        <f t="shared" si="1"/>
        <v>10.35793278</v>
      </c>
      <c r="C982" s="13">
        <f t="shared" si="2"/>
        <v>1</v>
      </c>
      <c r="D982" s="13">
        <f t="shared" si="3"/>
        <v>0</v>
      </c>
      <c r="O982" s="4"/>
      <c r="P982" s="4"/>
      <c r="Q982" s="4"/>
      <c r="R982" s="4"/>
    </row>
    <row r="983" ht="15.75" customHeight="1">
      <c r="A983" s="13">
        <f>A982+'Energy Balance'!$N$7</f>
        <v>981</v>
      </c>
      <c r="B983" s="18">
        <f t="shared" si="1"/>
        <v>10.3685021</v>
      </c>
      <c r="C983" s="13">
        <f t="shared" si="2"/>
        <v>1</v>
      </c>
      <c r="D983" s="13">
        <f t="shared" si="3"/>
        <v>0</v>
      </c>
      <c r="O983" s="4"/>
      <c r="P983" s="4"/>
      <c r="Q983" s="4"/>
      <c r="R983" s="4"/>
    </row>
    <row r="984" ht="15.75" customHeight="1">
      <c r="A984" s="13">
        <f>A983+'Energy Balance'!$N$7</f>
        <v>982</v>
      </c>
      <c r="B984" s="18">
        <f t="shared" si="1"/>
        <v>10.37907142</v>
      </c>
      <c r="C984" s="13">
        <f t="shared" si="2"/>
        <v>1</v>
      </c>
      <c r="D984" s="13">
        <f t="shared" si="3"/>
        <v>0</v>
      </c>
      <c r="O984" s="4"/>
      <c r="P984" s="4"/>
      <c r="Q984" s="4"/>
      <c r="R984" s="4"/>
    </row>
    <row r="985" ht="15.75" customHeight="1">
      <c r="A985" s="13">
        <f>A984+'Energy Balance'!$N$7</f>
        <v>983</v>
      </c>
      <c r="B985" s="18">
        <f t="shared" si="1"/>
        <v>10.38964074</v>
      </c>
      <c r="C985" s="13">
        <f t="shared" si="2"/>
        <v>1</v>
      </c>
      <c r="D985" s="13">
        <f t="shared" si="3"/>
        <v>0</v>
      </c>
      <c r="O985" s="4"/>
      <c r="P985" s="4"/>
      <c r="Q985" s="4"/>
      <c r="R985" s="4"/>
    </row>
    <row r="986" ht="15.75" customHeight="1">
      <c r="A986" s="13">
        <f>A985+'Energy Balance'!$N$7</f>
        <v>984</v>
      </c>
      <c r="B986" s="18">
        <f t="shared" si="1"/>
        <v>10.40021006</v>
      </c>
      <c r="C986" s="13">
        <f t="shared" si="2"/>
        <v>1</v>
      </c>
      <c r="D986" s="13">
        <f t="shared" si="3"/>
        <v>0</v>
      </c>
      <c r="O986" s="4"/>
      <c r="P986" s="4"/>
      <c r="Q986" s="4"/>
      <c r="R986" s="4"/>
    </row>
    <row r="987" ht="15.75" customHeight="1">
      <c r="A987" s="13">
        <f>A986+'Energy Balance'!$N$7</f>
        <v>985</v>
      </c>
      <c r="B987" s="18">
        <f t="shared" si="1"/>
        <v>10.41077938</v>
      </c>
      <c r="C987" s="13">
        <f t="shared" si="2"/>
        <v>1</v>
      </c>
      <c r="D987" s="13">
        <f t="shared" si="3"/>
        <v>0</v>
      </c>
      <c r="O987" s="4"/>
      <c r="P987" s="4"/>
      <c r="Q987" s="4"/>
      <c r="R987" s="4"/>
    </row>
    <row r="988" ht="15.75" customHeight="1">
      <c r="A988" s="13">
        <f>A987+'Energy Balance'!$N$7</f>
        <v>986</v>
      </c>
      <c r="B988" s="18">
        <f t="shared" si="1"/>
        <v>10.4213487</v>
      </c>
      <c r="C988" s="13">
        <f t="shared" si="2"/>
        <v>1</v>
      </c>
      <c r="D988" s="13">
        <f t="shared" si="3"/>
        <v>0</v>
      </c>
      <c r="O988" s="4"/>
      <c r="P988" s="4"/>
      <c r="Q988" s="4"/>
      <c r="R988" s="4"/>
    </row>
    <row r="989" ht="15.75" customHeight="1">
      <c r="A989" s="13">
        <f>A988+'Energy Balance'!$N$7</f>
        <v>987</v>
      </c>
      <c r="B989" s="18">
        <f t="shared" si="1"/>
        <v>10.43191802</v>
      </c>
      <c r="C989" s="13">
        <f t="shared" si="2"/>
        <v>1</v>
      </c>
      <c r="D989" s="13">
        <f t="shared" si="3"/>
        <v>0</v>
      </c>
      <c r="O989" s="4"/>
      <c r="P989" s="4"/>
      <c r="Q989" s="4"/>
      <c r="R989" s="4"/>
    </row>
    <row r="990" ht="15.75" customHeight="1">
      <c r="A990" s="13">
        <f>A989+'Energy Balance'!$N$7</f>
        <v>988</v>
      </c>
      <c r="B990" s="18">
        <f t="shared" si="1"/>
        <v>10.44248734</v>
      </c>
      <c r="C990" s="13">
        <f t="shared" si="2"/>
        <v>1</v>
      </c>
      <c r="D990" s="13">
        <f t="shared" si="3"/>
        <v>0</v>
      </c>
      <c r="O990" s="4"/>
      <c r="P990" s="4"/>
      <c r="Q990" s="4"/>
      <c r="R990" s="4"/>
    </row>
    <row r="991" ht="15.75" customHeight="1">
      <c r="A991" s="13">
        <f>A990+'Energy Balance'!$N$7</f>
        <v>989</v>
      </c>
      <c r="B991" s="18">
        <f t="shared" si="1"/>
        <v>10.45305666</v>
      </c>
      <c r="C991" s="13">
        <f t="shared" si="2"/>
        <v>1</v>
      </c>
      <c r="D991" s="13">
        <f t="shared" si="3"/>
        <v>0</v>
      </c>
      <c r="O991" s="4"/>
      <c r="P991" s="4"/>
      <c r="Q991" s="4"/>
      <c r="R991" s="4"/>
    </row>
    <row r="992" ht="15.75" customHeight="1">
      <c r="A992" s="13">
        <f>A991+'Energy Balance'!$N$7</f>
        <v>990</v>
      </c>
      <c r="B992" s="18">
        <f t="shared" si="1"/>
        <v>10.46362597</v>
      </c>
      <c r="C992" s="13">
        <f t="shared" si="2"/>
        <v>1</v>
      </c>
      <c r="D992" s="13">
        <f t="shared" si="3"/>
        <v>0</v>
      </c>
      <c r="O992" s="4"/>
      <c r="P992" s="4"/>
      <c r="Q992" s="4"/>
      <c r="R992" s="4"/>
    </row>
    <row r="993" ht="15.75" customHeight="1">
      <c r="A993" s="13">
        <f>A992+'Energy Balance'!$N$7</f>
        <v>991</v>
      </c>
      <c r="B993" s="18">
        <f t="shared" si="1"/>
        <v>10.47419529</v>
      </c>
      <c r="C993" s="13">
        <f t="shared" si="2"/>
        <v>1</v>
      </c>
      <c r="D993" s="13">
        <f t="shared" si="3"/>
        <v>0</v>
      </c>
      <c r="O993" s="4"/>
      <c r="P993" s="4"/>
      <c r="Q993" s="4"/>
      <c r="R993" s="4"/>
    </row>
    <row r="994" ht="15.75" customHeight="1">
      <c r="A994" s="13">
        <f>A993+'Energy Balance'!$N$7</f>
        <v>992</v>
      </c>
      <c r="B994" s="18">
        <f t="shared" si="1"/>
        <v>10.48476461</v>
      </c>
      <c r="C994" s="13">
        <f t="shared" si="2"/>
        <v>1</v>
      </c>
      <c r="D994" s="13">
        <f t="shared" si="3"/>
        <v>0</v>
      </c>
      <c r="O994" s="4"/>
      <c r="P994" s="4"/>
      <c r="Q994" s="4"/>
      <c r="R994" s="4"/>
    </row>
    <row r="995" ht="15.75" customHeight="1">
      <c r="A995" s="13">
        <f>A994+'Energy Balance'!$N$7</f>
        <v>993</v>
      </c>
      <c r="B995" s="18">
        <f t="shared" si="1"/>
        <v>10.49533393</v>
      </c>
      <c r="C995" s="13">
        <f t="shared" si="2"/>
        <v>1</v>
      </c>
      <c r="D995" s="13">
        <f t="shared" si="3"/>
        <v>0</v>
      </c>
      <c r="O995" s="4"/>
      <c r="P995" s="4"/>
      <c r="Q995" s="4"/>
      <c r="R995" s="4"/>
    </row>
    <row r="996" ht="15.75" customHeight="1">
      <c r="A996" s="13">
        <f>A995+'Energy Balance'!$N$7</f>
        <v>994</v>
      </c>
      <c r="B996" s="18">
        <f t="shared" si="1"/>
        <v>10.50590325</v>
      </c>
      <c r="C996" s="13">
        <f t="shared" si="2"/>
        <v>1</v>
      </c>
      <c r="D996" s="13">
        <f t="shared" si="3"/>
        <v>0</v>
      </c>
      <c r="O996" s="4"/>
      <c r="P996" s="4"/>
      <c r="Q996" s="4"/>
      <c r="R996" s="4"/>
    </row>
    <row r="997" ht="15.75" customHeight="1">
      <c r="A997" s="13">
        <f>A996+'Energy Balance'!$N$7</f>
        <v>995</v>
      </c>
      <c r="B997" s="18">
        <f t="shared" si="1"/>
        <v>10.51647257</v>
      </c>
      <c r="C997" s="13">
        <f t="shared" si="2"/>
        <v>1</v>
      </c>
      <c r="D997" s="13">
        <f t="shared" si="3"/>
        <v>0</v>
      </c>
      <c r="O997" s="4"/>
      <c r="P997" s="4"/>
      <c r="Q997" s="4"/>
      <c r="R997" s="4"/>
    </row>
    <row r="998" ht="15.75" customHeight="1">
      <c r="A998" s="13">
        <f>A997+'Energy Balance'!$N$7</f>
        <v>996</v>
      </c>
      <c r="B998" s="18">
        <f t="shared" si="1"/>
        <v>10.52704189</v>
      </c>
      <c r="C998" s="13">
        <f t="shared" si="2"/>
        <v>1</v>
      </c>
      <c r="D998" s="13">
        <f t="shared" si="3"/>
        <v>0</v>
      </c>
      <c r="O998" s="4"/>
      <c r="P998" s="4"/>
      <c r="Q998" s="4"/>
      <c r="R998" s="4"/>
    </row>
    <row r="999" ht="15.75" customHeight="1">
      <c r="A999" s="13">
        <f>A998+'Energy Balance'!$N$7</f>
        <v>997</v>
      </c>
      <c r="B999" s="18">
        <f t="shared" si="1"/>
        <v>10.53761121</v>
      </c>
      <c r="C999" s="13">
        <f t="shared" si="2"/>
        <v>1</v>
      </c>
      <c r="D999" s="13">
        <f t="shared" si="3"/>
        <v>0</v>
      </c>
      <c r="O999" s="4"/>
      <c r="P999" s="4"/>
      <c r="Q999" s="4"/>
      <c r="R999" s="4"/>
    </row>
    <row r="1000" ht="15.75" customHeight="1">
      <c r="A1000" s="13">
        <f>A999+'Energy Balance'!$N$7</f>
        <v>998</v>
      </c>
      <c r="B1000" s="18">
        <f t="shared" si="1"/>
        <v>10.54818053</v>
      </c>
      <c r="C1000" s="13">
        <f t="shared" si="2"/>
        <v>1</v>
      </c>
      <c r="D1000" s="13">
        <f t="shared" si="3"/>
        <v>0</v>
      </c>
      <c r="O1000" s="4"/>
      <c r="P1000" s="4"/>
      <c r="Q1000" s="4"/>
      <c r="R1000" s="4"/>
    </row>
    <row r="1001" ht="15.75" customHeight="1">
      <c r="A1001" s="13">
        <f>A1000+'Energy Balance'!$N$7</f>
        <v>999</v>
      </c>
      <c r="B1001" s="18">
        <f t="shared" si="1"/>
        <v>10.55874985</v>
      </c>
      <c r="C1001" s="13">
        <f t="shared" si="2"/>
        <v>1</v>
      </c>
      <c r="D1001" s="13">
        <f t="shared" si="3"/>
        <v>0</v>
      </c>
      <c r="O1001" s="4"/>
      <c r="P1001" s="4"/>
      <c r="Q1001" s="4"/>
      <c r="R1001" s="4"/>
    </row>
    <row r="1002" ht="15.75" customHeight="1">
      <c r="A1002" s="13">
        <f>A1001+'Energy Balance'!$N$7</f>
        <v>1000</v>
      </c>
      <c r="B1002" s="18">
        <f t="shared" si="1"/>
        <v>10.56931917</v>
      </c>
      <c r="C1002" s="13">
        <f t="shared" si="2"/>
        <v>1</v>
      </c>
      <c r="D1002" s="13">
        <f t="shared" si="3"/>
        <v>0</v>
      </c>
      <c r="O1002" s="4"/>
      <c r="P1002" s="4"/>
      <c r="Q1002" s="4"/>
      <c r="R1002" s="4"/>
    </row>
    <row r="1003" ht="15.75" customHeight="1">
      <c r="A1003" s="13">
        <f>A1002+'Energy Balance'!$N$7</f>
        <v>1001</v>
      </c>
      <c r="B1003" s="18">
        <f t="shared" si="1"/>
        <v>10.57988849</v>
      </c>
      <c r="C1003" s="13">
        <f t="shared" si="2"/>
        <v>1</v>
      </c>
      <c r="D1003" s="13">
        <f t="shared" si="3"/>
        <v>0</v>
      </c>
      <c r="O1003" s="4"/>
      <c r="P1003" s="4"/>
      <c r="Q1003" s="4"/>
      <c r="R1003" s="4"/>
    </row>
    <row r="1004" ht="15.75" customHeight="1">
      <c r="A1004" s="13">
        <f>A1003+'Energy Balance'!$N$7</f>
        <v>1002</v>
      </c>
      <c r="B1004" s="18">
        <f t="shared" si="1"/>
        <v>10.5904578</v>
      </c>
      <c r="C1004" s="13">
        <f t="shared" si="2"/>
        <v>1</v>
      </c>
      <c r="D1004" s="13">
        <f t="shared" si="3"/>
        <v>0</v>
      </c>
      <c r="O1004" s="4"/>
      <c r="P1004" s="4"/>
      <c r="Q1004" s="4"/>
      <c r="R1004" s="4"/>
    </row>
    <row r="1005" ht="15.75" customHeight="1">
      <c r="A1005" s="13">
        <f>A1004+'Energy Balance'!$N$7</f>
        <v>1003</v>
      </c>
      <c r="B1005" s="18">
        <f t="shared" si="1"/>
        <v>10.60102712</v>
      </c>
      <c r="C1005" s="13">
        <f t="shared" si="2"/>
        <v>1</v>
      </c>
      <c r="D1005" s="13">
        <f t="shared" si="3"/>
        <v>0</v>
      </c>
      <c r="O1005" s="4"/>
      <c r="P1005" s="4"/>
      <c r="Q1005" s="4"/>
      <c r="R1005" s="4"/>
    </row>
    <row r="1006" ht="15.75" customHeight="1">
      <c r="A1006" s="13">
        <f>A1005+'Energy Balance'!$N$7</f>
        <v>1004</v>
      </c>
      <c r="B1006" s="18">
        <f t="shared" si="1"/>
        <v>10.61159644</v>
      </c>
      <c r="C1006" s="13">
        <f t="shared" si="2"/>
        <v>1</v>
      </c>
      <c r="D1006" s="13">
        <f t="shared" si="3"/>
        <v>0</v>
      </c>
      <c r="O1006" s="4"/>
      <c r="P1006" s="4"/>
      <c r="Q1006" s="4"/>
      <c r="R1006" s="4"/>
    </row>
    <row r="1007" ht="15.75" customHeight="1">
      <c r="A1007" s="13">
        <f>A1006+'Energy Balance'!$N$7</f>
        <v>1005</v>
      </c>
      <c r="B1007" s="18">
        <f t="shared" si="1"/>
        <v>10.62216576</v>
      </c>
      <c r="C1007" s="13">
        <f t="shared" si="2"/>
        <v>0</v>
      </c>
      <c r="D1007" s="13">
        <f t="shared" si="3"/>
        <v>1</v>
      </c>
      <c r="O1007" s="4"/>
      <c r="P1007" s="4"/>
      <c r="Q1007" s="4"/>
      <c r="R1007" s="4"/>
    </row>
    <row r="1008" ht="15.75" customHeight="1">
      <c r="A1008" s="13">
        <f>A1007+'Energy Balance'!$N$7</f>
        <v>1006</v>
      </c>
      <c r="B1008" s="18">
        <f t="shared" si="1"/>
        <v>10.63273508</v>
      </c>
      <c r="C1008" s="13">
        <f t="shared" si="2"/>
        <v>0</v>
      </c>
      <c r="D1008" s="13">
        <f t="shared" si="3"/>
        <v>1</v>
      </c>
      <c r="O1008" s="4"/>
      <c r="P1008" s="4"/>
      <c r="Q1008" s="4"/>
      <c r="R1008" s="4"/>
    </row>
    <row r="1009" ht="15.75" customHeight="1">
      <c r="A1009" s="13">
        <f>A1008+'Energy Balance'!$N$7</f>
        <v>1007</v>
      </c>
      <c r="B1009" s="18">
        <f t="shared" si="1"/>
        <v>10.6433044</v>
      </c>
      <c r="C1009" s="13">
        <f t="shared" si="2"/>
        <v>0</v>
      </c>
      <c r="D1009" s="13">
        <f t="shared" si="3"/>
        <v>1</v>
      </c>
      <c r="O1009" s="4"/>
      <c r="P1009" s="4"/>
      <c r="Q1009" s="4"/>
      <c r="R1009" s="4"/>
    </row>
    <row r="1010" ht="15.75" customHeight="1">
      <c r="A1010" s="13">
        <f>A1009+'Energy Balance'!$N$7</f>
        <v>1008</v>
      </c>
      <c r="B1010" s="18">
        <f t="shared" si="1"/>
        <v>10.65387372</v>
      </c>
      <c r="C1010" s="13">
        <f t="shared" si="2"/>
        <v>0</v>
      </c>
      <c r="D1010" s="13">
        <f t="shared" si="3"/>
        <v>1</v>
      </c>
      <c r="O1010" s="4"/>
      <c r="P1010" s="4"/>
      <c r="Q1010" s="4"/>
      <c r="R1010" s="4"/>
    </row>
    <row r="1011" ht="15.75" customHeight="1">
      <c r="A1011" s="13">
        <f>A1010+'Energy Balance'!$N$7</f>
        <v>1009</v>
      </c>
      <c r="B1011" s="18">
        <f t="shared" si="1"/>
        <v>10.66444304</v>
      </c>
      <c r="C1011" s="13">
        <f t="shared" si="2"/>
        <v>0</v>
      </c>
      <c r="D1011" s="13">
        <f t="shared" si="3"/>
        <v>1</v>
      </c>
      <c r="O1011" s="4"/>
      <c r="P1011" s="4"/>
      <c r="Q1011" s="4"/>
      <c r="R1011" s="4"/>
    </row>
    <row r="1012" ht="15.75" customHeight="1">
      <c r="A1012" s="13">
        <f>A1011+'Energy Balance'!$N$7</f>
        <v>1010</v>
      </c>
      <c r="B1012" s="18">
        <f t="shared" si="1"/>
        <v>10.67501236</v>
      </c>
      <c r="C1012" s="13">
        <f t="shared" si="2"/>
        <v>0</v>
      </c>
      <c r="D1012" s="13">
        <f t="shared" si="3"/>
        <v>1</v>
      </c>
      <c r="O1012" s="4"/>
      <c r="P1012" s="4"/>
      <c r="Q1012" s="4"/>
      <c r="R1012" s="4"/>
    </row>
    <row r="1013" ht="15.75" customHeight="1">
      <c r="A1013" s="13">
        <f>A1012+'Energy Balance'!$N$7</f>
        <v>1011</v>
      </c>
      <c r="B1013" s="18">
        <f t="shared" si="1"/>
        <v>10.68558168</v>
      </c>
      <c r="C1013" s="13">
        <f t="shared" si="2"/>
        <v>0</v>
      </c>
      <c r="D1013" s="13">
        <f t="shared" si="3"/>
        <v>1</v>
      </c>
      <c r="O1013" s="4"/>
      <c r="P1013" s="4"/>
      <c r="Q1013" s="4"/>
      <c r="R1013" s="4"/>
    </row>
    <row r="1014" ht="15.75" customHeight="1">
      <c r="A1014" s="13">
        <f>A1013+'Energy Balance'!$N$7</f>
        <v>1012</v>
      </c>
      <c r="B1014" s="18">
        <f t="shared" si="1"/>
        <v>10.696151</v>
      </c>
      <c r="C1014" s="13">
        <f t="shared" si="2"/>
        <v>0</v>
      </c>
      <c r="D1014" s="13">
        <f t="shared" si="3"/>
        <v>1</v>
      </c>
      <c r="O1014" s="4"/>
      <c r="P1014" s="4"/>
      <c r="Q1014" s="4"/>
      <c r="R1014" s="4"/>
    </row>
    <row r="1015" ht="15.75" customHeight="1">
      <c r="A1015" s="13">
        <f>A1014+'Energy Balance'!$N$7</f>
        <v>1013</v>
      </c>
      <c r="B1015" s="18">
        <f t="shared" si="1"/>
        <v>10.70672032</v>
      </c>
      <c r="C1015" s="13">
        <f t="shared" si="2"/>
        <v>0</v>
      </c>
      <c r="D1015" s="13">
        <f t="shared" si="3"/>
        <v>1</v>
      </c>
      <c r="O1015" s="4"/>
      <c r="P1015" s="4"/>
      <c r="Q1015" s="4"/>
      <c r="R1015" s="4"/>
    </row>
    <row r="1016" ht="15.75" customHeight="1">
      <c r="A1016" s="13">
        <f>A1015+'Energy Balance'!$N$7</f>
        <v>1014</v>
      </c>
      <c r="B1016" s="18">
        <f t="shared" si="1"/>
        <v>10.71728963</v>
      </c>
      <c r="C1016" s="13">
        <f t="shared" si="2"/>
        <v>0</v>
      </c>
      <c r="D1016" s="13">
        <f t="shared" si="3"/>
        <v>1</v>
      </c>
      <c r="O1016" s="4"/>
      <c r="P1016" s="4"/>
      <c r="Q1016" s="4"/>
      <c r="R1016" s="4"/>
    </row>
    <row r="1017" ht="15.75" customHeight="1">
      <c r="A1017" s="13">
        <f>A1016+'Energy Balance'!$N$7</f>
        <v>1015</v>
      </c>
      <c r="B1017" s="18">
        <f t="shared" si="1"/>
        <v>10.72785895</v>
      </c>
      <c r="C1017" s="13">
        <f t="shared" si="2"/>
        <v>0</v>
      </c>
      <c r="D1017" s="13">
        <f t="shared" si="3"/>
        <v>1</v>
      </c>
      <c r="O1017" s="4"/>
      <c r="P1017" s="4"/>
      <c r="Q1017" s="4"/>
      <c r="R1017" s="4"/>
    </row>
    <row r="1018" ht="15.75" customHeight="1">
      <c r="A1018" s="13">
        <f>A1017+'Energy Balance'!$N$7</f>
        <v>1016</v>
      </c>
      <c r="B1018" s="18">
        <f t="shared" si="1"/>
        <v>10.73842827</v>
      </c>
      <c r="C1018" s="13">
        <f t="shared" si="2"/>
        <v>0</v>
      </c>
      <c r="D1018" s="13">
        <f t="shared" si="3"/>
        <v>1</v>
      </c>
      <c r="O1018" s="4"/>
      <c r="P1018" s="4"/>
      <c r="Q1018" s="4"/>
      <c r="R1018" s="4"/>
    </row>
    <row r="1019" ht="15.75" customHeight="1">
      <c r="A1019" s="13">
        <f>A1018+'Energy Balance'!$N$7</f>
        <v>1017</v>
      </c>
      <c r="B1019" s="18">
        <f t="shared" si="1"/>
        <v>10.74899759</v>
      </c>
      <c r="C1019" s="13">
        <f t="shared" si="2"/>
        <v>0</v>
      </c>
      <c r="D1019" s="13">
        <f t="shared" si="3"/>
        <v>1</v>
      </c>
      <c r="O1019" s="4"/>
      <c r="P1019" s="4"/>
      <c r="Q1019" s="4"/>
      <c r="R1019" s="4"/>
    </row>
    <row r="1020" ht="15.75" customHeight="1">
      <c r="A1020" s="13">
        <f>A1019+'Energy Balance'!$N$7</f>
        <v>1018</v>
      </c>
      <c r="B1020" s="18">
        <f t="shared" si="1"/>
        <v>10.75956691</v>
      </c>
      <c r="C1020" s="13">
        <f t="shared" si="2"/>
        <v>0</v>
      </c>
      <c r="D1020" s="13">
        <f t="shared" si="3"/>
        <v>1</v>
      </c>
      <c r="O1020" s="4"/>
      <c r="P1020" s="4"/>
      <c r="Q1020" s="4"/>
      <c r="R1020" s="4"/>
    </row>
    <row r="1021" ht="15.75" customHeight="1">
      <c r="A1021" s="13">
        <f>A1020+'Energy Balance'!$N$7</f>
        <v>1019</v>
      </c>
      <c r="B1021" s="18">
        <f t="shared" si="1"/>
        <v>10.77013623</v>
      </c>
      <c r="C1021" s="13">
        <f t="shared" si="2"/>
        <v>0</v>
      </c>
      <c r="D1021" s="13">
        <f t="shared" si="3"/>
        <v>1</v>
      </c>
      <c r="O1021" s="4"/>
      <c r="P1021" s="4"/>
      <c r="Q1021" s="4"/>
      <c r="R1021" s="4"/>
    </row>
    <row r="1022" ht="15.75" customHeight="1">
      <c r="A1022" s="13">
        <f>A1021+'Energy Balance'!$N$7</f>
        <v>1020</v>
      </c>
      <c r="B1022" s="18">
        <f t="shared" si="1"/>
        <v>10.78070555</v>
      </c>
      <c r="C1022" s="13">
        <f t="shared" si="2"/>
        <v>0</v>
      </c>
      <c r="D1022" s="13">
        <f t="shared" si="3"/>
        <v>1</v>
      </c>
      <c r="O1022" s="4"/>
      <c r="P1022" s="4"/>
      <c r="Q1022" s="4"/>
      <c r="R1022" s="4"/>
    </row>
    <row r="1023" ht="15.75" customHeight="1">
      <c r="A1023" s="13">
        <f>A1022+'Energy Balance'!$N$7</f>
        <v>1021</v>
      </c>
      <c r="B1023" s="18">
        <f t="shared" si="1"/>
        <v>10.79127487</v>
      </c>
      <c r="C1023" s="13">
        <f t="shared" si="2"/>
        <v>0</v>
      </c>
      <c r="D1023" s="13">
        <f t="shared" si="3"/>
        <v>1</v>
      </c>
      <c r="O1023" s="4"/>
      <c r="P1023" s="4"/>
      <c r="Q1023" s="4"/>
      <c r="R1023" s="4"/>
    </row>
    <row r="1024" ht="15.75" customHeight="1">
      <c r="A1024" s="13">
        <f>A1023+'Energy Balance'!$N$7</f>
        <v>1022</v>
      </c>
      <c r="B1024" s="18">
        <f t="shared" si="1"/>
        <v>10.80184419</v>
      </c>
      <c r="C1024" s="13">
        <f t="shared" si="2"/>
        <v>0</v>
      </c>
      <c r="D1024" s="13">
        <f t="shared" si="3"/>
        <v>1</v>
      </c>
      <c r="O1024" s="4"/>
      <c r="P1024" s="4"/>
      <c r="Q1024" s="4"/>
      <c r="R1024" s="4"/>
    </row>
    <row r="1025" ht="15.75" customHeight="1">
      <c r="A1025" s="13">
        <f>A1024+'Energy Balance'!$N$7</f>
        <v>1023</v>
      </c>
      <c r="B1025" s="18">
        <f t="shared" si="1"/>
        <v>10.81241351</v>
      </c>
      <c r="C1025" s="13">
        <f t="shared" si="2"/>
        <v>0</v>
      </c>
      <c r="D1025" s="13">
        <f t="shared" si="3"/>
        <v>1</v>
      </c>
      <c r="O1025" s="4"/>
      <c r="P1025" s="4"/>
      <c r="Q1025" s="4"/>
      <c r="R1025" s="4"/>
    </row>
    <row r="1026" ht="15.75" customHeight="1">
      <c r="A1026" s="13">
        <f>A1025+'Energy Balance'!$N$7</f>
        <v>1024</v>
      </c>
      <c r="B1026" s="18">
        <f t="shared" si="1"/>
        <v>10.82298283</v>
      </c>
      <c r="C1026" s="13">
        <f t="shared" si="2"/>
        <v>0</v>
      </c>
      <c r="D1026" s="13">
        <f t="shared" si="3"/>
        <v>1</v>
      </c>
      <c r="O1026" s="4"/>
      <c r="P1026" s="4"/>
      <c r="Q1026" s="4"/>
      <c r="R1026" s="4"/>
    </row>
    <row r="1027" ht="15.75" customHeight="1">
      <c r="A1027" s="13">
        <f>A1026+'Energy Balance'!$N$7</f>
        <v>1025</v>
      </c>
      <c r="B1027" s="18">
        <f t="shared" si="1"/>
        <v>10.83355215</v>
      </c>
      <c r="C1027" s="13">
        <f t="shared" si="2"/>
        <v>0</v>
      </c>
      <c r="D1027" s="13">
        <f t="shared" si="3"/>
        <v>1</v>
      </c>
      <c r="O1027" s="4"/>
      <c r="P1027" s="4"/>
      <c r="Q1027" s="4"/>
      <c r="R1027" s="4"/>
    </row>
    <row r="1028" ht="15.75" customHeight="1">
      <c r="A1028" s="13">
        <f>A1027+'Energy Balance'!$N$7</f>
        <v>1026</v>
      </c>
      <c r="B1028" s="18">
        <f t="shared" si="1"/>
        <v>10.84412146</v>
      </c>
      <c r="C1028" s="13">
        <f t="shared" si="2"/>
        <v>0</v>
      </c>
      <c r="D1028" s="13">
        <f t="shared" si="3"/>
        <v>1</v>
      </c>
      <c r="O1028" s="4"/>
      <c r="P1028" s="4"/>
      <c r="Q1028" s="4"/>
      <c r="R1028" s="4"/>
    </row>
    <row r="1029" ht="15.75" customHeight="1">
      <c r="A1029" s="13">
        <f>A1028+'Energy Balance'!$N$7</f>
        <v>1027</v>
      </c>
      <c r="B1029" s="18">
        <f t="shared" si="1"/>
        <v>10.85469078</v>
      </c>
      <c r="C1029" s="13">
        <f t="shared" si="2"/>
        <v>0</v>
      </c>
      <c r="D1029" s="13">
        <f t="shared" si="3"/>
        <v>1</v>
      </c>
      <c r="O1029" s="4"/>
      <c r="P1029" s="4"/>
      <c r="Q1029" s="4"/>
      <c r="R1029" s="4"/>
    </row>
    <row r="1030" ht="15.75" customHeight="1">
      <c r="A1030" s="13">
        <f>A1029+'Energy Balance'!$N$7</f>
        <v>1028</v>
      </c>
      <c r="B1030" s="18">
        <f t="shared" si="1"/>
        <v>10.8652601</v>
      </c>
      <c r="C1030" s="13">
        <f t="shared" si="2"/>
        <v>0</v>
      </c>
      <c r="D1030" s="13">
        <f t="shared" si="3"/>
        <v>1</v>
      </c>
      <c r="O1030" s="4"/>
      <c r="P1030" s="4"/>
      <c r="Q1030" s="4"/>
      <c r="R1030" s="4"/>
    </row>
    <row r="1031" ht="15.75" customHeight="1">
      <c r="A1031" s="13">
        <f>A1030+'Energy Balance'!$N$7</f>
        <v>1029</v>
      </c>
      <c r="B1031" s="18">
        <f t="shared" si="1"/>
        <v>10.87582942</v>
      </c>
      <c r="C1031" s="13">
        <f t="shared" si="2"/>
        <v>0</v>
      </c>
      <c r="D1031" s="13">
        <f t="shared" si="3"/>
        <v>1</v>
      </c>
      <c r="O1031" s="4"/>
      <c r="P1031" s="4"/>
      <c r="Q1031" s="4"/>
      <c r="R1031" s="4"/>
    </row>
    <row r="1032" ht="15.75" customHeight="1">
      <c r="A1032" s="13">
        <f>A1031+'Energy Balance'!$N$7</f>
        <v>1030</v>
      </c>
      <c r="B1032" s="18">
        <f t="shared" si="1"/>
        <v>10.88639874</v>
      </c>
      <c r="C1032" s="13">
        <f t="shared" si="2"/>
        <v>0</v>
      </c>
      <c r="D1032" s="13">
        <f t="shared" si="3"/>
        <v>1</v>
      </c>
      <c r="O1032" s="4"/>
      <c r="P1032" s="4"/>
      <c r="Q1032" s="4"/>
      <c r="R1032" s="4"/>
    </row>
    <row r="1033" ht="15.75" customHeight="1">
      <c r="A1033" s="13">
        <f>A1032+'Energy Balance'!$N$7</f>
        <v>1031</v>
      </c>
      <c r="B1033" s="18">
        <f t="shared" si="1"/>
        <v>10.89696806</v>
      </c>
      <c r="C1033" s="13">
        <f t="shared" si="2"/>
        <v>0</v>
      </c>
      <c r="D1033" s="13">
        <f t="shared" si="3"/>
        <v>1</v>
      </c>
      <c r="O1033" s="4"/>
      <c r="P1033" s="4"/>
      <c r="Q1033" s="4"/>
      <c r="R1033" s="4"/>
    </row>
    <row r="1034" ht="15.75" customHeight="1">
      <c r="A1034" s="13">
        <f>A1033+'Energy Balance'!$N$7</f>
        <v>1032</v>
      </c>
      <c r="B1034" s="18">
        <f t="shared" si="1"/>
        <v>10.90753738</v>
      </c>
      <c r="C1034" s="13">
        <f t="shared" si="2"/>
        <v>0</v>
      </c>
      <c r="D1034" s="13">
        <f t="shared" si="3"/>
        <v>1</v>
      </c>
      <c r="O1034" s="4"/>
      <c r="P1034" s="4"/>
      <c r="Q1034" s="4"/>
      <c r="R1034" s="4"/>
    </row>
    <row r="1035" ht="15.75" customHeight="1">
      <c r="A1035" s="13">
        <f>A1034+'Energy Balance'!$N$7</f>
        <v>1033</v>
      </c>
      <c r="B1035" s="18">
        <f t="shared" si="1"/>
        <v>10.9181067</v>
      </c>
      <c r="C1035" s="13">
        <f t="shared" si="2"/>
        <v>0</v>
      </c>
      <c r="D1035" s="13">
        <f t="shared" si="3"/>
        <v>1</v>
      </c>
      <c r="O1035" s="4"/>
      <c r="P1035" s="4"/>
      <c r="Q1035" s="4"/>
      <c r="R1035" s="4"/>
    </row>
    <row r="1036" ht="15.75" customHeight="1">
      <c r="A1036" s="13">
        <f>A1035+'Energy Balance'!$N$7</f>
        <v>1034</v>
      </c>
      <c r="B1036" s="18">
        <f t="shared" si="1"/>
        <v>10.92867602</v>
      </c>
      <c r="C1036" s="13">
        <f t="shared" si="2"/>
        <v>0</v>
      </c>
      <c r="D1036" s="13">
        <f t="shared" si="3"/>
        <v>1</v>
      </c>
      <c r="O1036" s="4"/>
      <c r="P1036" s="4"/>
      <c r="Q1036" s="4"/>
      <c r="R1036" s="4"/>
    </row>
    <row r="1037" ht="15.75" customHeight="1">
      <c r="A1037" s="13">
        <f>A1036+'Energy Balance'!$N$7</f>
        <v>1035</v>
      </c>
      <c r="B1037" s="18">
        <f t="shared" si="1"/>
        <v>10.93924534</v>
      </c>
      <c r="C1037" s="13">
        <f t="shared" si="2"/>
        <v>0</v>
      </c>
      <c r="D1037" s="13">
        <f t="shared" si="3"/>
        <v>1</v>
      </c>
      <c r="O1037" s="4"/>
      <c r="P1037" s="4"/>
      <c r="Q1037" s="4"/>
      <c r="R1037" s="4"/>
    </row>
    <row r="1038" ht="15.75" customHeight="1">
      <c r="A1038" s="13">
        <f>A1037+'Energy Balance'!$N$7</f>
        <v>1036</v>
      </c>
      <c r="B1038" s="18">
        <f t="shared" si="1"/>
        <v>10.94981466</v>
      </c>
      <c r="C1038" s="13">
        <f t="shared" si="2"/>
        <v>0</v>
      </c>
      <c r="D1038" s="13">
        <f t="shared" si="3"/>
        <v>1</v>
      </c>
      <c r="O1038" s="4"/>
      <c r="P1038" s="4"/>
      <c r="Q1038" s="4"/>
      <c r="R1038" s="4"/>
    </row>
    <row r="1039" ht="15.75" customHeight="1">
      <c r="A1039" s="13">
        <f>A1038+'Energy Balance'!$N$7</f>
        <v>1037</v>
      </c>
      <c r="B1039" s="18">
        <f t="shared" si="1"/>
        <v>10.96038398</v>
      </c>
      <c r="C1039" s="13">
        <f t="shared" si="2"/>
        <v>0</v>
      </c>
      <c r="D1039" s="13">
        <f t="shared" si="3"/>
        <v>1</v>
      </c>
      <c r="O1039" s="4"/>
      <c r="P1039" s="4"/>
      <c r="Q1039" s="4"/>
      <c r="R1039" s="4"/>
    </row>
    <row r="1040" ht="15.75" customHeight="1">
      <c r="A1040" s="13">
        <f>A1039+'Energy Balance'!$N$7</f>
        <v>1038</v>
      </c>
      <c r="B1040" s="18">
        <f t="shared" si="1"/>
        <v>10.97095329</v>
      </c>
      <c r="C1040" s="13">
        <f t="shared" si="2"/>
        <v>0</v>
      </c>
      <c r="D1040" s="13">
        <f t="shared" si="3"/>
        <v>1</v>
      </c>
      <c r="O1040" s="4"/>
      <c r="P1040" s="4"/>
      <c r="Q1040" s="4"/>
      <c r="R1040" s="4"/>
    </row>
    <row r="1041" ht="15.75" customHeight="1">
      <c r="A1041" s="13">
        <f>A1040+'Energy Balance'!$N$7</f>
        <v>1039</v>
      </c>
      <c r="B1041" s="18">
        <f t="shared" si="1"/>
        <v>10.98152261</v>
      </c>
      <c r="C1041" s="13">
        <f t="shared" si="2"/>
        <v>0</v>
      </c>
      <c r="D1041" s="13">
        <f t="shared" si="3"/>
        <v>1</v>
      </c>
      <c r="O1041" s="4"/>
      <c r="P1041" s="4"/>
      <c r="Q1041" s="4"/>
      <c r="R1041" s="4"/>
    </row>
    <row r="1042" ht="15.75" customHeight="1">
      <c r="A1042" s="13">
        <f>A1041+'Energy Balance'!$N$7</f>
        <v>1040</v>
      </c>
      <c r="B1042" s="18">
        <f t="shared" si="1"/>
        <v>10.99209193</v>
      </c>
      <c r="C1042" s="13">
        <f t="shared" si="2"/>
        <v>0</v>
      </c>
      <c r="D1042" s="13">
        <f t="shared" si="3"/>
        <v>1</v>
      </c>
      <c r="O1042" s="4"/>
      <c r="P1042" s="4"/>
      <c r="Q1042" s="4"/>
      <c r="R1042" s="4"/>
    </row>
    <row r="1043" ht="15.75" customHeight="1">
      <c r="A1043" s="13">
        <f>A1042+'Energy Balance'!$N$7</f>
        <v>1041</v>
      </c>
      <c r="B1043" s="18">
        <f t="shared" si="1"/>
        <v>11.00266125</v>
      </c>
      <c r="C1043" s="13">
        <f t="shared" si="2"/>
        <v>1</v>
      </c>
      <c r="D1043" s="13">
        <f t="shared" si="3"/>
        <v>0</v>
      </c>
      <c r="O1043" s="4"/>
      <c r="P1043" s="4"/>
      <c r="Q1043" s="4"/>
      <c r="R1043" s="4"/>
    </row>
    <row r="1044" ht="15.75" customHeight="1">
      <c r="A1044" s="13">
        <f>A1043+'Energy Balance'!$N$7</f>
        <v>1042</v>
      </c>
      <c r="B1044" s="18">
        <f t="shared" si="1"/>
        <v>11.01323057</v>
      </c>
      <c r="C1044" s="13">
        <f t="shared" si="2"/>
        <v>1</v>
      </c>
      <c r="D1044" s="13">
        <f t="shared" si="3"/>
        <v>0</v>
      </c>
      <c r="O1044" s="4"/>
      <c r="P1044" s="4"/>
      <c r="Q1044" s="4"/>
      <c r="R1044" s="4"/>
    </row>
    <row r="1045" ht="15.75" customHeight="1">
      <c r="A1045" s="13">
        <f>A1044+'Energy Balance'!$N$7</f>
        <v>1043</v>
      </c>
      <c r="B1045" s="18">
        <f t="shared" si="1"/>
        <v>11.02379989</v>
      </c>
      <c r="C1045" s="13">
        <f t="shared" si="2"/>
        <v>1</v>
      </c>
      <c r="D1045" s="13">
        <f t="shared" si="3"/>
        <v>0</v>
      </c>
      <c r="O1045" s="4"/>
      <c r="P1045" s="4"/>
      <c r="Q1045" s="4"/>
      <c r="R1045" s="4"/>
    </row>
    <row r="1046" ht="15.75" customHeight="1">
      <c r="A1046" s="13">
        <f>A1045+'Energy Balance'!$N$7</f>
        <v>1044</v>
      </c>
      <c r="B1046" s="18">
        <f t="shared" si="1"/>
        <v>11.03436921</v>
      </c>
      <c r="C1046" s="13">
        <f t="shared" si="2"/>
        <v>1</v>
      </c>
      <c r="D1046" s="13">
        <f t="shared" si="3"/>
        <v>0</v>
      </c>
      <c r="O1046" s="4"/>
      <c r="P1046" s="4"/>
      <c r="Q1046" s="4"/>
      <c r="R1046" s="4"/>
    </row>
    <row r="1047" ht="15.75" customHeight="1">
      <c r="A1047" s="13">
        <f>A1046+'Energy Balance'!$N$7</f>
        <v>1045</v>
      </c>
      <c r="B1047" s="18">
        <f t="shared" si="1"/>
        <v>11.04493853</v>
      </c>
      <c r="C1047" s="13">
        <f t="shared" si="2"/>
        <v>1</v>
      </c>
      <c r="D1047" s="13">
        <f t="shared" si="3"/>
        <v>0</v>
      </c>
      <c r="O1047" s="4"/>
      <c r="P1047" s="4"/>
      <c r="Q1047" s="4"/>
      <c r="R1047" s="4"/>
    </row>
    <row r="1048" ht="15.75" customHeight="1">
      <c r="A1048" s="13">
        <f>A1047+'Energy Balance'!$N$7</f>
        <v>1046</v>
      </c>
      <c r="B1048" s="18">
        <f t="shared" si="1"/>
        <v>11.05550785</v>
      </c>
      <c r="C1048" s="13">
        <f t="shared" si="2"/>
        <v>1</v>
      </c>
      <c r="D1048" s="13">
        <f t="shared" si="3"/>
        <v>0</v>
      </c>
      <c r="O1048" s="4"/>
      <c r="P1048" s="4"/>
      <c r="Q1048" s="4"/>
      <c r="R1048" s="4"/>
    </row>
    <row r="1049" ht="15.75" customHeight="1">
      <c r="A1049" s="13">
        <f>A1048+'Energy Balance'!$N$7</f>
        <v>1047</v>
      </c>
      <c r="B1049" s="18">
        <f t="shared" si="1"/>
        <v>11.06607717</v>
      </c>
      <c r="C1049" s="13">
        <f t="shared" si="2"/>
        <v>1</v>
      </c>
      <c r="D1049" s="13">
        <f t="shared" si="3"/>
        <v>0</v>
      </c>
      <c r="O1049" s="4"/>
      <c r="P1049" s="4"/>
      <c r="Q1049" s="4"/>
      <c r="R1049" s="4"/>
    </row>
    <row r="1050" ht="15.75" customHeight="1">
      <c r="A1050" s="13">
        <f>A1049+'Energy Balance'!$N$7</f>
        <v>1048</v>
      </c>
      <c r="B1050" s="18">
        <f t="shared" si="1"/>
        <v>11.07664649</v>
      </c>
      <c r="C1050" s="13">
        <f t="shared" si="2"/>
        <v>1</v>
      </c>
      <c r="D1050" s="13">
        <f t="shared" si="3"/>
        <v>0</v>
      </c>
      <c r="O1050" s="4"/>
      <c r="P1050" s="4"/>
      <c r="Q1050" s="4"/>
      <c r="R1050" s="4"/>
    </row>
    <row r="1051" ht="15.75" customHeight="1">
      <c r="A1051" s="13">
        <f>A1050+'Energy Balance'!$N$7</f>
        <v>1049</v>
      </c>
      <c r="B1051" s="18">
        <f t="shared" si="1"/>
        <v>11.08721581</v>
      </c>
      <c r="C1051" s="13">
        <f t="shared" si="2"/>
        <v>1</v>
      </c>
      <c r="D1051" s="13">
        <f t="shared" si="3"/>
        <v>0</v>
      </c>
      <c r="O1051" s="4"/>
      <c r="P1051" s="4"/>
      <c r="Q1051" s="4"/>
      <c r="R1051" s="4"/>
    </row>
    <row r="1052" ht="15.75" customHeight="1">
      <c r="A1052" s="13">
        <f>A1051+'Energy Balance'!$N$7</f>
        <v>1050</v>
      </c>
      <c r="B1052" s="18">
        <f t="shared" si="1"/>
        <v>11.09778512</v>
      </c>
      <c r="C1052" s="13">
        <f t="shared" si="2"/>
        <v>1</v>
      </c>
      <c r="D1052" s="13">
        <f t="shared" si="3"/>
        <v>0</v>
      </c>
      <c r="O1052" s="4"/>
      <c r="P1052" s="4"/>
      <c r="Q1052" s="4"/>
      <c r="R1052" s="4"/>
    </row>
    <row r="1053" ht="15.75" customHeight="1">
      <c r="A1053" s="13">
        <f>A1052+'Energy Balance'!$N$7</f>
        <v>1051</v>
      </c>
      <c r="B1053" s="18">
        <f t="shared" si="1"/>
        <v>11.10835444</v>
      </c>
      <c r="C1053" s="13">
        <f t="shared" si="2"/>
        <v>1</v>
      </c>
      <c r="D1053" s="13">
        <f t="shared" si="3"/>
        <v>0</v>
      </c>
      <c r="O1053" s="4"/>
      <c r="P1053" s="4"/>
      <c r="Q1053" s="4"/>
      <c r="R1053" s="4"/>
    </row>
    <row r="1054" ht="15.75" customHeight="1">
      <c r="A1054" s="13">
        <f>A1053+'Energy Balance'!$N$7</f>
        <v>1052</v>
      </c>
      <c r="B1054" s="18">
        <f t="shared" si="1"/>
        <v>11.11892376</v>
      </c>
      <c r="C1054" s="13">
        <f t="shared" si="2"/>
        <v>1</v>
      </c>
      <c r="D1054" s="13">
        <f t="shared" si="3"/>
        <v>0</v>
      </c>
      <c r="O1054" s="4"/>
      <c r="P1054" s="4"/>
      <c r="Q1054" s="4"/>
      <c r="R1054" s="4"/>
    </row>
    <row r="1055" ht="15.75" customHeight="1">
      <c r="A1055" s="13">
        <f>A1054+'Energy Balance'!$N$7</f>
        <v>1053</v>
      </c>
      <c r="B1055" s="18">
        <f t="shared" si="1"/>
        <v>11.12949308</v>
      </c>
      <c r="C1055" s="13">
        <f t="shared" si="2"/>
        <v>1</v>
      </c>
      <c r="D1055" s="13">
        <f t="shared" si="3"/>
        <v>0</v>
      </c>
      <c r="O1055" s="4"/>
      <c r="P1055" s="4"/>
      <c r="Q1055" s="4"/>
      <c r="R1055" s="4"/>
    </row>
    <row r="1056" ht="15.75" customHeight="1">
      <c r="A1056" s="13">
        <f>A1055+'Energy Balance'!$N$7</f>
        <v>1054</v>
      </c>
      <c r="B1056" s="18">
        <f t="shared" si="1"/>
        <v>11.1400624</v>
      </c>
      <c r="C1056" s="13">
        <f t="shared" si="2"/>
        <v>1</v>
      </c>
      <c r="D1056" s="13">
        <f t="shared" si="3"/>
        <v>0</v>
      </c>
      <c r="O1056" s="4"/>
      <c r="P1056" s="4"/>
      <c r="Q1056" s="4"/>
      <c r="R1056" s="4"/>
    </row>
    <row r="1057" ht="15.75" customHeight="1">
      <c r="A1057" s="13">
        <f>A1056+'Energy Balance'!$N$7</f>
        <v>1055</v>
      </c>
      <c r="B1057" s="18">
        <f t="shared" si="1"/>
        <v>11.15063172</v>
      </c>
      <c r="C1057" s="13">
        <f t="shared" si="2"/>
        <v>1</v>
      </c>
      <c r="D1057" s="13">
        <f t="shared" si="3"/>
        <v>0</v>
      </c>
      <c r="O1057" s="4"/>
      <c r="P1057" s="4"/>
      <c r="Q1057" s="4"/>
      <c r="R1057" s="4"/>
    </row>
    <row r="1058" ht="15.75" customHeight="1">
      <c r="A1058" s="13">
        <f>A1057+'Energy Balance'!$N$7</f>
        <v>1056</v>
      </c>
      <c r="B1058" s="18">
        <f t="shared" si="1"/>
        <v>11.16120104</v>
      </c>
      <c r="C1058" s="13">
        <f t="shared" si="2"/>
        <v>1</v>
      </c>
      <c r="D1058" s="13">
        <f t="shared" si="3"/>
        <v>0</v>
      </c>
      <c r="O1058" s="4"/>
      <c r="P1058" s="4"/>
      <c r="Q1058" s="4"/>
      <c r="R1058" s="4"/>
    </row>
    <row r="1059" ht="15.75" customHeight="1">
      <c r="A1059" s="13">
        <f>A1058+'Energy Balance'!$N$7</f>
        <v>1057</v>
      </c>
      <c r="B1059" s="18">
        <f t="shared" si="1"/>
        <v>11.17177036</v>
      </c>
      <c r="C1059" s="13">
        <f t="shared" si="2"/>
        <v>1</v>
      </c>
      <c r="D1059" s="13">
        <f t="shared" si="3"/>
        <v>0</v>
      </c>
      <c r="O1059" s="4"/>
      <c r="P1059" s="4"/>
      <c r="Q1059" s="4"/>
      <c r="R1059" s="4"/>
    </row>
    <row r="1060" ht="15.75" customHeight="1">
      <c r="A1060" s="13">
        <f>A1059+'Energy Balance'!$N$7</f>
        <v>1058</v>
      </c>
      <c r="B1060" s="18">
        <f t="shared" si="1"/>
        <v>11.18233968</v>
      </c>
      <c r="C1060" s="13">
        <f t="shared" si="2"/>
        <v>1</v>
      </c>
      <c r="D1060" s="13">
        <f t="shared" si="3"/>
        <v>0</v>
      </c>
      <c r="O1060" s="4"/>
      <c r="P1060" s="4"/>
      <c r="Q1060" s="4"/>
      <c r="R1060" s="4"/>
    </row>
    <row r="1061" ht="15.75" customHeight="1">
      <c r="A1061" s="13">
        <f>A1060+'Energy Balance'!$N$7</f>
        <v>1059</v>
      </c>
      <c r="B1061" s="18">
        <f t="shared" si="1"/>
        <v>11.192909</v>
      </c>
      <c r="C1061" s="13">
        <f t="shared" si="2"/>
        <v>1</v>
      </c>
      <c r="D1061" s="13">
        <f t="shared" si="3"/>
        <v>0</v>
      </c>
      <c r="O1061" s="4"/>
      <c r="P1061" s="4"/>
      <c r="Q1061" s="4"/>
      <c r="R1061" s="4"/>
    </row>
    <row r="1062" ht="15.75" customHeight="1">
      <c r="A1062" s="13">
        <f>A1061+'Energy Balance'!$N$7</f>
        <v>1060</v>
      </c>
      <c r="B1062" s="18">
        <f t="shared" si="1"/>
        <v>11.20347832</v>
      </c>
      <c r="C1062" s="13">
        <f t="shared" si="2"/>
        <v>1</v>
      </c>
      <c r="D1062" s="13">
        <f t="shared" si="3"/>
        <v>0</v>
      </c>
      <c r="O1062" s="4"/>
      <c r="P1062" s="4"/>
      <c r="Q1062" s="4"/>
      <c r="R1062" s="4"/>
    </row>
    <row r="1063" ht="15.75" customHeight="1">
      <c r="A1063" s="13">
        <f>A1062+'Energy Balance'!$N$7</f>
        <v>1061</v>
      </c>
      <c r="B1063" s="18">
        <f t="shared" si="1"/>
        <v>11.21404764</v>
      </c>
      <c r="C1063" s="13">
        <f t="shared" si="2"/>
        <v>1</v>
      </c>
      <c r="D1063" s="13">
        <f t="shared" si="3"/>
        <v>0</v>
      </c>
      <c r="O1063" s="4"/>
      <c r="P1063" s="4"/>
      <c r="Q1063" s="4"/>
      <c r="R1063" s="4"/>
    </row>
    <row r="1064" ht="15.75" customHeight="1">
      <c r="A1064" s="13">
        <f>A1063+'Energy Balance'!$N$7</f>
        <v>1062</v>
      </c>
      <c r="B1064" s="18">
        <f t="shared" si="1"/>
        <v>11.22461695</v>
      </c>
      <c r="C1064" s="13">
        <f t="shared" si="2"/>
        <v>1</v>
      </c>
      <c r="D1064" s="13">
        <f t="shared" si="3"/>
        <v>0</v>
      </c>
      <c r="O1064" s="4"/>
      <c r="P1064" s="4"/>
      <c r="Q1064" s="4"/>
      <c r="R1064" s="4"/>
    </row>
    <row r="1065" ht="15.75" customHeight="1">
      <c r="A1065" s="13">
        <f>A1064+'Energy Balance'!$N$7</f>
        <v>1063</v>
      </c>
      <c r="B1065" s="18">
        <f t="shared" si="1"/>
        <v>11.23518627</v>
      </c>
      <c r="C1065" s="13">
        <f t="shared" si="2"/>
        <v>1</v>
      </c>
      <c r="D1065" s="13">
        <f t="shared" si="3"/>
        <v>0</v>
      </c>
      <c r="O1065" s="4"/>
      <c r="P1065" s="4"/>
      <c r="Q1065" s="4"/>
      <c r="R1065" s="4"/>
    </row>
    <row r="1066" ht="15.75" customHeight="1">
      <c r="A1066" s="13">
        <f>A1065+'Energy Balance'!$N$7</f>
        <v>1064</v>
      </c>
      <c r="B1066" s="18">
        <f t="shared" si="1"/>
        <v>11.24575559</v>
      </c>
      <c r="C1066" s="13">
        <f t="shared" si="2"/>
        <v>1</v>
      </c>
      <c r="D1066" s="13">
        <f t="shared" si="3"/>
        <v>0</v>
      </c>
      <c r="O1066" s="4"/>
      <c r="P1066" s="4"/>
      <c r="Q1066" s="4"/>
      <c r="R1066" s="4"/>
    </row>
    <row r="1067" ht="15.75" customHeight="1">
      <c r="A1067" s="13">
        <f>A1066+'Energy Balance'!$N$7</f>
        <v>1065</v>
      </c>
      <c r="B1067" s="18">
        <f t="shared" si="1"/>
        <v>11.25632491</v>
      </c>
      <c r="C1067" s="13">
        <f t="shared" si="2"/>
        <v>1</v>
      </c>
      <c r="D1067" s="13">
        <f t="shared" si="3"/>
        <v>0</v>
      </c>
      <c r="O1067" s="4"/>
      <c r="P1067" s="4"/>
      <c r="Q1067" s="4"/>
      <c r="R1067" s="4"/>
    </row>
    <row r="1068" ht="15.75" customHeight="1">
      <c r="A1068" s="13">
        <f>A1067+'Energy Balance'!$N$7</f>
        <v>1066</v>
      </c>
      <c r="B1068" s="18">
        <f t="shared" si="1"/>
        <v>11.26689423</v>
      </c>
      <c r="C1068" s="13">
        <f t="shared" si="2"/>
        <v>1</v>
      </c>
      <c r="D1068" s="13">
        <f t="shared" si="3"/>
        <v>0</v>
      </c>
      <c r="O1068" s="4"/>
      <c r="P1068" s="4"/>
      <c r="Q1068" s="4"/>
      <c r="R1068" s="4"/>
    </row>
    <row r="1069" ht="15.75" customHeight="1">
      <c r="A1069" s="13">
        <f>A1068+'Energy Balance'!$N$7</f>
        <v>1067</v>
      </c>
      <c r="B1069" s="18">
        <f t="shared" si="1"/>
        <v>11.27746355</v>
      </c>
      <c r="C1069" s="13">
        <f t="shared" si="2"/>
        <v>1</v>
      </c>
      <c r="D1069" s="13">
        <f t="shared" si="3"/>
        <v>0</v>
      </c>
      <c r="O1069" s="4"/>
      <c r="P1069" s="4"/>
      <c r="Q1069" s="4"/>
      <c r="R1069" s="4"/>
    </row>
    <row r="1070" ht="15.75" customHeight="1">
      <c r="A1070" s="13">
        <f>A1069+'Energy Balance'!$N$7</f>
        <v>1068</v>
      </c>
      <c r="B1070" s="18">
        <f t="shared" si="1"/>
        <v>11.28803287</v>
      </c>
      <c r="C1070" s="13">
        <f t="shared" si="2"/>
        <v>1</v>
      </c>
      <c r="D1070" s="13">
        <f t="shared" si="3"/>
        <v>0</v>
      </c>
      <c r="O1070" s="4"/>
      <c r="P1070" s="4"/>
      <c r="Q1070" s="4"/>
      <c r="R1070" s="4"/>
    </row>
    <row r="1071" ht="15.75" customHeight="1">
      <c r="A1071" s="13">
        <f>A1070+'Energy Balance'!$N$7</f>
        <v>1069</v>
      </c>
      <c r="B1071" s="18">
        <f t="shared" si="1"/>
        <v>11.29860219</v>
      </c>
      <c r="C1071" s="13">
        <f t="shared" si="2"/>
        <v>1</v>
      </c>
      <c r="D1071" s="13">
        <f t="shared" si="3"/>
        <v>0</v>
      </c>
      <c r="O1071" s="4"/>
      <c r="P1071" s="4"/>
      <c r="Q1071" s="4"/>
      <c r="R1071" s="4"/>
    </row>
    <row r="1072" ht="15.75" customHeight="1">
      <c r="A1072" s="13">
        <f>A1071+'Energy Balance'!$N$7</f>
        <v>1070</v>
      </c>
      <c r="B1072" s="18">
        <f t="shared" si="1"/>
        <v>11.30917151</v>
      </c>
      <c r="C1072" s="13">
        <f t="shared" si="2"/>
        <v>1</v>
      </c>
      <c r="D1072" s="13">
        <f t="shared" si="3"/>
        <v>0</v>
      </c>
      <c r="O1072" s="4"/>
      <c r="P1072" s="4"/>
      <c r="Q1072" s="4"/>
      <c r="R1072" s="4"/>
    </row>
    <row r="1073" ht="15.75" customHeight="1">
      <c r="A1073" s="13">
        <f>A1072+'Energy Balance'!$N$7</f>
        <v>1071</v>
      </c>
      <c r="B1073" s="18">
        <f t="shared" si="1"/>
        <v>11.31974083</v>
      </c>
      <c r="C1073" s="13">
        <f t="shared" si="2"/>
        <v>1</v>
      </c>
      <c r="D1073" s="13">
        <f t="shared" si="3"/>
        <v>0</v>
      </c>
      <c r="O1073" s="4"/>
      <c r="P1073" s="4"/>
      <c r="Q1073" s="4"/>
      <c r="R1073" s="4"/>
    </row>
    <row r="1074" ht="15.75" customHeight="1">
      <c r="A1074" s="13">
        <f>A1073+'Energy Balance'!$N$7</f>
        <v>1072</v>
      </c>
      <c r="B1074" s="18">
        <f t="shared" si="1"/>
        <v>11.33031015</v>
      </c>
      <c r="C1074" s="13">
        <f t="shared" si="2"/>
        <v>1</v>
      </c>
      <c r="D1074" s="13">
        <f t="shared" si="3"/>
        <v>0</v>
      </c>
      <c r="O1074" s="4"/>
      <c r="P1074" s="4"/>
      <c r="Q1074" s="4"/>
      <c r="R1074" s="4"/>
    </row>
    <row r="1075" ht="15.75" customHeight="1">
      <c r="A1075" s="13">
        <f>A1074+'Energy Balance'!$N$7</f>
        <v>1073</v>
      </c>
      <c r="B1075" s="18">
        <f t="shared" si="1"/>
        <v>11.34087946</v>
      </c>
      <c r="C1075" s="13">
        <f t="shared" si="2"/>
        <v>1</v>
      </c>
      <c r="D1075" s="13">
        <f t="shared" si="3"/>
        <v>0</v>
      </c>
      <c r="O1075" s="4"/>
      <c r="P1075" s="4"/>
      <c r="Q1075" s="4"/>
      <c r="R1075" s="4"/>
    </row>
    <row r="1076" ht="15.75" customHeight="1">
      <c r="A1076" s="13">
        <f>A1075+'Energy Balance'!$N$7</f>
        <v>1074</v>
      </c>
      <c r="B1076" s="18">
        <f t="shared" si="1"/>
        <v>11.35144878</v>
      </c>
      <c r="C1076" s="13">
        <f t="shared" si="2"/>
        <v>1</v>
      </c>
      <c r="D1076" s="13">
        <f t="shared" si="3"/>
        <v>0</v>
      </c>
      <c r="O1076" s="4"/>
      <c r="P1076" s="4"/>
      <c r="Q1076" s="4"/>
      <c r="R1076" s="4"/>
    </row>
    <row r="1077" ht="15.75" customHeight="1">
      <c r="A1077" s="13">
        <f>A1076+'Energy Balance'!$N$7</f>
        <v>1075</v>
      </c>
      <c r="B1077" s="18">
        <f t="shared" si="1"/>
        <v>11.3620181</v>
      </c>
      <c r="C1077" s="13">
        <f t="shared" si="2"/>
        <v>1</v>
      </c>
      <c r="D1077" s="13">
        <f t="shared" si="3"/>
        <v>0</v>
      </c>
      <c r="O1077" s="4"/>
      <c r="P1077" s="4"/>
      <c r="Q1077" s="4"/>
      <c r="R1077" s="4"/>
    </row>
    <row r="1078" ht="15.75" customHeight="1">
      <c r="A1078" s="13">
        <f>A1077+'Energy Balance'!$N$7</f>
        <v>1076</v>
      </c>
      <c r="B1078" s="18">
        <f t="shared" si="1"/>
        <v>11.37258742</v>
      </c>
      <c r="C1078" s="13">
        <f t="shared" si="2"/>
        <v>1</v>
      </c>
      <c r="D1078" s="13">
        <f t="shared" si="3"/>
        <v>0</v>
      </c>
      <c r="O1078" s="4"/>
      <c r="P1078" s="4"/>
      <c r="Q1078" s="4"/>
      <c r="R1078" s="4"/>
    </row>
    <row r="1079" ht="15.75" customHeight="1">
      <c r="A1079" s="13">
        <f>A1078+'Energy Balance'!$N$7</f>
        <v>1077</v>
      </c>
      <c r="B1079" s="18">
        <f t="shared" si="1"/>
        <v>11.38315674</v>
      </c>
      <c r="C1079" s="13">
        <f t="shared" si="2"/>
        <v>1</v>
      </c>
      <c r="D1079" s="13">
        <f t="shared" si="3"/>
        <v>0</v>
      </c>
      <c r="O1079" s="4"/>
      <c r="P1079" s="4"/>
      <c r="Q1079" s="4"/>
      <c r="R1079" s="4"/>
    </row>
    <row r="1080" ht="15.75" customHeight="1">
      <c r="A1080" s="13">
        <f>A1079+'Energy Balance'!$N$7</f>
        <v>1078</v>
      </c>
      <c r="B1080" s="18">
        <f t="shared" si="1"/>
        <v>11.39372606</v>
      </c>
      <c r="C1080" s="13">
        <f t="shared" si="2"/>
        <v>1</v>
      </c>
      <c r="D1080" s="13">
        <f t="shared" si="3"/>
        <v>0</v>
      </c>
      <c r="O1080" s="4"/>
      <c r="P1080" s="4"/>
      <c r="Q1080" s="4"/>
      <c r="R1080" s="4"/>
    </row>
    <row r="1081" ht="15.75" customHeight="1">
      <c r="A1081" s="13">
        <f>A1080+'Energy Balance'!$N$7</f>
        <v>1079</v>
      </c>
      <c r="B1081" s="18">
        <f t="shared" si="1"/>
        <v>11.40429538</v>
      </c>
      <c r="C1081" s="13">
        <f t="shared" si="2"/>
        <v>1</v>
      </c>
      <c r="D1081" s="13">
        <f t="shared" si="3"/>
        <v>0</v>
      </c>
      <c r="O1081" s="4"/>
      <c r="P1081" s="4"/>
      <c r="Q1081" s="4"/>
      <c r="R1081" s="4"/>
    </row>
    <row r="1082" ht="15.75" customHeight="1">
      <c r="A1082" s="13">
        <f>A1081+'Energy Balance'!$N$7</f>
        <v>1080</v>
      </c>
      <c r="B1082" s="18">
        <f t="shared" si="1"/>
        <v>11.4148647</v>
      </c>
      <c r="C1082" s="13">
        <f t="shared" si="2"/>
        <v>1</v>
      </c>
      <c r="D1082" s="13">
        <f t="shared" si="3"/>
        <v>0</v>
      </c>
      <c r="O1082" s="4"/>
      <c r="P1082" s="4"/>
      <c r="Q1082" s="4"/>
      <c r="R1082" s="4"/>
    </row>
    <row r="1083" ht="15.75" customHeight="1">
      <c r="A1083" s="13">
        <f>A1082+'Energy Balance'!$N$7</f>
        <v>1081</v>
      </c>
      <c r="B1083" s="18">
        <f t="shared" si="1"/>
        <v>11.42543402</v>
      </c>
      <c r="C1083" s="13">
        <f t="shared" si="2"/>
        <v>1</v>
      </c>
      <c r="D1083" s="13">
        <f t="shared" si="3"/>
        <v>0</v>
      </c>
      <c r="O1083" s="4"/>
      <c r="P1083" s="4"/>
      <c r="Q1083" s="4"/>
      <c r="R1083" s="4"/>
    </row>
    <row r="1084" ht="15.75" customHeight="1">
      <c r="A1084" s="13">
        <f>A1083+'Energy Balance'!$N$7</f>
        <v>1082</v>
      </c>
      <c r="B1084" s="18">
        <f t="shared" si="1"/>
        <v>11.43600334</v>
      </c>
      <c r="C1084" s="13">
        <f t="shared" si="2"/>
        <v>1</v>
      </c>
      <c r="D1084" s="13">
        <f t="shared" si="3"/>
        <v>0</v>
      </c>
      <c r="O1084" s="4"/>
      <c r="P1084" s="4"/>
      <c r="Q1084" s="4"/>
      <c r="R1084" s="4"/>
    </row>
    <row r="1085" ht="15.75" customHeight="1">
      <c r="A1085" s="13">
        <f>A1084+'Energy Balance'!$N$7</f>
        <v>1083</v>
      </c>
      <c r="B1085" s="18">
        <f t="shared" si="1"/>
        <v>11.44657266</v>
      </c>
      <c r="C1085" s="13">
        <f t="shared" si="2"/>
        <v>1</v>
      </c>
      <c r="D1085" s="13">
        <f t="shared" si="3"/>
        <v>0</v>
      </c>
      <c r="O1085" s="4"/>
      <c r="P1085" s="4"/>
      <c r="Q1085" s="4"/>
      <c r="R1085" s="4"/>
    </row>
    <row r="1086" ht="15.75" customHeight="1">
      <c r="A1086" s="13">
        <f>A1085+'Energy Balance'!$N$7</f>
        <v>1084</v>
      </c>
      <c r="B1086" s="18">
        <f t="shared" si="1"/>
        <v>11.45714198</v>
      </c>
      <c r="C1086" s="13">
        <f t="shared" si="2"/>
        <v>1</v>
      </c>
      <c r="D1086" s="13">
        <f t="shared" si="3"/>
        <v>0</v>
      </c>
      <c r="O1086" s="4"/>
      <c r="P1086" s="4"/>
      <c r="Q1086" s="4"/>
      <c r="R1086" s="4"/>
    </row>
    <row r="1087" ht="15.75" customHeight="1">
      <c r="A1087" s="13">
        <f>A1086+'Energy Balance'!$N$7</f>
        <v>1085</v>
      </c>
      <c r="B1087" s="18">
        <f t="shared" si="1"/>
        <v>11.46771129</v>
      </c>
      <c r="C1087" s="13">
        <f t="shared" si="2"/>
        <v>1</v>
      </c>
      <c r="D1087" s="13">
        <f t="shared" si="3"/>
        <v>0</v>
      </c>
      <c r="O1087" s="4"/>
      <c r="P1087" s="4"/>
      <c r="Q1087" s="4"/>
      <c r="R1087" s="4"/>
    </row>
    <row r="1088" ht="15.75" customHeight="1">
      <c r="A1088" s="13">
        <f>A1087+'Energy Balance'!$N$7</f>
        <v>1086</v>
      </c>
      <c r="B1088" s="18">
        <f t="shared" si="1"/>
        <v>11.47828061</v>
      </c>
      <c r="C1088" s="13">
        <f t="shared" si="2"/>
        <v>1</v>
      </c>
      <c r="D1088" s="13">
        <f t="shared" si="3"/>
        <v>0</v>
      </c>
      <c r="O1088" s="4"/>
      <c r="P1088" s="4"/>
      <c r="Q1088" s="4"/>
      <c r="R1088" s="4"/>
    </row>
    <row r="1089" ht="15.75" customHeight="1">
      <c r="A1089" s="13">
        <f>A1088+'Energy Balance'!$N$7</f>
        <v>1087</v>
      </c>
      <c r="B1089" s="18">
        <f t="shared" si="1"/>
        <v>11.48884993</v>
      </c>
      <c r="C1089" s="13">
        <f t="shared" si="2"/>
        <v>1</v>
      </c>
      <c r="D1089" s="13">
        <f t="shared" si="3"/>
        <v>0</v>
      </c>
      <c r="O1089" s="4"/>
      <c r="P1089" s="4"/>
      <c r="Q1089" s="4"/>
      <c r="R1089" s="4"/>
    </row>
    <row r="1090" ht="15.75" customHeight="1">
      <c r="A1090" s="13">
        <f>A1089+'Energy Balance'!$N$7</f>
        <v>1088</v>
      </c>
      <c r="B1090" s="18">
        <f t="shared" si="1"/>
        <v>11.49941925</v>
      </c>
      <c r="C1090" s="13">
        <f t="shared" si="2"/>
        <v>1</v>
      </c>
      <c r="D1090" s="13">
        <f t="shared" si="3"/>
        <v>0</v>
      </c>
      <c r="O1090" s="4"/>
      <c r="P1090" s="4"/>
      <c r="Q1090" s="4"/>
      <c r="R1090" s="4"/>
    </row>
    <row r="1091" ht="15.75" customHeight="1">
      <c r="A1091" s="13">
        <f>A1090+'Energy Balance'!$N$7</f>
        <v>1089</v>
      </c>
      <c r="B1091" s="18">
        <f t="shared" si="1"/>
        <v>11.50998857</v>
      </c>
      <c r="C1091" s="13">
        <f t="shared" si="2"/>
        <v>1</v>
      </c>
      <c r="D1091" s="13">
        <f t="shared" si="3"/>
        <v>0</v>
      </c>
      <c r="O1091" s="4"/>
      <c r="P1091" s="4"/>
      <c r="Q1091" s="4"/>
      <c r="R1091" s="4"/>
    </row>
    <row r="1092" ht="15.75" customHeight="1">
      <c r="A1092" s="13">
        <f>A1091+'Energy Balance'!$N$7</f>
        <v>1090</v>
      </c>
      <c r="B1092" s="18">
        <f t="shared" si="1"/>
        <v>11.52055789</v>
      </c>
      <c r="C1092" s="13">
        <f t="shared" si="2"/>
        <v>1</v>
      </c>
      <c r="D1092" s="13">
        <f t="shared" si="3"/>
        <v>0</v>
      </c>
      <c r="O1092" s="4"/>
      <c r="P1092" s="4"/>
      <c r="Q1092" s="4"/>
      <c r="R1092" s="4"/>
    </row>
    <row r="1093" ht="15.75" customHeight="1">
      <c r="A1093" s="13">
        <f>A1092+'Energy Balance'!$N$7</f>
        <v>1091</v>
      </c>
      <c r="B1093" s="18">
        <f t="shared" si="1"/>
        <v>11.53112721</v>
      </c>
      <c r="C1093" s="13">
        <f t="shared" si="2"/>
        <v>1</v>
      </c>
      <c r="D1093" s="13">
        <f t="shared" si="3"/>
        <v>0</v>
      </c>
      <c r="O1093" s="4"/>
      <c r="P1093" s="4"/>
      <c r="Q1093" s="4"/>
      <c r="R1093" s="4"/>
    </row>
    <row r="1094" ht="15.75" customHeight="1">
      <c r="A1094" s="13">
        <f>A1093+'Energy Balance'!$N$7</f>
        <v>1092</v>
      </c>
      <c r="B1094" s="18">
        <f t="shared" si="1"/>
        <v>11.54169653</v>
      </c>
      <c r="C1094" s="13">
        <f t="shared" si="2"/>
        <v>1</v>
      </c>
      <c r="D1094" s="13">
        <f t="shared" si="3"/>
        <v>0</v>
      </c>
      <c r="O1094" s="4"/>
      <c r="P1094" s="4"/>
      <c r="Q1094" s="4"/>
      <c r="R1094" s="4"/>
    </row>
    <row r="1095" ht="15.75" customHeight="1">
      <c r="A1095" s="13">
        <f>A1094+'Energy Balance'!$N$7</f>
        <v>1093</v>
      </c>
      <c r="B1095" s="18">
        <f t="shared" si="1"/>
        <v>11.55226585</v>
      </c>
      <c r="C1095" s="13">
        <f t="shared" si="2"/>
        <v>1</v>
      </c>
      <c r="D1095" s="13">
        <f t="shared" si="3"/>
        <v>0</v>
      </c>
      <c r="O1095" s="4"/>
      <c r="P1095" s="4"/>
      <c r="Q1095" s="4"/>
      <c r="R1095" s="4"/>
    </row>
    <row r="1096" ht="15.75" customHeight="1">
      <c r="A1096" s="13">
        <f>A1095+'Energy Balance'!$N$7</f>
        <v>1094</v>
      </c>
      <c r="B1096" s="18">
        <f t="shared" si="1"/>
        <v>11.56283517</v>
      </c>
      <c r="C1096" s="13">
        <f t="shared" si="2"/>
        <v>1</v>
      </c>
      <c r="D1096" s="13">
        <f t="shared" si="3"/>
        <v>0</v>
      </c>
      <c r="O1096" s="4"/>
      <c r="P1096" s="4"/>
      <c r="Q1096" s="4"/>
      <c r="R1096" s="4"/>
    </row>
    <row r="1097" ht="15.75" customHeight="1">
      <c r="A1097" s="13">
        <f>A1096+'Energy Balance'!$N$7</f>
        <v>1095</v>
      </c>
      <c r="B1097" s="18">
        <f t="shared" si="1"/>
        <v>11.57340449</v>
      </c>
      <c r="C1097" s="13">
        <f t="shared" si="2"/>
        <v>1</v>
      </c>
      <c r="D1097" s="13">
        <f t="shared" si="3"/>
        <v>0</v>
      </c>
      <c r="O1097" s="4"/>
      <c r="P1097" s="4"/>
      <c r="Q1097" s="4"/>
      <c r="R1097" s="4"/>
    </row>
    <row r="1098" ht="15.75" customHeight="1">
      <c r="A1098" s="13">
        <f>A1097+'Energy Balance'!$N$7</f>
        <v>1096</v>
      </c>
      <c r="B1098" s="18">
        <f t="shared" si="1"/>
        <v>11.58397381</v>
      </c>
      <c r="C1098" s="13">
        <f t="shared" si="2"/>
        <v>1</v>
      </c>
      <c r="D1098" s="13">
        <f t="shared" si="3"/>
        <v>0</v>
      </c>
      <c r="O1098" s="4"/>
      <c r="P1098" s="4"/>
      <c r="Q1098" s="4"/>
      <c r="R1098" s="4"/>
    </row>
    <row r="1099" ht="15.75" customHeight="1">
      <c r="A1099" s="13">
        <f>A1098+'Energy Balance'!$N$7</f>
        <v>1097</v>
      </c>
      <c r="B1099" s="18">
        <f t="shared" si="1"/>
        <v>11.59454312</v>
      </c>
      <c r="C1099" s="13">
        <f t="shared" si="2"/>
        <v>1</v>
      </c>
      <c r="D1099" s="13">
        <f t="shared" si="3"/>
        <v>0</v>
      </c>
      <c r="O1099" s="4"/>
      <c r="P1099" s="4"/>
      <c r="Q1099" s="4"/>
      <c r="R1099" s="4"/>
    </row>
    <row r="1100" ht="15.75" customHeight="1">
      <c r="A1100" s="13">
        <f>A1099+'Energy Balance'!$N$7</f>
        <v>1098</v>
      </c>
      <c r="B1100" s="18">
        <f t="shared" si="1"/>
        <v>11.60511244</v>
      </c>
      <c r="C1100" s="13">
        <f t="shared" si="2"/>
        <v>1</v>
      </c>
      <c r="D1100" s="13">
        <f t="shared" si="3"/>
        <v>0</v>
      </c>
      <c r="O1100" s="4"/>
      <c r="P1100" s="4"/>
      <c r="Q1100" s="4"/>
      <c r="R1100" s="4"/>
    </row>
    <row r="1101" ht="15.75" customHeight="1">
      <c r="A1101" s="13">
        <f>A1100+'Energy Balance'!$N$7</f>
        <v>1099</v>
      </c>
      <c r="B1101" s="18">
        <f t="shared" si="1"/>
        <v>11.61568176</v>
      </c>
      <c r="C1101" s="13">
        <f t="shared" si="2"/>
        <v>1</v>
      </c>
      <c r="D1101" s="13">
        <f t="shared" si="3"/>
        <v>0</v>
      </c>
      <c r="O1101" s="4"/>
      <c r="P1101" s="4"/>
      <c r="Q1101" s="4"/>
      <c r="R1101" s="4"/>
    </row>
    <row r="1102" ht="15.75" customHeight="1">
      <c r="A1102" s="13">
        <f>A1101+'Energy Balance'!$N$7</f>
        <v>1100</v>
      </c>
      <c r="B1102" s="18">
        <f t="shared" si="1"/>
        <v>11.62625108</v>
      </c>
      <c r="C1102" s="13">
        <f t="shared" si="2"/>
        <v>0</v>
      </c>
      <c r="D1102" s="13">
        <f t="shared" si="3"/>
        <v>1</v>
      </c>
      <c r="O1102" s="4"/>
      <c r="P1102" s="4"/>
      <c r="Q1102" s="4"/>
      <c r="R1102" s="4"/>
    </row>
    <row r="1103" ht="15.75" customHeight="1">
      <c r="A1103" s="13">
        <f>A1102+'Energy Balance'!$N$7</f>
        <v>1101</v>
      </c>
      <c r="B1103" s="18">
        <f t="shared" si="1"/>
        <v>11.6368204</v>
      </c>
      <c r="C1103" s="13">
        <f t="shared" si="2"/>
        <v>0</v>
      </c>
      <c r="D1103" s="13">
        <f t="shared" si="3"/>
        <v>1</v>
      </c>
      <c r="O1103" s="4"/>
      <c r="P1103" s="4"/>
      <c r="Q1103" s="4"/>
      <c r="R1103" s="4"/>
    </row>
    <row r="1104" ht="15.75" customHeight="1">
      <c r="A1104" s="13">
        <f>A1103+'Energy Balance'!$N$7</f>
        <v>1102</v>
      </c>
      <c r="B1104" s="18">
        <f t="shared" si="1"/>
        <v>11.64738972</v>
      </c>
      <c r="C1104" s="13">
        <f t="shared" si="2"/>
        <v>0</v>
      </c>
      <c r="D1104" s="13">
        <f t="shared" si="3"/>
        <v>1</v>
      </c>
      <c r="O1104" s="4"/>
      <c r="P1104" s="4"/>
      <c r="Q1104" s="4"/>
      <c r="R1104" s="4"/>
    </row>
    <row r="1105" ht="15.75" customHeight="1">
      <c r="A1105" s="13">
        <f>A1104+'Energy Balance'!$N$7</f>
        <v>1103</v>
      </c>
      <c r="B1105" s="18">
        <f t="shared" si="1"/>
        <v>11.65795904</v>
      </c>
      <c r="C1105" s="13">
        <f t="shared" si="2"/>
        <v>0</v>
      </c>
      <c r="D1105" s="13">
        <f t="shared" si="3"/>
        <v>1</v>
      </c>
      <c r="O1105" s="4"/>
      <c r="P1105" s="4"/>
      <c r="Q1105" s="4"/>
      <c r="R1105" s="4"/>
    </row>
    <row r="1106" ht="15.75" customHeight="1">
      <c r="A1106" s="13">
        <f>A1105+'Energy Balance'!$N$7</f>
        <v>1104</v>
      </c>
      <c r="B1106" s="18">
        <f t="shared" si="1"/>
        <v>11.66852836</v>
      </c>
      <c r="C1106" s="13">
        <f t="shared" si="2"/>
        <v>0</v>
      </c>
      <c r="D1106" s="13">
        <f t="shared" si="3"/>
        <v>1</v>
      </c>
      <c r="O1106" s="4"/>
      <c r="P1106" s="4"/>
      <c r="Q1106" s="4"/>
      <c r="R1106" s="4"/>
    </row>
    <row r="1107" ht="15.75" customHeight="1">
      <c r="A1107" s="13">
        <f>A1106+'Energy Balance'!$N$7</f>
        <v>1105</v>
      </c>
      <c r="B1107" s="18">
        <f t="shared" si="1"/>
        <v>11.67909768</v>
      </c>
      <c r="C1107" s="13">
        <f t="shared" si="2"/>
        <v>0</v>
      </c>
      <c r="D1107" s="13">
        <f t="shared" si="3"/>
        <v>1</v>
      </c>
      <c r="O1107" s="4"/>
      <c r="P1107" s="4"/>
      <c r="Q1107" s="4"/>
      <c r="R1107" s="4"/>
    </row>
    <row r="1108" ht="15.75" customHeight="1">
      <c r="A1108" s="13">
        <f>A1107+'Energy Balance'!$N$7</f>
        <v>1106</v>
      </c>
      <c r="B1108" s="18">
        <f t="shared" si="1"/>
        <v>11.689667</v>
      </c>
      <c r="C1108" s="13">
        <f t="shared" si="2"/>
        <v>0</v>
      </c>
      <c r="D1108" s="13">
        <f t="shared" si="3"/>
        <v>1</v>
      </c>
      <c r="O1108" s="4"/>
      <c r="P1108" s="4"/>
      <c r="Q1108" s="4"/>
      <c r="R1108" s="4"/>
    </row>
    <row r="1109" ht="15.75" customHeight="1">
      <c r="A1109" s="13">
        <f>A1108+'Energy Balance'!$N$7</f>
        <v>1107</v>
      </c>
      <c r="B1109" s="18">
        <f t="shared" si="1"/>
        <v>11.70023632</v>
      </c>
      <c r="C1109" s="13">
        <f t="shared" si="2"/>
        <v>0</v>
      </c>
      <c r="D1109" s="13">
        <f t="shared" si="3"/>
        <v>1</v>
      </c>
      <c r="O1109" s="4"/>
      <c r="P1109" s="4"/>
      <c r="Q1109" s="4"/>
      <c r="R1109" s="4"/>
    </row>
    <row r="1110" ht="15.75" customHeight="1">
      <c r="A1110" s="13">
        <f>A1109+'Energy Balance'!$N$7</f>
        <v>1108</v>
      </c>
      <c r="B1110" s="18">
        <f t="shared" si="1"/>
        <v>11.71080564</v>
      </c>
      <c r="C1110" s="13">
        <f t="shared" si="2"/>
        <v>0</v>
      </c>
      <c r="D1110" s="13">
        <f t="shared" si="3"/>
        <v>1</v>
      </c>
      <c r="O1110" s="4"/>
      <c r="P1110" s="4"/>
      <c r="Q1110" s="4"/>
      <c r="R1110" s="4"/>
    </row>
    <row r="1111" ht="15.75" customHeight="1">
      <c r="A1111" s="13">
        <f>A1110+'Energy Balance'!$N$7</f>
        <v>1109</v>
      </c>
      <c r="B1111" s="18">
        <f t="shared" si="1"/>
        <v>11.72137495</v>
      </c>
      <c r="C1111" s="13">
        <f t="shared" si="2"/>
        <v>0</v>
      </c>
      <c r="D1111" s="13">
        <f t="shared" si="3"/>
        <v>1</v>
      </c>
      <c r="O1111" s="4"/>
      <c r="P1111" s="4"/>
      <c r="Q1111" s="4"/>
      <c r="R1111" s="4"/>
    </row>
    <row r="1112" ht="15.75" customHeight="1">
      <c r="A1112" s="13">
        <f>A1111+'Energy Balance'!$N$7</f>
        <v>1110</v>
      </c>
      <c r="B1112" s="18">
        <f t="shared" si="1"/>
        <v>11.73194427</v>
      </c>
      <c r="C1112" s="13">
        <f t="shared" si="2"/>
        <v>0</v>
      </c>
      <c r="D1112" s="13">
        <f t="shared" si="3"/>
        <v>1</v>
      </c>
      <c r="O1112" s="4"/>
      <c r="P1112" s="4"/>
      <c r="Q1112" s="4"/>
      <c r="R1112" s="4"/>
    </row>
    <row r="1113" ht="15.75" customHeight="1">
      <c r="A1113" s="13">
        <f>A1112+'Energy Balance'!$N$7</f>
        <v>1111</v>
      </c>
      <c r="B1113" s="18">
        <f t="shared" si="1"/>
        <v>11.74251359</v>
      </c>
      <c r="C1113" s="13">
        <f t="shared" si="2"/>
        <v>0</v>
      </c>
      <c r="D1113" s="13">
        <f t="shared" si="3"/>
        <v>1</v>
      </c>
      <c r="O1113" s="4"/>
      <c r="P1113" s="4"/>
      <c r="Q1113" s="4"/>
      <c r="R1113" s="4"/>
    </row>
    <row r="1114" ht="15.75" customHeight="1">
      <c r="A1114" s="13">
        <f>A1113+'Energy Balance'!$N$7</f>
        <v>1112</v>
      </c>
      <c r="B1114" s="18">
        <f t="shared" si="1"/>
        <v>11.75308291</v>
      </c>
      <c r="C1114" s="13">
        <f t="shared" si="2"/>
        <v>0</v>
      </c>
      <c r="D1114" s="13">
        <f t="shared" si="3"/>
        <v>1</v>
      </c>
      <c r="O1114" s="4"/>
      <c r="P1114" s="4"/>
      <c r="Q1114" s="4"/>
      <c r="R1114" s="4"/>
    </row>
    <row r="1115" ht="15.75" customHeight="1">
      <c r="A1115" s="13">
        <f>A1114+'Energy Balance'!$N$7</f>
        <v>1113</v>
      </c>
      <c r="B1115" s="18">
        <f t="shared" si="1"/>
        <v>11.76365223</v>
      </c>
      <c r="C1115" s="13">
        <f t="shared" si="2"/>
        <v>0</v>
      </c>
      <c r="D1115" s="13">
        <f t="shared" si="3"/>
        <v>1</v>
      </c>
      <c r="O1115" s="4"/>
      <c r="P1115" s="4"/>
      <c r="Q1115" s="4"/>
      <c r="R1115" s="4"/>
    </row>
    <row r="1116" ht="15.75" customHeight="1">
      <c r="A1116" s="13">
        <f>A1115+'Energy Balance'!$N$7</f>
        <v>1114</v>
      </c>
      <c r="B1116" s="18">
        <f t="shared" si="1"/>
        <v>11.77422155</v>
      </c>
      <c r="C1116" s="13">
        <f t="shared" si="2"/>
        <v>0</v>
      </c>
      <c r="D1116" s="13">
        <f t="shared" si="3"/>
        <v>1</v>
      </c>
      <c r="O1116" s="4"/>
      <c r="P1116" s="4"/>
      <c r="Q1116" s="4"/>
      <c r="R1116" s="4"/>
    </row>
    <row r="1117" ht="15.75" customHeight="1">
      <c r="A1117" s="13">
        <f>A1116+'Energy Balance'!$N$7</f>
        <v>1115</v>
      </c>
      <c r="B1117" s="18">
        <f t="shared" si="1"/>
        <v>11.78479087</v>
      </c>
      <c r="C1117" s="13">
        <f t="shared" si="2"/>
        <v>0</v>
      </c>
      <c r="D1117" s="13">
        <f t="shared" si="3"/>
        <v>1</v>
      </c>
      <c r="O1117" s="4"/>
      <c r="P1117" s="4"/>
      <c r="Q1117" s="4"/>
      <c r="R1117" s="4"/>
    </row>
    <row r="1118" ht="15.75" customHeight="1">
      <c r="A1118" s="13">
        <f>A1117+'Energy Balance'!$N$7</f>
        <v>1116</v>
      </c>
      <c r="B1118" s="18">
        <f t="shared" si="1"/>
        <v>11.79536019</v>
      </c>
      <c r="C1118" s="13">
        <f t="shared" si="2"/>
        <v>0</v>
      </c>
      <c r="D1118" s="13">
        <f t="shared" si="3"/>
        <v>1</v>
      </c>
      <c r="O1118" s="4"/>
      <c r="P1118" s="4"/>
      <c r="Q1118" s="4"/>
      <c r="R1118" s="4"/>
    </row>
    <row r="1119" ht="15.75" customHeight="1">
      <c r="A1119" s="13">
        <f>A1118+'Energy Balance'!$N$7</f>
        <v>1117</v>
      </c>
      <c r="B1119" s="18">
        <f t="shared" si="1"/>
        <v>11.80592951</v>
      </c>
      <c r="C1119" s="13">
        <f t="shared" si="2"/>
        <v>0</v>
      </c>
      <c r="D1119" s="13">
        <f t="shared" si="3"/>
        <v>1</v>
      </c>
      <c r="O1119" s="4"/>
      <c r="P1119" s="4"/>
      <c r="Q1119" s="4"/>
      <c r="R1119" s="4"/>
    </row>
    <row r="1120" ht="15.75" customHeight="1">
      <c r="A1120" s="13">
        <f>A1119+'Energy Balance'!$N$7</f>
        <v>1118</v>
      </c>
      <c r="B1120" s="18">
        <f t="shared" si="1"/>
        <v>11.81649883</v>
      </c>
      <c r="C1120" s="13">
        <f t="shared" si="2"/>
        <v>0</v>
      </c>
      <c r="D1120" s="13">
        <f t="shared" si="3"/>
        <v>1</v>
      </c>
      <c r="O1120" s="4"/>
      <c r="P1120" s="4"/>
      <c r="Q1120" s="4"/>
      <c r="R1120" s="4"/>
    </row>
    <row r="1121" ht="15.75" customHeight="1">
      <c r="A1121" s="13">
        <f>A1120+'Energy Balance'!$N$7</f>
        <v>1119</v>
      </c>
      <c r="B1121" s="18">
        <f t="shared" si="1"/>
        <v>11.82706815</v>
      </c>
      <c r="C1121" s="13">
        <f t="shared" si="2"/>
        <v>0</v>
      </c>
      <c r="D1121" s="13">
        <f t="shared" si="3"/>
        <v>1</v>
      </c>
      <c r="O1121" s="4"/>
      <c r="P1121" s="4"/>
      <c r="Q1121" s="4"/>
      <c r="R1121" s="4"/>
    </row>
    <row r="1122" ht="15.75" customHeight="1">
      <c r="A1122" s="13">
        <f>A1121+'Energy Balance'!$N$7</f>
        <v>1120</v>
      </c>
      <c r="B1122" s="18">
        <f t="shared" si="1"/>
        <v>11.83763747</v>
      </c>
      <c r="C1122" s="13">
        <f t="shared" si="2"/>
        <v>0</v>
      </c>
      <c r="D1122" s="13">
        <f t="shared" si="3"/>
        <v>1</v>
      </c>
      <c r="O1122" s="4"/>
      <c r="P1122" s="4"/>
      <c r="Q1122" s="4"/>
      <c r="R1122" s="4"/>
    </row>
    <row r="1123" ht="15.75" customHeight="1">
      <c r="A1123" s="13">
        <f>A1122+'Energy Balance'!$N$7</f>
        <v>1121</v>
      </c>
      <c r="B1123" s="18">
        <f t="shared" si="1"/>
        <v>11.84820678</v>
      </c>
      <c r="C1123" s="13">
        <f t="shared" si="2"/>
        <v>0</v>
      </c>
      <c r="D1123" s="13">
        <f t="shared" si="3"/>
        <v>1</v>
      </c>
      <c r="O1123" s="4"/>
      <c r="P1123" s="4"/>
      <c r="Q1123" s="4"/>
      <c r="R1123" s="4"/>
    </row>
    <row r="1124" ht="15.75" customHeight="1">
      <c r="A1124" s="13">
        <f>A1123+'Energy Balance'!$N$7</f>
        <v>1122</v>
      </c>
      <c r="B1124" s="18">
        <f t="shared" si="1"/>
        <v>11.8587761</v>
      </c>
      <c r="C1124" s="13">
        <f t="shared" si="2"/>
        <v>0</v>
      </c>
      <c r="D1124" s="13">
        <f t="shared" si="3"/>
        <v>1</v>
      </c>
      <c r="O1124" s="4"/>
      <c r="P1124" s="4"/>
      <c r="Q1124" s="4"/>
      <c r="R1124" s="4"/>
    </row>
    <row r="1125" ht="15.75" customHeight="1">
      <c r="A1125" s="13">
        <f>A1124+'Energy Balance'!$N$7</f>
        <v>1123</v>
      </c>
      <c r="B1125" s="18">
        <f t="shared" si="1"/>
        <v>11.86934542</v>
      </c>
      <c r="C1125" s="13">
        <f t="shared" si="2"/>
        <v>0</v>
      </c>
      <c r="D1125" s="13">
        <f t="shared" si="3"/>
        <v>1</v>
      </c>
      <c r="O1125" s="4"/>
      <c r="P1125" s="4"/>
      <c r="Q1125" s="4"/>
      <c r="R1125" s="4"/>
    </row>
    <row r="1126" ht="15.75" customHeight="1">
      <c r="A1126" s="13">
        <f>A1125+'Energy Balance'!$N$7</f>
        <v>1124</v>
      </c>
      <c r="B1126" s="18">
        <f t="shared" si="1"/>
        <v>11.87991474</v>
      </c>
      <c r="C1126" s="13">
        <f t="shared" si="2"/>
        <v>0</v>
      </c>
      <c r="D1126" s="13">
        <f t="shared" si="3"/>
        <v>1</v>
      </c>
      <c r="O1126" s="4"/>
      <c r="P1126" s="4"/>
      <c r="Q1126" s="4"/>
      <c r="R1126" s="4"/>
    </row>
    <row r="1127" ht="15.75" customHeight="1">
      <c r="A1127" s="13">
        <f>A1126+'Energy Balance'!$N$7</f>
        <v>1125</v>
      </c>
      <c r="B1127" s="18">
        <f t="shared" si="1"/>
        <v>11.89048406</v>
      </c>
      <c r="C1127" s="13">
        <f t="shared" si="2"/>
        <v>0</v>
      </c>
      <c r="D1127" s="13">
        <f t="shared" si="3"/>
        <v>1</v>
      </c>
      <c r="O1127" s="4"/>
      <c r="P1127" s="4"/>
      <c r="Q1127" s="4"/>
      <c r="R1127" s="4"/>
    </row>
    <row r="1128" ht="15.75" customHeight="1">
      <c r="A1128" s="13">
        <f>A1127+'Energy Balance'!$N$7</f>
        <v>1126</v>
      </c>
      <c r="B1128" s="18">
        <f t="shared" si="1"/>
        <v>11.90105338</v>
      </c>
      <c r="C1128" s="13">
        <f t="shared" si="2"/>
        <v>0</v>
      </c>
      <c r="D1128" s="13">
        <f t="shared" si="3"/>
        <v>1</v>
      </c>
      <c r="O1128" s="4"/>
      <c r="P1128" s="4"/>
      <c r="Q1128" s="4"/>
      <c r="R1128" s="4"/>
    </row>
    <row r="1129" ht="15.75" customHeight="1">
      <c r="A1129" s="13">
        <f>A1128+'Energy Balance'!$N$7</f>
        <v>1127</v>
      </c>
      <c r="B1129" s="18">
        <f t="shared" si="1"/>
        <v>11.9116227</v>
      </c>
      <c r="C1129" s="13">
        <f t="shared" si="2"/>
        <v>0</v>
      </c>
      <c r="D1129" s="13">
        <f t="shared" si="3"/>
        <v>1</v>
      </c>
      <c r="O1129" s="4"/>
      <c r="P1129" s="4"/>
      <c r="Q1129" s="4"/>
      <c r="R1129" s="4"/>
    </row>
    <row r="1130" ht="15.75" customHeight="1">
      <c r="A1130" s="13">
        <f>A1129+'Energy Balance'!$N$7</f>
        <v>1128</v>
      </c>
      <c r="B1130" s="18">
        <f t="shared" si="1"/>
        <v>11.92219202</v>
      </c>
      <c r="C1130" s="13">
        <f t="shared" si="2"/>
        <v>0</v>
      </c>
      <c r="D1130" s="13">
        <f t="shared" si="3"/>
        <v>1</v>
      </c>
      <c r="O1130" s="4"/>
      <c r="P1130" s="4"/>
      <c r="Q1130" s="4"/>
      <c r="R1130" s="4"/>
    </row>
    <row r="1131" ht="15.75" customHeight="1">
      <c r="A1131" s="13">
        <f>A1130+'Energy Balance'!$N$7</f>
        <v>1129</v>
      </c>
      <c r="B1131" s="18">
        <f t="shared" si="1"/>
        <v>11.93276134</v>
      </c>
      <c r="C1131" s="13">
        <f t="shared" si="2"/>
        <v>0</v>
      </c>
      <c r="D1131" s="13">
        <f t="shared" si="3"/>
        <v>1</v>
      </c>
      <c r="O1131" s="4"/>
      <c r="P1131" s="4"/>
      <c r="Q1131" s="4"/>
      <c r="R1131" s="4"/>
    </row>
    <row r="1132" ht="15.75" customHeight="1">
      <c r="A1132" s="13">
        <f>A1131+'Energy Balance'!$N$7</f>
        <v>1130</v>
      </c>
      <c r="B1132" s="18">
        <f t="shared" si="1"/>
        <v>11.94333066</v>
      </c>
      <c r="C1132" s="13">
        <f t="shared" si="2"/>
        <v>0</v>
      </c>
      <c r="D1132" s="13">
        <f t="shared" si="3"/>
        <v>1</v>
      </c>
      <c r="O1132" s="4"/>
      <c r="P1132" s="4"/>
      <c r="Q1132" s="4"/>
      <c r="R1132" s="4"/>
    </row>
    <row r="1133" ht="15.75" customHeight="1">
      <c r="A1133" s="13">
        <f>A1132+'Energy Balance'!$N$7</f>
        <v>1131</v>
      </c>
      <c r="B1133" s="18">
        <f t="shared" si="1"/>
        <v>11.95389998</v>
      </c>
      <c r="C1133" s="13">
        <f t="shared" si="2"/>
        <v>0</v>
      </c>
      <c r="D1133" s="13">
        <f t="shared" si="3"/>
        <v>1</v>
      </c>
      <c r="O1133" s="4"/>
      <c r="P1133" s="4"/>
      <c r="Q1133" s="4"/>
      <c r="R1133" s="4"/>
    </row>
    <row r="1134" ht="15.75" customHeight="1">
      <c r="A1134" s="13">
        <f>A1133+'Energy Balance'!$N$7</f>
        <v>1132</v>
      </c>
      <c r="B1134" s="18">
        <f t="shared" si="1"/>
        <v>11.9644693</v>
      </c>
      <c r="C1134" s="13">
        <f t="shared" si="2"/>
        <v>0</v>
      </c>
      <c r="D1134" s="13">
        <f t="shared" si="3"/>
        <v>1</v>
      </c>
      <c r="O1134" s="4"/>
      <c r="P1134" s="4"/>
      <c r="Q1134" s="4"/>
      <c r="R1134" s="4"/>
    </row>
    <row r="1135" ht="15.75" customHeight="1">
      <c r="A1135" s="13">
        <f>A1134+'Energy Balance'!$N$7</f>
        <v>1133</v>
      </c>
      <c r="B1135" s="18">
        <f t="shared" si="1"/>
        <v>11.97503861</v>
      </c>
      <c r="C1135" s="13">
        <f t="shared" si="2"/>
        <v>0</v>
      </c>
      <c r="D1135" s="13">
        <f t="shared" si="3"/>
        <v>1</v>
      </c>
      <c r="O1135" s="4"/>
      <c r="P1135" s="4"/>
      <c r="Q1135" s="4"/>
      <c r="R1135" s="4"/>
    </row>
    <row r="1136" ht="15.75" customHeight="1">
      <c r="A1136" s="13">
        <f>A1135+'Energy Balance'!$N$7</f>
        <v>1134</v>
      </c>
      <c r="B1136" s="18">
        <f t="shared" si="1"/>
        <v>11.98560793</v>
      </c>
      <c r="C1136" s="13">
        <f t="shared" si="2"/>
        <v>0</v>
      </c>
      <c r="D1136" s="13">
        <f t="shared" si="3"/>
        <v>1</v>
      </c>
      <c r="O1136" s="4"/>
      <c r="P1136" s="4"/>
      <c r="Q1136" s="4"/>
      <c r="R1136" s="4"/>
    </row>
    <row r="1137" ht="15.75" customHeight="1">
      <c r="A1137" s="13">
        <f>A1136+'Energy Balance'!$N$7</f>
        <v>1135</v>
      </c>
      <c r="B1137" s="18">
        <f t="shared" si="1"/>
        <v>11.99617725</v>
      </c>
      <c r="C1137" s="13">
        <f t="shared" si="2"/>
        <v>0</v>
      </c>
      <c r="D1137" s="13">
        <f t="shared" si="3"/>
        <v>1</v>
      </c>
      <c r="O1137" s="4"/>
      <c r="P1137" s="4"/>
      <c r="Q1137" s="4"/>
      <c r="R1137" s="4"/>
    </row>
    <row r="1138" ht="15.75" customHeight="1">
      <c r="A1138" s="13">
        <f>A1137+'Energy Balance'!$N$7</f>
        <v>1136</v>
      </c>
      <c r="B1138" s="18">
        <f t="shared" si="1"/>
        <v>12.00674657</v>
      </c>
      <c r="C1138" s="13">
        <f t="shared" si="2"/>
        <v>1</v>
      </c>
      <c r="D1138" s="13">
        <f t="shared" si="3"/>
        <v>0</v>
      </c>
      <c r="O1138" s="4"/>
      <c r="P1138" s="4"/>
      <c r="Q1138" s="4"/>
      <c r="R1138" s="4"/>
    </row>
    <row r="1139" ht="15.75" customHeight="1">
      <c r="A1139" s="13">
        <f>A1138+'Energy Balance'!$N$7</f>
        <v>1137</v>
      </c>
      <c r="B1139" s="18">
        <f t="shared" si="1"/>
        <v>12.01731589</v>
      </c>
      <c r="C1139" s="13">
        <f t="shared" si="2"/>
        <v>1</v>
      </c>
      <c r="D1139" s="13">
        <f t="shared" si="3"/>
        <v>0</v>
      </c>
      <c r="O1139" s="4"/>
      <c r="P1139" s="4"/>
      <c r="Q1139" s="4"/>
      <c r="R1139" s="4"/>
    </row>
    <row r="1140" ht="15.75" customHeight="1">
      <c r="A1140" s="13">
        <f>A1139+'Energy Balance'!$N$7</f>
        <v>1138</v>
      </c>
      <c r="B1140" s="18">
        <f t="shared" si="1"/>
        <v>12.02788521</v>
      </c>
      <c r="C1140" s="13">
        <f t="shared" si="2"/>
        <v>1</v>
      </c>
      <c r="D1140" s="13">
        <f t="shared" si="3"/>
        <v>0</v>
      </c>
      <c r="O1140" s="4"/>
      <c r="P1140" s="4"/>
      <c r="Q1140" s="4"/>
      <c r="R1140" s="4"/>
    </row>
    <row r="1141" ht="15.75" customHeight="1">
      <c r="A1141" s="13">
        <f>A1140+'Energy Balance'!$N$7</f>
        <v>1139</v>
      </c>
      <c r="B1141" s="18">
        <f t="shared" si="1"/>
        <v>12.03845453</v>
      </c>
      <c r="C1141" s="13">
        <f t="shared" si="2"/>
        <v>1</v>
      </c>
      <c r="D1141" s="13">
        <f t="shared" si="3"/>
        <v>0</v>
      </c>
      <c r="O1141" s="4"/>
      <c r="P1141" s="4"/>
      <c r="Q1141" s="4"/>
      <c r="R1141" s="4"/>
    </row>
    <row r="1142" ht="15.75" customHeight="1">
      <c r="A1142" s="13">
        <f>A1141+'Energy Balance'!$N$7</f>
        <v>1140</v>
      </c>
      <c r="B1142" s="18">
        <f t="shared" si="1"/>
        <v>12.04902385</v>
      </c>
      <c r="C1142" s="13">
        <f t="shared" si="2"/>
        <v>1</v>
      </c>
      <c r="D1142" s="13">
        <f t="shared" si="3"/>
        <v>0</v>
      </c>
      <c r="O1142" s="4"/>
      <c r="P1142" s="4"/>
      <c r="Q1142" s="4"/>
      <c r="R1142" s="4"/>
    </row>
    <row r="1143" ht="15.75" customHeight="1">
      <c r="A1143" s="13">
        <f>A1142+'Energy Balance'!$N$7</f>
        <v>1141</v>
      </c>
      <c r="B1143" s="18">
        <f t="shared" si="1"/>
        <v>12.05959317</v>
      </c>
      <c r="C1143" s="13">
        <f t="shared" si="2"/>
        <v>1</v>
      </c>
      <c r="D1143" s="13">
        <f t="shared" si="3"/>
        <v>0</v>
      </c>
      <c r="O1143" s="4"/>
      <c r="P1143" s="4"/>
      <c r="Q1143" s="4"/>
      <c r="R1143" s="4"/>
    </row>
    <row r="1144" ht="15.75" customHeight="1">
      <c r="A1144" s="13">
        <f>A1143+'Energy Balance'!$N$7</f>
        <v>1142</v>
      </c>
      <c r="B1144" s="18">
        <f t="shared" si="1"/>
        <v>12.07016249</v>
      </c>
      <c r="C1144" s="13">
        <f t="shared" si="2"/>
        <v>1</v>
      </c>
      <c r="D1144" s="13">
        <f t="shared" si="3"/>
        <v>0</v>
      </c>
      <c r="O1144" s="4"/>
      <c r="P1144" s="4"/>
      <c r="Q1144" s="4"/>
      <c r="R1144" s="4"/>
    </row>
    <row r="1145" ht="15.75" customHeight="1">
      <c r="A1145" s="13">
        <f>A1144+'Energy Balance'!$N$7</f>
        <v>1143</v>
      </c>
      <c r="B1145" s="18">
        <f t="shared" si="1"/>
        <v>12.08073181</v>
      </c>
      <c r="C1145" s="13">
        <f t="shared" si="2"/>
        <v>1</v>
      </c>
      <c r="D1145" s="13">
        <f t="shared" si="3"/>
        <v>0</v>
      </c>
      <c r="O1145" s="4"/>
      <c r="P1145" s="4"/>
      <c r="Q1145" s="4"/>
      <c r="R1145" s="4"/>
    </row>
    <row r="1146" ht="15.75" customHeight="1">
      <c r="A1146" s="13">
        <f>A1145+'Energy Balance'!$N$7</f>
        <v>1144</v>
      </c>
      <c r="B1146" s="18">
        <f t="shared" si="1"/>
        <v>12.09130113</v>
      </c>
      <c r="C1146" s="13">
        <f t="shared" si="2"/>
        <v>1</v>
      </c>
      <c r="D1146" s="13">
        <f t="shared" si="3"/>
        <v>0</v>
      </c>
      <c r="O1146" s="4"/>
      <c r="P1146" s="4"/>
      <c r="Q1146" s="4"/>
      <c r="R1146" s="4"/>
    </row>
    <row r="1147" ht="15.75" customHeight="1">
      <c r="A1147" s="13">
        <f>A1146+'Energy Balance'!$N$7</f>
        <v>1145</v>
      </c>
      <c r="B1147" s="18">
        <f t="shared" si="1"/>
        <v>12.10187044</v>
      </c>
      <c r="C1147" s="13">
        <f t="shared" si="2"/>
        <v>1</v>
      </c>
      <c r="D1147" s="13">
        <f t="shared" si="3"/>
        <v>0</v>
      </c>
      <c r="O1147" s="4"/>
      <c r="P1147" s="4"/>
      <c r="Q1147" s="4"/>
      <c r="R1147" s="4"/>
    </row>
    <row r="1148" ht="15.75" customHeight="1">
      <c r="A1148" s="13">
        <f>A1147+'Energy Balance'!$N$7</f>
        <v>1146</v>
      </c>
      <c r="B1148" s="18">
        <f t="shared" si="1"/>
        <v>12.11243976</v>
      </c>
      <c r="C1148" s="13">
        <f t="shared" si="2"/>
        <v>1</v>
      </c>
      <c r="D1148" s="13">
        <f t="shared" si="3"/>
        <v>0</v>
      </c>
      <c r="O1148" s="4"/>
      <c r="P1148" s="4"/>
      <c r="Q1148" s="4"/>
      <c r="R1148" s="4"/>
    </row>
    <row r="1149" ht="15.75" customHeight="1">
      <c r="A1149" s="13">
        <f>A1148+'Energy Balance'!$N$7</f>
        <v>1147</v>
      </c>
      <c r="B1149" s="18">
        <f t="shared" si="1"/>
        <v>12.12300908</v>
      </c>
      <c r="C1149" s="13">
        <f t="shared" si="2"/>
        <v>1</v>
      </c>
      <c r="D1149" s="13">
        <f t="shared" si="3"/>
        <v>0</v>
      </c>
      <c r="O1149" s="4"/>
      <c r="P1149" s="4"/>
      <c r="Q1149" s="4"/>
      <c r="R1149" s="4"/>
    </row>
    <row r="1150" ht="15.75" customHeight="1">
      <c r="A1150" s="13">
        <f>A1149+'Energy Balance'!$N$7</f>
        <v>1148</v>
      </c>
      <c r="B1150" s="18">
        <f t="shared" si="1"/>
        <v>12.1335784</v>
      </c>
      <c r="C1150" s="13">
        <f t="shared" si="2"/>
        <v>1</v>
      </c>
      <c r="D1150" s="13">
        <f t="shared" si="3"/>
        <v>0</v>
      </c>
      <c r="O1150" s="4"/>
      <c r="P1150" s="4"/>
      <c r="Q1150" s="4"/>
      <c r="R1150" s="4"/>
    </row>
    <row r="1151" ht="15.75" customHeight="1">
      <c r="A1151" s="13">
        <f>A1150+'Energy Balance'!$N$7</f>
        <v>1149</v>
      </c>
      <c r="B1151" s="18">
        <f t="shared" si="1"/>
        <v>12.14414772</v>
      </c>
      <c r="C1151" s="13">
        <f t="shared" si="2"/>
        <v>1</v>
      </c>
      <c r="D1151" s="13">
        <f t="shared" si="3"/>
        <v>0</v>
      </c>
      <c r="O1151" s="4"/>
      <c r="P1151" s="4"/>
      <c r="Q1151" s="4"/>
      <c r="R1151" s="4"/>
    </row>
    <row r="1152" ht="15.75" customHeight="1">
      <c r="A1152" s="13">
        <f>A1151+'Energy Balance'!$N$7</f>
        <v>1150</v>
      </c>
      <c r="B1152" s="18">
        <f t="shared" si="1"/>
        <v>12.15471704</v>
      </c>
      <c r="C1152" s="13">
        <f t="shared" si="2"/>
        <v>1</v>
      </c>
      <c r="D1152" s="13">
        <f t="shared" si="3"/>
        <v>0</v>
      </c>
      <c r="O1152" s="4"/>
      <c r="P1152" s="4"/>
      <c r="Q1152" s="4"/>
      <c r="R1152" s="4"/>
    </row>
    <row r="1153" ht="15.75" customHeight="1">
      <c r="A1153" s="13">
        <f>A1152+'Energy Balance'!$N$7</f>
        <v>1151</v>
      </c>
      <c r="B1153" s="18">
        <f t="shared" si="1"/>
        <v>12.16528636</v>
      </c>
      <c r="C1153" s="13">
        <f t="shared" si="2"/>
        <v>1</v>
      </c>
      <c r="D1153" s="13">
        <f t="shared" si="3"/>
        <v>0</v>
      </c>
      <c r="O1153" s="4"/>
      <c r="P1153" s="4"/>
      <c r="Q1153" s="4"/>
      <c r="R1153" s="4"/>
    </row>
    <row r="1154" ht="15.75" customHeight="1">
      <c r="A1154" s="13">
        <f>A1153+'Energy Balance'!$N$7</f>
        <v>1152</v>
      </c>
      <c r="B1154" s="18">
        <f t="shared" si="1"/>
        <v>12.17585568</v>
      </c>
      <c r="C1154" s="13">
        <f t="shared" si="2"/>
        <v>1</v>
      </c>
      <c r="D1154" s="13">
        <f t="shared" si="3"/>
        <v>0</v>
      </c>
      <c r="O1154" s="4"/>
      <c r="P1154" s="4"/>
      <c r="Q1154" s="4"/>
      <c r="R1154" s="4"/>
    </row>
    <row r="1155" ht="15.75" customHeight="1">
      <c r="A1155" s="13">
        <f>A1154+'Energy Balance'!$N$7</f>
        <v>1153</v>
      </c>
      <c r="B1155" s="18">
        <f t="shared" si="1"/>
        <v>12.186425</v>
      </c>
      <c r="C1155" s="13">
        <f t="shared" si="2"/>
        <v>1</v>
      </c>
      <c r="D1155" s="13">
        <f t="shared" si="3"/>
        <v>0</v>
      </c>
      <c r="O1155" s="4"/>
      <c r="P1155" s="4"/>
      <c r="Q1155" s="4"/>
      <c r="R1155" s="4"/>
    </row>
    <row r="1156" ht="15.75" customHeight="1">
      <c r="A1156" s="13">
        <f>A1155+'Energy Balance'!$N$7</f>
        <v>1154</v>
      </c>
      <c r="B1156" s="18">
        <f t="shared" si="1"/>
        <v>12.19699432</v>
      </c>
      <c r="C1156" s="13">
        <f t="shared" si="2"/>
        <v>1</v>
      </c>
      <c r="D1156" s="13">
        <f t="shared" si="3"/>
        <v>0</v>
      </c>
      <c r="O1156" s="4"/>
      <c r="P1156" s="4"/>
      <c r="Q1156" s="4"/>
      <c r="R1156" s="4"/>
    </row>
    <row r="1157" ht="15.75" customHeight="1">
      <c r="A1157" s="13">
        <f>A1156+'Energy Balance'!$N$7</f>
        <v>1155</v>
      </c>
      <c r="B1157" s="18">
        <f t="shared" si="1"/>
        <v>12.20756364</v>
      </c>
      <c r="C1157" s="13">
        <f t="shared" si="2"/>
        <v>1</v>
      </c>
      <c r="D1157" s="13">
        <f t="shared" si="3"/>
        <v>0</v>
      </c>
      <c r="O1157" s="4"/>
      <c r="P1157" s="4"/>
      <c r="Q1157" s="4"/>
      <c r="R1157" s="4"/>
    </row>
    <row r="1158" ht="15.75" customHeight="1">
      <c r="A1158" s="13">
        <f>A1157+'Energy Balance'!$N$7</f>
        <v>1156</v>
      </c>
      <c r="B1158" s="18">
        <f t="shared" si="1"/>
        <v>12.21813296</v>
      </c>
      <c r="C1158" s="13">
        <f t="shared" si="2"/>
        <v>1</v>
      </c>
      <c r="D1158" s="13">
        <f t="shared" si="3"/>
        <v>0</v>
      </c>
      <c r="O1158" s="4"/>
      <c r="P1158" s="4"/>
      <c r="Q1158" s="4"/>
      <c r="R1158" s="4"/>
    </row>
    <row r="1159" ht="15.75" customHeight="1">
      <c r="A1159" s="13">
        <f>A1158+'Energy Balance'!$N$7</f>
        <v>1157</v>
      </c>
      <c r="B1159" s="18">
        <f t="shared" si="1"/>
        <v>12.22870227</v>
      </c>
      <c r="C1159" s="13">
        <f t="shared" si="2"/>
        <v>1</v>
      </c>
      <c r="D1159" s="13">
        <f t="shared" si="3"/>
        <v>0</v>
      </c>
      <c r="O1159" s="4"/>
      <c r="P1159" s="4"/>
      <c r="Q1159" s="4"/>
      <c r="R1159" s="4"/>
    </row>
    <row r="1160" ht="15.75" customHeight="1">
      <c r="A1160" s="13">
        <f>A1159+'Energy Balance'!$N$7</f>
        <v>1158</v>
      </c>
      <c r="B1160" s="18">
        <f t="shared" si="1"/>
        <v>12.23927159</v>
      </c>
      <c r="C1160" s="13">
        <f t="shared" si="2"/>
        <v>1</v>
      </c>
      <c r="D1160" s="13">
        <f t="shared" si="3"/>
        <v>0</v>
      </c>
      <c r="O1160" s="4"/>
      <c r="P1160" s="4"/>
      <c r="Q1160" s="4"/>
      <c r="R1160" s="4"/>
    </row>
    <row r="1161" ht="15.75" customHeight="1">
      <c r="A1161" s="13">
        <f>A1160+'Energy Balance'!$N$7</f>
        <v>1159</v>
      </c>
      <c r="B1161" s="18">
        <f t="shared" si="1"/>
        <v>12.24984091</v>
      </c>
      <c r="C1161" s="13">
        <f t="shared" si="2"/>
        <v>1</v>
      </c>
      <c r="D1161" s="13">
        <f t="shared" si="3"/>
        <v>0</v>
      </c>
      <c r="O1161" s="4"/>
      <c r="P1161" s="4"/>
      <c r="Q1161" s="4"/>
      <c r="R1161" s="4"/>
    </row>
    <row r="1162" ht="15.75" customHeight="1">
      <c r="A1162" s="13">
        <f>A1161+'Energy Balance'!$N$7</f>
        <v>1160</v>
      </c>
      <c r="B1162" s="18">
        <f t="shared" si="1"/>
        <v>12.26041023</v>
      </c>
      <c r="C1162" s="13">
        <f t="shared" si="2"/>
        <v>1</v>
      </c>
      <c r="D1162" s="13">
        <f t="shared" si="3"/>
        <v>0</v>
      </c>
      <c r="O1162" s="4"/>
      <c r="P1162" s="4"/>
      <c r="Q1162" s="4"/>
      <c r="R1162" s="4"/>
    </row>
    <row r="1163" ht="15.75" customHeight="1">
      <c r="A1163" s="13">
        <f>A1162+'Energy Balance'!$N$7</f>
        <v>1161</v>
      </c>
      <c r="B1163" s="18">
        <f t="shared" si="1"/>
        <v>12.27097955</v>
      </c>
      <c r="C1163" s="13">
        <f t="shared" si="2"/>
        <v>1</v>
      </c>
      <c r="D1163" s="13">
        <f t="shared" si="3"/>
        <v>0</v>
      </c>
      <c r="O1163" s="4"/>
      <c r="P1163" s="4"/>
      <c r="Q1163" s="4"/>
      <c r="R1163" s="4"/>
    </row>
    <row r="1164" ht="15.75" customHeight="1">
      <c r="A1164" s="13">
        <f>A1163+'Energy Balance'!$N$7</f>
        <v>1162</v>
      </c>
      <c r="B1164" s="18">
        <f t="shared" si="1"/>
        <v>12.28154887</v>
      </c>
      <c r="C1164" s="13">
        <f t="shared" si="2"/>
        <v>1</v>
      </c>
      <c r="D1164" s="13">
        <f t="shared" si="3"/>
        <v>0</v>
      </c>
      <c r="O1164" s="4"/>
      <c r="P1164" s="4"/>
      <c r="Q1164" s="4"/>
      <c r="R1164" s="4"/>
    </row>
    <row r="1165" ht="15.75" customHeight="1">
      <c r="A1165" s="13">
        <f>A1164+'Energy Balance'!$N$7</f>
        <v>1163</v>
      </c>
      <c r="B1165" s="18">
        <f t="shared" si="1"/>
        <v>12.29211819</v>
      </c>
      <c r="C1165" s="13">
        <f t="shared" si="2"/>
        <v>1</v>
      </c>
      <c r="D1165" s="13">
        <f t="shared" si="3"/>
        <v>0</v>
      </c>
      <c r="O1165" s="4"/>
      <c r="P1165" s="4"/>
      <c r="Q1165" s="4"/>
      <c r="R1165" s="4"/>
    </row>
    <row r="1166" ht="15.75" customHeight="1">
      <c r="A1166" s="13">
        <f>A1165+'Energy Balance'!$N$7</f>
        <v>1164</v>
      </c>
      <c r="B1166" s="18">
        <f t="shared" si="1"/>
        <v>12.30268751</v>
      </c>
      <c r="C1166" s="13">
        <f t="shared" si="2"/>
        <v>1</v>
      </c>
      <c r="D1166" s="13">
        <f t="shared" si="3"/>
        <v>0</v>
      </c>
      <c r="O1166" s="4"/>
      <c r="P1166" s="4"/>
      <c r="Q1166" s="4"/>
      <c r="R1166" s="4"/>
    </row>
    <row r="1167" ht="15.75" customHeight="1">
      <c r="A1167" s="13">
        <f>A1166+'Energy Balance'!$N$7</f>
        <v>1165</v>
      </c>
      <c r="B1167" s="18">
        <f t="shared" si="1"/>
        <v>12.31325683</v>
      </c>
      <c r="C1167" s="13">
        <f t="shared" si="2"/>
        <v>1</v>
      </c>
      <c r="D1167" s="13">
        <f t="shared" si="3"/>
        <v>0</v>
      </c>
      <c r="O1167" s="4"/>
      <c r="P1167" s="4"/>
      <c r="Q1167" s="4"/>
      <c r="R1167" s="4"/>
    </row>
    <row r="1168" ht="15.75" customHeight="1">
      <c r="A1168" s="13">
        <f>A1167+'Energy Balance'!$N$7</f>
        <v>1166</v>
      </c>
      <c r="B1168" s="18">
        <f t="shared" si="1"/>
        <v>12.32382615</v>
      </c>
      <c r="C1168" s="13">
        <f t="shared" si="2"/>
        <v>1</v>
      </c>
      <c r="D1168" s="13">
        <f t="shared" si="3"/>
        <v>0</v>
      </c>
      <c r="O1168" s="4"/>
      <c r="P1168" s="4"/>
      <c r="Q1168" s="4"/>
      <c r="R1168" s="4"/>
    </row>
    <row r="1169" ht="15.75" customHeight="1">
      <c r="A1169" s="13">
        <f>A1168+'Energy Balance'!$N$7</f>
        <v>1167</v>
      </c>
      <c r="B1169" s="18">
        <f t="shared" si="1"/>
        <v>12.33439547</v>
      </c>
      <c r="C1169" s="13">
        <f t="shared" si="2"/>
        <v>1</v>
      </c>
      <c r="D1169" s="13">
        <f t="shared" si="3"/>
        <v>0</v>
      </c>
      <c r="O1169" s="4"/>
      <c r="P1169" s="4"/>
      <c r="Q1169" s="4"/>
      <c r="R1169" s="4"/>
    </row>
    <row r="1170" ht="15.75" customHeight="1">
      <c r="A1170" s="13">
        <f>A1169+'Energy Balance'!$N$7</f>
        <v>1168</v>
      </c>
      <c r="B1170" s="18">
        <f t="shared" si="1"/>
        <v>12.34496479</v>
      </c>
      <c r="C1170" s="13">
        <f t="shared" si="2"/>
        <v>1</v>
      </c>
      <c r="D1170" s="13">
        <f t="shared" si="3"/>
        <v>0</v>
      </c>
      <c r="O1170" s="4"/>
      <c r="P1170" s="4"/>
      <c r="Q1170" s="4"/>
      <c r="R1170" s="4"/>
    </row>
    <row r="1171" ht="15.75" customHeight="1">
      <c r="A1171" s="13">
        <f>A1170+'Energy Balance'!$N$7</f>
        <v>1169</v>
      </c>
      <c r="B1171" s="18">
        <f t="shared" si="1"/>
        <v>12.3555341</v>
      </c>
      <c r="C1171" s="13">
        <f t="shared" si="2"/>
        <v>1</v>
      </c>
      <c r="D1171" s="13">
        <f t="shared" si="3"/>
        <v>0</v>
      </c>
      <c r="O1171" s="4"/>
      <c r="P1171" s="4"/>
      <c r="Q1171" s="4"/>
      <c r="R1171" s="4"/>
    </row>
    <row r="1172" ht="15.75" customHeight="1">
      <c r="A1172" s="13">
        <f>A1171+'Energy Balance'!$N$7</f>
        <v>1170</v>
      </c>
      <c r="B1172" s="18">
        <f t="shared" si="1"/>
        <v>12.36610342</v>
      </c>
      <c r="C1172" s="13">
        <f t="shared" si="2"/>
        <v>1</v>
      </c>
      <c r="D1172" s="13">
        <f t="shared" si="3"/>
        <v>0</v>
      </c>
      <c r="O1172" s="4"/>
      <c r="P1172" s="4"/>
      <c r="Q1172" s="4"/>
      <c r="R1172" s="4"/>
    </row>
    <row r="1173" ht="15.75" customHeight="1">
      <c r="A1173" s="13">
        <f>A1172+'Energy Balance'!$N$7</f>
        <v>1171</v>
      </c>
      <c r="B1173" s="18">
        <f t="shared" si="1"/>
        <v>12.37667274</v>
      </c>
      <c r="C1173" s="13">
        <f t="shared" si="2"/>
        <v>1</v>
      </c>
      <c r="D1173" s="13">
        <f t="shared" si="3"/>
        <v>0</v>
      </c>
      <c r="O1173" s="4"/>
      <c r="P1173" s="4"/>
      <c r="Q1173" s="4"/>
      <c r="R1173" s="4"/>
    </row>
    <row r="1174" ht="15.75" customHeight="1">
      <c r="A1174" s="13">
        <f>A1173+'Energy Balance'!$N$7</f>
        <v>1172</v>
      </c>
      <c r="B1174" s="18">
        <f t="shared" si="1"/>
        <v>12.38724206</v>
      </c>
      <c r="C1174" s="13">
        <f t="shared" si="2"/>
        <v>1</v>
      </c>
      <c r="D1174" s="13">
        <f t="shared" si="3"/>
        <v>0</v>
      </c>
      <c r="O1174" s="4"/>
      <c r="P1174" s="4"/>
      <c r="Q1174" s="4"/>
      <c r="R1174" s="4"/>
    </row>
    <row r="1175" ht="15.75" customHeight="1">
      <c r="A1175" s="13">
        <f>A1174+'Energy Balance'!$N$7</f>
        <v>1173</v>
      </c>
      <c r="B1175" s="18">
        <f t="shared" si="1"/>
        <v>12.39781138</v>
      </c>
      <c r="C1175" s="13">
        <f t="shared" si="2"/>
        <v>1</v>
      </c>
      <c r="D1175" s="13">
        <f t="shared" si="3"/>
        <v>0</v>
      </c>
      <c r="O1175" s="4"/>
      <c r="P1175" s="4"/>
      <c r="Q1175" s="4"/>
      <c r="R1175" s="4"/>
    </row>
    <row r="1176" ht="15.75" customHeight="1">
      <c r="A1176" s="13">
        <f>A1175+'Energy Balance'!$N$7</f>
        <v>1174</v>
      </c>
      <c r="B1176" s="18">
        <f t="shared" si="1"/>
        <v>12.4083807</v>
      </c>
      <c r="C1176" s="13">
        <f t="shared" si="2"/>
        <v>1</v>
      </c>
      <c r="D1176" s="13">
        <f t="shared" si="3"/>
        <v>0</v>
      </c>
      <c r="O1176" s="4"/>
      <c r="P1176" s="4"/>
      <c r="Q1176" s="4"/>
      <c r="R1176" s="4"/>
    </row>
    <row r="1177" ht="15.75" customHeight="1">
      <c r="A1177" s="13">
        <f>A1176+'Energy Balance'!$N$7</f>
        <v>1175</v>
      </c>
      <c r="B1177" s="18">
        <f t="shared" si="1"/>
        <v>12.41895002</v>
      </c>
      <c r="C1177" s="13">
        <f t="shared" si="2"/>
        <v>1</v>
      </c>
      <c r="D1177" s="13">
        <f t="shared" si="3"/>
        <v>0</v>
      </c>
      <c r="O1177" s="4"/>
      <c r="P1177" s="4"/>
      <c r="Q1177" s="4"/>
      <c r="R1177" s="4"/>
    </row>
    <row r="1178" ht="15.75" customHeight="1">
      <c r="A1178" s="13">
        <f>A1177+'Energy Balance'!$N$7</f>
        <v>1176</v>
      </c>
      <c r="B1178" s="18">
        <f t="shared" si="1"/>
        <v>12.42951934</v>
      </c>
      <c r="C1178" s="13">
        <f t="shared" si="2"/>
        <v>1</v>
      </c>
      <c r="D1178" s="13">
        <f t="shared" si="3"/>
        <v>0</v>
      </c>
      <c r="O1178" s="4"/>
      <c r="P1178" s="4"/>
      <c r="Q1178" s="4"/>
      <c r="R1178" s="4"/>
    </row>
    <row r="1179" ht="15.75" customHeight="1">
      <c r="A1179" s="13">
        <f>A1178+'Energy Balance'!$N$7</f>
        <v>1177</v>
      </c>
      <c r="B1179" s="18">
        <f t="shared" si="1"/>
        <v>12.44008866</v>
      </c>
      <c r="C1179" s="13">
        <f t="shared" si="2"/>
        <v>1</v>
      </c>
      <c r="D1179" s="13">
        <f t="shared" si="3"/>
        <v>0</v>
      </c>
      <c r="O1179" s="4"/>
      <c r="P1179" s="4"/>
      <c r="Q1179" s="4"/>
      <c r="R1179" s="4"/>
    </row>
    <row r="1180" ht="15.75" customHeight="1">
      <c r="A1180" s="13">
        <f>A1179+'Energy Balance'!$N$7</f>
        <v>1178</v>
      </c>
      <c r="B1180" s="18">
        <f t="shared" si="1"/>
        <v>12.45065798</v>
      </c>
      <c r="C1180" s="13">
        <f t="shared" si="2"/>
        <v>1</v>
      </c>
      <c r="D1180" s="13">
        <f t="shared" si="3"/>
        <v>0</v>
      </c>
      <c r="O1180" s="4"/>
      <c r="P1180" s="4"/>
      <c r="Q1180" s="4"/>
      <c r="R1180" s="4"/>
    </row>
    <row r="1181" ht="15.75" customHeight="1">
      <c r="A1181" s="13">
        <f>A1180+'Energy Balance'!$N$7</f>
        <v>1179</v>
      </c>
      <c r="B1181" s="18">
        <f t="shared" si="1"/>
        <v>12.4612273</v>
      </c>
      <c r="C1181" s="13">
        <f t="shared" si="2"/>
        <v>1</v>
      </c>
      <c r="D1181" s="13">
        <f t="shared" si="3"/>
        <v>0</v>
      </c>
      <c r="O1181" s="4"/>
      <c r="P1181" s="4"/>
      <c r="Q1181" s="4"/>
      <c r="R1181" s="4"/>
    </row>
    <row r="1182" ht="15.75" customHeight="1">
      <c r="A1182" s="13">
        <f>A1181+'Energy Balance'!$N$7</f>
        <v>1180</v>
      </c>
      <c r="B1182" s="18">
        <f t="shared" si="1"/>
        <v>12.47179662</v>
      </c>
      <c r="C1182" s="13">
        <f t="shared" si="2"/>
        <v>1</v>
      </c>
      <c r="D1182" s="13">
        <f t="shared" si="3"/>
        <v>0</v>
      </c>
      <c r="O1182" s="4"/>
      <c r="P1182" s="4"/>
      <c r="Q1182" s="4"/>
      <c r="R1182" s="4"/>
    </row>
    <row r="1183" ht="15.75" customHeight="1">
      <c r="A1183" s="13">
        <f>A1182+'Energy Balance'!$N$7</f>
        <v>1181</v>
      </c>
      <c r="B1183" s="18">
        <f t="shared" si="1"/>
        <v>12.48236593</v>
      </c>
      <c r="C1183" s="13">
        <f t="shared" si="2"/>
        <v>1</v>
      </c>
      <c r="D1183" s="13">
        <f t="shared" si="3"/>
        <v>0</v>
      </c>
      <c r="O1183" s="4"/>
      <c r="P1183" s="4"/>
      <c r="Q1183" s="4"/>
      <c r="R1183" s="4"/>
    </row>
    <row r="1184" ht="15.75" customHeight="1">
      <c r="A1184" s="13">
        <f>A1183+'Energy Balance'!$N$7</f>
        <v>1182</v>
      </c>
      <c r="B1184" s="18">
        <f t="shared" si="1"/>
        <v>12.49293525</v>
      </c>
      <c r="C1184" s="13">
        <f t="shared" si="2"/>
        <v>1</v>
      </c>
      <c r="D1184" s="13">
        <f t="shared" si="3"/>
        <v>0</v>
      </c>
      <c r="O1184" s="4"/>
      <c r="P1184" s="4"/>
      <c r="Q1184" s="4"/>
      <c r="R1184" s="4"/>
    </row>
    <row r="1185" ht="15.75" customHeight="1">
      <c r="A1185" s="13">
        <f>A1184+'Energy Balance'!$N$7</f>
        <v>1183</v>
      </c>
      <c r="B1185" s="18">
        <f t="shared" si="1"/>
        <v>12.50350457</v>
      </c>
      <c r="C1185" s="13">
        <f t="shared" si="2"/>
        <v>1</v>
      </c>
      <c r="D1185" s="13">
        <f t="shared" si="3"/>
        <v>0</v>
      </c>
      <c r="O1185" s="4"/>
      <c r="P1185" s="4"/>
      <c r="Q1185" s="4"/>
      <c r="R1185" s="4"/>
    </row>
    <row r="1186" ht="15.75" customHeight="1">
      <c r="A1186" s="13">
        <f>A1185+'Energy Balance'!$N$7</f>
        <v>1184</v>
      </c>
      <c r="B1186" s="18">
        <f t="shared" si="1"/>
        <v>12.51407389</v>
      </c>
      <c r="C1186" s="13">
        <f t="shared" si="2"/>
        <v>1</v>
      </c>
      <c r="D1186" s="13">
        <f t="shared" si="3"/>
        <v>0</v>
      </c>
      <c r="O1186" s="4"/>
      <c r="P1186" s="4"/>
      <c r="Q1186" s="4"/>
      <c r="R1186" s="4"/>
    </row>
    <row r="1187" ht="15.75" customHeight="1">
      <c r="A1187" s="13">
        <f>A1186+'Energy Balance'!$N$7</f>
        <v>1185</v>
      </c>
      <c r="B1187" s="18">
        <f t="shared" si="1"/>
        <v>12.52464321</v>
      </c>
      <c r="C1187" s="13">
        <f t="shared" si="2"/>
        <v>1</v>
      </c>
      <c r="D1187" s="13">
        <f t="shared" si="3"/>
        <v>0</v>
      </c>
      <c r="O1187" s="4"/>
      <c r="P1187" s="4"/>
      <c r="Q1187" s="4"/>
      <c r="R1187" s="4"/>
    </row>
    <row r="1188" ht="15.75" customHeight="1">
      <c r="A1188" s="13">
        <f>A1187+'Energy Balance'!$N$7</f>
        <v>1186</v>
      </c>
      <c r="B1188" s="18">
        <f t="shared" si="1"/>
        <v>12.53521253</v>
      </c>
      <c r="C1188" s="13">
        <f t="shared" si="2"/>
        <v>1</v>
      </c>
      <c r="D1188" s="13">
        <f t="shared" si="3"/>
        <v>0</v>
      </c>
      <c r="O1188" s="4"/>
      <c r="P1188" s="4"/>
      <c r="Q1188" s="4"/>
      <c r="R1188" s="4"/>
    </row>
    <row r="1189" ht="15.75" customHeight="1">
      <c r="A1189" s="13">
        <f>A1188+'Energy Balance'!$N$7</f>
        <v>1187</v>
      </c>
      <c r="B1189" s="18">
        <f t="shared" si="1"/>
        <v>12.54578185</v>
      </c>
      <c r="C1189" s="13">
        <f t="shared" si="2"/>
        <v>1</v>
      </c>
      <c r="D1189" s="13">
        <f t="shared" si="3"/>
        <v>0</v>
      </c>
      <c r="O1189" s="4"/>
      <c r="P1189" s="4"/>
      <c r="Q1189" s="4"/>
      <c r="R1189" s="4"/>
    </row>
    <row r="1190" ht="15.75" customHeight="1">
      <c r="A1190" s="13">
        <f>A1189+'Energy Balance'!$N$7</f>
        <v>1188</v>
      </c>
      <c r="B1190" s="18">
        <f t="shared" si="1"/>
        <v>12.55635117</v>
      </c>
      <c r="C1190" s="13">
        <f t="shared" si="2"/>
        <v>1</v>
      </c>
      <c r="D1190" s="13">
        <f t="shared" si="3"/>
        <v>0</v>
      </c>
      <c r="O1190" s="4"/>
      <c r="P1190" s="4"/>
      <c r="Q1190" s="4"/>
      <c r="R1190" s="4"/>
    </row>
    <row r="1191" ht="15.75" customHeight="1">
      <c r="A1191" s="13">
        <f>A1190+'Energy Balance'!$N$7</f>
        <v>1189</v>
      </c>
      <c r="B1191" s="18">
        <f t="shared" si="1"/>
        <v>12.56692049</v>
      </c>
      <c r="C1191" s="13">
        <f t="shared" si="2"/>
        <v>1</v>
      </c>
      <c r="D1191" s="13">
        <f t="shared" si="3"/>
        <v>0</v>
      </c>
      <c r="O1191" s="4"/>
      <c r="P1191" s="4"/>
      <c r="Q1191" s="4"/>
      <c r="R1191" s="4"/>
    </row>
    <row r="1192" ht="15.75" customHeight="1">
      <c r="A1192" s="13">
        <f>A1191+'Energy Balance'!$N$7</f>
        <v>1190</v>
      </c>
      <c r="B1192" s="18">
        <f t="shared" si="1"/>
        <v>12.57748981</v>
      </c>
      <c r="C1192" s="13">
        <f t="shared" si="2"/>
        <v>1</v>
      </c>
      <c r="D1192" s="13">
        <f t="shared" si="3"/>
        <v>0</v>
      </c>
      <c r="O1192" s="4"/>
      <c r="P1192" s="4"/>
      <c r="Q1192" s="4"/>
      <c r="R1192" s="4"/>
    </row>
    <row r="1193" ht="15.75" customHeight="1">
      <c r="A1193" s="13">
        <f>A1192+'Energy Balance'!$N$7</f>
        <v>1191</v>
      </c>
      <c r="B1193" s="18">
        <f t="shared" si="1"/>
        <v>12.58805913</v>
      </c>
      <c r="C1193" s="13">
        <f t="shared" si="2"/>
        <v>1</v>
      </c>
      <c r="D1193" s="13">
        <f t="shared" si="3"/>
        <v>0</v>
      </c>
      <c r="O1193" s="4"/>
      <c r="P1193" s="4"/>
      <c r="Q1193" s="4"/>
      <c r="R1193" s="4"/>
    </row>
    <row r="1194" ht="15.75" customHeight="1">
      <c r="A1194" s="13">
        <f>A1193+'Energy Balance'!$N$7</f>
        <v>1192</v>
      </c>
      <c r="B1194" s="18">
        <f t="shared" si="1"/>
        <v>12.59862845</v>
      </c>
      <c r="C1194" s="13">
        <f t="shared" si="2"/>
        <v>1</v>
      </c>
      <c r="D1194" s="13">
        <f t="shared" si="3"/>
        <v>0</v>
      </c>
      <c r="O1194" s="4"/>
      <c r="P1194" s="4"/>
      <c r="Q1194" s="4"/>
      <c r="R1194" s="4"/>
    </row>
    <row r="1195" ht="15.75" customHeight="1">
      <c r="A1195" s="13">
        <f>A1194+'Energy Balance'!$N$7</f>
        <v>1193</v>
      </c>
      <c r="B1195" s="18">
        <f t="shared" si="1"/>
        <v>12.60919776</v>
      </c>
      <c r="C1195" s="13">
        <f t="shared" si="2"/>
        <v>1</v>
      </c>
      <c r="D1195" s="13">
        <f t="shared" si="3"/>
        <v>0</v>
      </c>
      <c r="O1195" s="4"/>
      <c r="P1195" s="4"/>
      <c r="Q1195" s="4"/>
      <c r="R1195" s="4"/>
    </row>
    <row r="1196" ht="15.75" customHeight="1">
      <c r="A1196" s="13">
        <f>A1195+'Energy Balance'!$N$7</f>
        <v>1194</v>
      </c>
      <c r="B1196" s="18">
        <f t="shared" si="1"/>
        <v>12.61976708</v>
      </c>
      <c r="C1196" s="13">
        <f t="shared" si="2"/>
        <v>1</v>
      </c>
      <c r="D1196" s="13">
        <f t="shared" si="3"/>
        <v>0</v>
      </c>
      <c r="O1196" s="4"/>
      <c r="P1196" s="4"/>
      <c r="Q1196" s="4"/>
      <c r="R1196" s="4"/>
    </row>
    <row r="1197" ht="15.75" customHeight="1">
      <c r="A1197" s="13">
        <f>A1196+'Energy Balance'!$N$7</f>
        <v>1195</v>
      </c>
      <c r="B1197" s="18">
        <f t="shared" si="1"/>
        <v>12.6303364</v>
      </c>
      <c r="C1197" s="13">
        <f t="shared" si="2"/>
        <v>0</v>
      </c>
      <c r="D1197" s="13">
        <f t="shared" si="3"/>
        <v>1</v>
      </c>
      <c r="O1197" s="4"/>
      <c r="P1197" s="4"/>
      <c r="Q1197" s="4"/>
      <c r="R1197" s="4"/>
    </row>
    <row r="1198" ht="15.75" customHeight="1">
      <c r="A1198" s="13">
        <f>A1197+'Energy Balance'!$N$7</f>
        <v>1196</v>
      </c>
      <c r="B1198" s="18">
        <f t="shared" si="1"/>
        <v>12.64090572</v>
      </c>
      <c r="C1198" s="13">
        <f t="shared" si="2"/>
        <v>0</v>
      </c>
      <c r="D1198" s="13">
        <f t="shared" si="3"/>
        <v>1</v>
      </c>
      <c r="O1198" s="4"/>
      <c r="P1198" s="4"/>
      <c r="Q1198" s="4"/>
      <c r="R1198" s="4"/>
    </row>
    <row r="1199" ht="15.75" customHeight="1">
      <c r="A1199" s="13">
        <f>A1198+'Energy Balance'!$N$7</f>
        <v>1197</v>
      </c>
      <c r="B1199" s="18">
        <f t="shared" si="1"/>
        <v>12.65147504</v>
      </c>
      <c r="C1199" s="13">
        <f t="shared" si="2"/>
        <v>0</v>
      </c>
      <c r="D1199" s="13">
        <f t="shared" si="3"/>
        <v>1</v>
      </c>
      <c r="O1199" s="4"/>
      <c r="P1199" s="4"/>
      <c r="Q1199" s="4"/>
      <c r="R1199" s="4"/>
    </row>
    <row r="1200" ht="15.75" customHeight="1">
      <c r="A1200" s="13">
        <f>A1199+'Energy Balance'!$N$7</f>
        <v>1198</v>
      </c>
      <c r="B1200" s="18">
        <f t="shared" si="1"/>
        <v>12.66204436</v>
      </c>
      <c r="C1200" s="13">
        <f t="shared" si="2"/>
        <v>0</v>
      </c>
      <c r="D1200" s="13">
        <f t="shared" si="3"/>
        <v>1</v>
      </c>
      <c r="O1200" s="4"/>
      <c r="P1200" s="4"/>
      <c r="Q1200" s="4"/>
      <c r="R1200" s="4"/>
    </row>
    <row r="1201" ht="15.75" customHeight="1">
      <c r="A1201" s="13">
        <f>A1200+'Energy Balance'!$N$7</f>
        <v>1199</v>
      </c>
      <c r="B1201" s="18">
        <f t="shared" si="1"/>
        <v>12.67261368</v>
      </c>
      <c r="C1201" s="13">
        <f t="shared" si="2"/>
        <v>0</v>
      </c>
      <c r="D1201" s="13">
        <f t="shared" si="3"/>
        <v>1</v>
      </c>
      <c r="O1201" s="4"/>
      <c r="P1201" s="4"/>
      <c r="Q1201" s="4"/>
      <c r="R1201" s="4"/>
    </row>
    <row r="1202" ht="15.75" customHeight="1">
      <c r="A1202" s="13">
        <f>A1201+'Energy Balance'!$N$7</f>
        <v>1200</v>
      </c>
      <c r="B1202" s="18">
        <f t="shared" si="1"/>
        <v>12.683183</v>
      </c>
      <c r="C1202" s="13">
        <f t="shared" si="2"/>
        <v>0</v>
      </c>
      <c r="D1202" s="13">
        <f t="shared" si="3"/>
        <v>1</v>
      </c>
      <c r="O1202" s="4"/>
      <c r="P1202" s="4"/>
      <c r="Q1202" s="4"/>
      <c r="R1202" s="4"/>
    </row>
    <row r="1203" ht="15.75" customHeight="1">
      <c r="A1203" s="13">
        <f>A1202+'Energy Balance'!$N$7</f>
        <v>1201</v>
      </c>
      <c r="B1203" s="18">
        <f t="shared" si="1"/>
        <v>12.69375232</v>
      </c>
      <c r="C1203" s="13">
        <f t="shared" si="2"/>
        <v>0</v>
      </c>
      <c r="D1203" s="13">
        <f t="shared" si="3"/>
        <v>1</v>
      </c>
      <c r="O1203" s="4"/>
      <c r="P1203" s="4"/>
      <c r="Q1203" s="4"/>
      <c r="R1203" s="4"/>
    </row>
    <row r="1204" ht="15.75" customHeight="1">
      <c r="A1204" s="13">
        <f>A1203+'Energy Balance'!$N$7</f>
        <v>1202</v>
      </c>
      <c r="B1204" s="18">
        <f t="shared" si="1"/>
        <v>12.70432164</v>
      </c>
      <c r="C1204" s="13">
        <f t="shared" si="2"/>
        <v>0</v>
      </c>
      <c r="D1204" s="13">
        <f t="shared" si="3"/>
        <v>1</v>
      </c>
      <c r="O1204" s="4"/>
      <c r="P1204" s="4"/>
      <c r="Q1204" s="4"/>
      <c r="R1204" s="4"/>
    </row>
    <row r="1205" ht="15.75" customHeight="1">
      <c r="A1205" s="13">
        <f>A1204+'Energy Balance'!$N$7</f>
        <v>1203</v>
      </c>
      <c r="B1205" s="18">
        <f t="shared" si="1"/>
        <v>12.71489096</v>
      </c>
      <c r="C1205" s="13">
        <f t="shared" si="2"/>
        <v>0</v>
      </c>
      <c r="D1205" s="13">
        <f t="shared" si="3"/>
        <v>1</v>
      </c>
      <c r="O1205" s="4"/>
      <c r="P1205" s="4"/>
      <c r="Q1205" s="4"/>
      <c r="R1205" s="4"/>
    </row>
    <row r="1206" ht="15.75" customHeight="1">
      <c r="A1206" s="13">
        <f>A1205+'Energy Balance'!$N$7</f>
        <v>1204</v>
      </c>
      <c r="B1206" s="18">
        <f t="shared" si="1"/>
        <v>12.72546028</v>
      </c>
      <c r="C1206" s="13">
        <f t="shared" si="2"/>
        <v>0</v>
      </c>
      <c r="D1206" s="13">
        <f t="shared" si="3"/>
        <v>1</v>
      </c>
      <c r="O1206" s="4"/>
      <c r="P1206" s="4"/>
      <c r="Q1206" s="4"/>
      <c r="R1206" s="4"/>
    </row>
    <row r="1207" ht="15.75" customHeight="1">
      <c r="A1207" s="13">
        <f>A1206+'Energy Balance'!$N$7</f>
        <v>1205</v>
      </c>
      <c r="B1207" s="18">
        <f t="shared" si="1"/>
        <v>12.73602959</v>
      </c>
      <c r="C1207" s="13">
        <f t="shared" si="2"/>
        <v>0</v>
      </c>
      <c r="D1207" s="13">
        <f t="shared" si="3"/>
        <v>1</v>
      </c>
      <c r="O1207" s="4"/>
      <c r="P1207" s="4"/>
      <c r="Q1207" s="4"/>
      <c r="R1207" s="4"/>
    </row>
    <row r="1208" ht="15.75" customHeight="1">
      <c r="A1208" s="13">
        <f>A1207+'Energy Balance'!$N$7</f>
        <v>1206</v>
      </c>
      <c r="B1208" s="18">
        <f t="shared" si="1"/>
        <v>12.74659891</v>
      </c>
      <c r="C1208" s="13">
        <f t="shared" si="2"/>
        <v>0</v>
      </c>
      <c r="D1208" s="13">
        <f t="shared" si="3"/>
        <v>1</v>
      </c>
      <c r="O1208" s="4"/>
      <c r="P1208" s="4"/>
      <c r="Q1208" s="4"/>
      <c r="R1208" s="4"/>
    </row>
    <row r="1209" ht="15.75" customHeight="1">
      <c r="A1209" s="13">
        <f>A1208+'Energy Balance'!$N$7</f>
        <v>1207</v>
      </c>
      <c r="B1209" s="18">
        <f t="shared" si="1"/>
        <v>12.75716823</v>
      </c>
      <c r="C1209" s="13">
        <f t="shared" si="2"/>
        <v>0</v>
      </c>
      <c r="D1209" s="13">
        <f t="shared" si="3"/>
        <v>1</v>
      </c>
      <c r="O1209" s="4"/>
      <c r="P1209" s="4"/>
      <c r="Q1209" s="4"/>
      <c r="R1209" s="4"/>
    </row>
    <row r="1210" ht="15.75" customHeight="1">
      <c r="A1210" s="13">
        <f>A1209+'Energy Balance'!$N$7</f>
        <v>1208</v>
      </c>
      <c r="B1210" s="18">
        <f t="shared" si="1"/>
        <v>12.76773755</v>
      </c>
      <c r="C1210" s="13">
        <f t="shared" si="2"/>
        <v>0</v>
      </c>
      <c r="D1210" s="13">
        <f t="shared" si="3"/>
        <v>1</v>
      </c>
      <c r="O1210" s="4"/>
      <c r="P1210" s="4"/>
      <c r="Q1210" s="4"/>
      <c r="R1210" s="4"/>
    </row>
    <row r="1211" ht="15.75" customHeight="1">
      <c r="A1211" s="13">
        <f>A1210+'Energy Balance'!$N$7</f>
        <v>1209</v>
      </c>
      <c r="B1211" s="18">
        <f t="shared" si="1"/>
        <v>12.77830687</v>
      </c>
      <c r="C1211" s="13">
        <f t="shared" si="2"/>
        <v>0</v>
      </c>
      <c r="D1211" s="13">
        <f t="shared" si="3"/>
        <v>1</v>
      </c>
      <c r="O1211" s="4"/>
      <c r="P1211" s="4"/>
      <c r="Q1211" s="4"/>
      <c r="R1211" s="4"/>
    </row>
    <row r="1212" ht="15.75" customHeight="1">
      <c r="A1212" s="13">
        <f>A1211+'Energy Balance'!$N$7</f>
        <v>1210</v>
      </c>
      <c r="B1212" s="18">
        <f t="shared" si="1"/>
        <v>12.78887619</v>
      </c>
      <c r="C1212" s="13">
        <f t="shared" si="2"/>
        <v>0</v>
      </c>
      <c r="D1212" s="13">
        <f t="shared" si="3"/>
        <v>1</v>
      </c>
      <c r="O1212" s="4"/>
      <c r="P1212" s="4"/>
      <c r="Q1212" s="4"/>
      <c r="R1212" s="4"/>
    </row>
    <row r="1213" ht="15.75" customHeight="1">
      <c r="A1213" s="13">
        <f>A1212+'Energy Balance'!$N$7</f>
        <v>1211</v>
      </c>
      <c r="B1213" s="18">
        <f t="shared" si="1"/>
        <v>12.79944551</v>
      </c>
      <c r="C1213" s="13">
        <f t="shared" si="2"/>
        <v>0</v>
      </c>
      <c r="D1213" s="13">
        <f t="shared" si="3"/>
        <v>1</v>
      </c>
      <c r="O1213" s="4"/>
      <c r="P1213" s="4"/>
      <c r="Q1213" s="4"/>
      <c r="R1213" s="4"/>
    </row>
    <row r="1214" ht="15.75" customHeight="1">
      <c r="A1214" s="13">
        <f>A1213+'Energy Balance'!$N$7</f>
        <v>1212</v>
      </c>
      <c r="B1214" s="18">
        <f t="shared" si="1"/>
        <v>12.81001483</v>
      </c>
      <c r="C1214" s="13">
        <f t="shared" si="2"/>
        <v>0</v>
      </c>
      <c r="D1214" s="13">
        <f t="shared" si="3"/>
        <v>1</v>
      </c>
      <c r="O1214" s="4"/>
      <c r="P1214" s="4"/>
      <c r="Q1214" s="4"/>
      <c r="R1214" s="4"/>
    </row>
    <row r="1215" ht="15.75" customHeight="1">
      <c r="A1215" s="13">
        <f>A1214+'Energy Balance'!$N$7</f>
        <v>1213</v>
      </c>
      <c r="B1215" s="18">
        <f t="shared" si="1"/>
        <v>12.82058415</v>
      </c>
      <c r="C1215" s="13">
        <f t="shared" si="2"/>
        <v>0</v>
      </c>
      <c r="D1215" s="13">
        <f t="shared" si="3"/>
        <v>1</v>
      </c>
      <c r="O1215" s="4"/>
      <c r="P1215" s="4"/>
      <c r="Q1215" s="4"/>
      <c r="R1215" s="4"/>
    </row>
    <row r="1216" ht="15.75" customHeight="1">
      <c r="A1216" s="13">
        <f>A1215+'Energy Balance'!$N$7</f>
        <v>1214</v>
      </c>
      <c r="B1216" s="18">
        <f t="shared" si="1"/>
        <v>12.83115347</v>
      </c>
      <c r="C1216" s="13">
        <f t="shared" si="2"/>
        <v>0</v>
      </c>
      <c r="D1216" s="13">
        <f t="shared" si="3"/>
        <v>1</v>
      </c>
      <c r="O1216" s="4"/>
      <c r="P1216" s="4"/>
      <c r="Q1216" s="4"/>
      <c r="R1216" s="4"/>
    </row>
    <row r="1217" ht="15.75" customHeight="1">
      <c r="A1217" s="13">
        <f>A1216+'Energy Balance'!$N$7</f>
        <v>1215</v>
      </c>
      <c r="B1217" s="18">
        <f t="shared" si="1"/>
        <v>12.84172279</v>
      </c>
      <c r="C1217" s="13">
        <f t="shared" si="2"/>
        <v>0</v>
      </c>
      <c r="D1217" s="13">
        <f t="shared" si="3"/>
        <v>1</v>
      </c>
      <c r="O1217" s="4"/>
      <c r="P1217" s="4"/>
      <c r="Q1217" s="4"/>
      <c r="R1217" s="4"/>
    </row>
    <row r="1218" ht="15.75" customHeight="1">
      <c r="A1218" s="13">
        <f>A1217+'Energy Balance'!$N$7</f>
        <v>1216</v>
      </c>
      <c r="B1218" s="18">
        <f t="shared" si="1"/>
        <v>12.85229211</v>
      </c>
      <c r="C1218" s="13">
        <f t="shared" si="2"/>
        <v>0</v>
      </c>
      <c r="D1218" s="13">
        <f t="shared" si="3"/>
        <v>1</v>
      </c>
      <c r="O1218" s="4"/>
      <c r="P1218" s="4"/>
      <c r="Q1218" s="4"/>
      <c r="R1218" s="4"/>
    </row>
    <row r="1219" ht="15.75" customHeight="1">
      <c r="A1219" s="13">
        <f>A1218+'Energy Balance'!$N$7</f>
        <v>1217</v>
      </c>
      <c r="B1219" s="18">
        <f t="shared" si="1"/>
        <v>12.86286142</v>
      </c>
      <c r="C1219" s="13">
        <f t="shared" si="2"/>
        <v>0</v>
      </c>
      <c r="D1219" s="13">
        <f t="shared" si="3"/>
        <v>1</v>
      </c>
      <c r="O1219" s="4"/>
      <c r="P1219" s="4"/>
      <c r="Q1219" s="4"/>
      <c r="R1219" s="4"/>
    </row>
    <row r="1220" ht="15.75" customHeight="1">
      <c r="A1220" s="13">
        <f>A1219+'Energy Balance'!$N$7</f>
        <v>1218</v>
      </c>
      <c r="B1220" s="18">
        <f t="shared" si="1"/>
        <v>12.87343074</v>
      </c>
      <c r="C1220" s="13">
        <f t="shared" si="2"/>
        <v>0</v>
      </c>
      <c r="D1220" s="13">
        <f t="shared" si="3"/>
        <v>1</v>
      </c>
      <c r="O1220" s="4"/>
      <c r="P1220" s="4"/>
      <c r="Q1220" s="4"/>
      <c r="R1220" s="4"/>
    </row>
    <row r="1221" ht="15.75" customHeight="1">
      <c r="A1221" s="13">
        <f>A1220+'Energy Balance'!$N$7</f>
        <v>1219</v>
      </c>
      <c r="B1221" s="18">
        <f t="shared" si="1"/>
        <v>12.88400006</v>
      </c>
      <c r="C1221" s="13">
        <f t="shared" si="2"/>
        <v>0</v>
      </c>
      <c r="D1221" s="13">
        <f t="shared" si="3"/>
        <v>1</v>
      </c>
      <c r="O1221" s="4"/>
      <c r="P1221" s="4"/>
      <c r="Q1221" s="4"/>
      <c r="R1221" s="4"/>
    </row>
    <row r="1222" ht="15.75" customHeight="1">
      <c r="A1222" s="13">
        <f>A1221+'Energy Balance'!$N$7</f>
        <v>1220</v>
      </c>
      <c r="B1222" s="18">
        <f t="shared" si="1"/>
        <v>12.89456938</v>
      </c>
      <c r="C1222" s="13">
        <f t="shared" si="2"/>
        <v>0</v>
      </c>
      <c r="D1222" s="13">
        <f t="shared" si="3"/>
        <v>1</v>
      </c>
      <c r="O1222" s="4"/>
      <c r="P1222" s="4"/>
      <c r="Q1222" s="4"/>
      <c r="R1222" s="4"/>
    </row>
    <row r="1223" ht="15.75" customHeight="1">
      <c r="A1223" s="13">
        <f>A1222+'Energy Balance'!$N$7</f>
        <v>1221</v>
      </c>
      <c r="B1223" s="18">
        <f t="shared" si="1"/>
        <v>12.9051387</v>
      </c>
      <c r="C1223" s="13">
        <f t="shared" si="2"/>
        <v>0</v>
      </c>
      <c r="D1223" s="13">
        <f t="shared" si="3"/>
        <v>1</v>
      </c>
      <c r="O1223" s="4"/>
      <c r="P1223" s="4"/>
      <c r="Q1223" s="4"/>
      <c r="R1223" s="4"/>
    </row>
    <row r="1224" ht="15.75" customHeight="1">
      <c r="A1224" s="13">
        <f>A1223+'Energy Balance'!$N$7</f>
        <v>1222</v>
      </c>
      <c r="B1224" s="18">
        <f t="shared" si="1"/>
        <v>12.91570802</v>
      </c>
      <c r="C1224" s="13">
        <f t="shared" si="2"/>
        <v>0</v>
      </c>
      <c r="D1224" s="13">
        <f t="shared" si="3"/>
        <v>1</v>
      </c>
      <c r="O1224" s="4"/>
      <c r="P1224" s="4"/>
      <c r="Q1224" s="4"/>
      <c r="R1224" s="4"/>
    </row>
    <row r="1225" ht="15.75" customHeight="1">
      <c r="A1225" s="13">
        <f>A1224+'Energy Balance'!$N$7</f>
        <v>1223</v>
      </c>
      <c r="B1225" s="18">
        <f t="shared" si="1"/>
        <v>12.92627734</v>
      </c>
      <c r="C1225" s="13">
        <f t="shared" si="2"/>
        <v>0</v>
      </c>
      <c r="D1225" s="13">
        <f t="shared" si="3"/>
        <v>1</v>
      </c>
      <c r="O1225" s="4"/>
      <c r="P1225" s="4"/>
      <c r="Q1225" s="4"/>
      <c r="R1225" s="4"/>
    </row>
    <row r="1226" ht="15.75" customHeight="1">
      <c r="A1226" s="13">
        <f>A1225+'Energy Balance'!$N$7</f>
        <v>1224</v>
      </c>
      <c r="B1226" s="18">
        <f t="shared" si="1"/>
        <v>12.93684666</v>
      </c>
      <c r="C1226" s="13">
        <f t="shared" si="2"/>
        <v>0</v>
      </c>
      <c r="D1226" s="13">
        <f t="shared" si="3"/>
        <v>1</v>
      </c>
      <c r="O1226" s="4"/>
      <c r="P1226" s="4"/>
      <c r="Q1226" s="4"/>
      <c r="R1226" s="4"/>
    </row>
    <row r="1227" ht="15.75" customHeight="1">
      <c r="A1227" s="13">
        <f>A1226+'Energy Balance'!$N$7</f>
        <v>1225</v>
      </c>
      <c r="B1227" s="18">
        <f t="shared" si="1"/>
        <v>12.94741598</v>
      </c>
      <c r="C1227" s="13">
        <f t="shared" si="2"/>
        <v>0</v>
      </c>
      <c r="D1227" s="13">
        <f t="shared" si="3"/>
        <v>1</v>
      </c>
      <c r="O1227" s="4"/>
      <c r="P1227" s="4"/>
      <c r="Q1227" s="4"/>
      <c r="R1227" s="4"/>
    </row>
    <row r="1228" ht="15.75" customHeight="1">
      <c r="A1228" s="13">
        <f>A1227+'Energy Balance'!$N$7</f>
        <v>1226</v>
      </c>
      <c r="B1228" s="18">
        <f t="shared" si="1"/>
        <v>12.9579853</v>
      </c>
      <c r="C1228" s="13">
        <f t="shared" si="2"/>
        <v>0</v>
      </c>
      <c r="D1228" s="13">
        <f t="shared" si="3"/>
        <v>1</v>
      </c>
      <c r="O1228" s="4"/>
      <c r="P1228" s="4"/>
      <c r="Q1228" s="4"/>
      <c r="R1228" s="4"/>
    </row>
    <row r="1229" ht="15.75" customHeight="1">
      <c r="A1229" s="13">
        <f>A1228+'Energy Balance'!$N$7</f>
        <v>1227</v>
      </c>
      <c r="B1229" s="18">
        <f t="shared" si="1"/>
        <v>12.96855462</v>
      </c>
      <c r="C1229" s="13">
        <f t="shared" si="2"/>
        <v>0</v>
      </c>
      <c r="D1229" s="13">
        <f t="shared" si="3"/>
        <v>1</v>
      </c>
      <c r="O1229" s="4"/>
      <c r="P1229" s="4"/>
      <c r="Q1229" s="4"/>
      <c r="R1229" s="4"/>
    </row>
    <row r="1230" ht="15.75" customHeight="1">
      <c r="A1230" s="13">
        <f>A1229+'Energy Balance'!$N$7</f>
        <v>1228</v>
      </c>
      <c r="B1230" s="18">
        <f t="shared" si="1"/>
        <v>12.97912394</v>
      </c>
      <c r="C1230" s="13">
        <f t="shared" si="2"/>
        <v>0</v>
      </c>
      <c r="D1230" s="13">
        <f t="shared" si="3"/>
        <v>1</v>
      </c>
      <c r="O1230" s="4"/>
      <c r="P1230" s="4"/>
      <c r="Q1230" s="4"/>
      <c r="R1230" s="4"/>
    </row>
    <row r="1231" ht="15.75" customHeight="1">
      <c r="A1231" s="13">
        <f>A1230+'Energy Balance'!$N$7</f>
        <v>1229</v>
      </c>
      <c r="B1231" s="18">
        <f t="shared" si="1"/>
        <v>12.98969325</v>
      </c>
      <c r="C1231" s="13">
        <f t="shared" si="2"/>
        <v>0</v>
      </c>
      <c r="D1231" s="13">
        <f t="shared" si="3"/>
        <v>1</v>
      </c>
      <c r="O1231" s="4"/>
      <c r="P1231" s="4"/>
      <c r="Q1231" s="4"/>
      <c r="R1231" s="4"/>
    </row>
    <row r="1232" ht="15.75" customHeight="1">
      <c r="A1232" s="13">
        <f>A1231+'Energy Balance'!$N$7</f>
        <v>1230</v>
      </c>
      <c r="B1232" s="18">
        <f t="shared" si="1"/>
        <v>13.00026257</v>
      </c>
      <c r="C1232" s="13">
        <f t="shared" si="2"/>
        <v>1</v>
      </c>
      <c r="D1232" s="13">
        <f t="shared" si="3"/>
        <v>0</v>
      </c>
      <c r="O1232" s="4"/>
      <c r="P1232" s="4"/>
      <c r="Q1232" s="4"/>
      <c r="R1232" s="4"/>
    </row>
    <row r="1233" ht="15.75" customHeight="1">
      <c r="A1233" s="13">
        <f>A1232+'Energy Balance'!$N$7</f>
        <v>1231</v>
      </c>
      <c r="B1233" s="18">
        <f t="shared" si="1"/>
        <v>13.01083189</v>
      </c>
      <c r="C1233" s="13">
        <f t="shared" si="2"/>
        <v>1</v>
      </c>
      <c r="D1233" s="13">
        <f t="shared" si="3"/>
        <v>0</v>
      </c>
      <c r="O1233" s="4"/>
      <c r="P1233" s="4"/>
      <c r="Q1233" s="4"/>
      <c r="R1233" s="4"/>
    </row>
    <row r="1234" ht="15.75" customHeight="1">
      <c r="A1234" s="13">
        <f>A1233+'Energy Balance'!$N$7</f>
        <v>1232</v>
      </c>
      <c r="B1234" s="18">
        <f t="shared" si="1"/>
        <v>13.02140121</v>
      </c>
      <c r="C1234" s="13">
        <f t="shared" si="2"/>
        <v>1</v>
      </c>
      <c r="D1234" s="13">
        <f t="shared" si="3"/>
        <v>0</v>
      </c>
      <c r="O1234" s="4"/>
      <c r="P1234" s="4"/>
      <c r="Q1234" s="4"/>
      <c r="R1234" s="4"/>
    </row>
    <row r="1235" ht="15.75" customHeight="1">
      <c r="A1235" s="13">
        <f>A1234+'Energy Balance'!$N$7</f>
        <v>1233</v>
      </c>
      <c r="B1235" s="18">
        <f t="shared" si="1"/>
        <v>13.03197053</v>
      </c>
      <c r="C1235" s="13">
        <f t="shared" si="2"/>
        <v>1</v>
      </c>
      <c r="D1235" s="13">
        <f t="shared" si="3"/>
        <v>0</v>
      </c>
      <c r="O1235" s="4"/>
      <c r="P1235" s="4"/>
      <c r="Q1235" s="4"/>
      <c r="R1235" s="4"/>
    </row>
    <row r="1236" ht="15.75" customHeight="1">
      <c r="A1236" s="13">
        <f>A1235+'Energy Balance'!$N$7</f>
        <v>1234</v>
      </c>
      <c r="B1236" s="18">
        <f t="shared" si="1"/>
        <v>13.04253985</v>
      </c>
      <c r="C1236" s="13">
        <f t="shared" si="2"/>
        <v>1</v>
      </c>
      <c r="D1236" s="13">
        <f t="shared" si="3"/>
        <v>0</v>
      </c>
      <c r="O1236" s="4"/>
      <c r="P1236" s="4"/>
      <c r="Q1236" s="4"/>
      <c r="R1236" s="4"/>
    </row>
    <row r="1237" ht="15.75" customHeight="1">
      <c r="A1237" s="13">
        <f>A1236+'Energy Balance'!$N$7</f>
        <v>1235</v>
      </c>
      <c r="B1237" s="18">
        <f t="shared" si="1"/>
        <v>13.05310917</v>
      </c>
      <c r="C1237" s="13">
        <f t="shared" si="2"/>
        <v>1</v>
      </c>
      <c r="D1237" s="13">
        <f t="shared" si="3"/>
        <v>0</v>
      </c>
      <c r="O1237" s="4"/>
      <c r="P1237" s="4"/>
      <c r="Q1237" s="4"/>
      <c r="R1237" s="4"/>
    </row>
    <row r="1238" ht="15.75" customHeight="1">
      <c r="A1238" s="13">
        <f>A1237+'Energy Balance'!$N$7</f>
        <v>1236</v>
      </c>
      <c r="B1238" s="18">
        <f t="shared" si="1"/>
        <v>13.06367849</v>
      </c>
      <c r="C1238" s="13">
        <f t="shared" si="2"/>
        <v>1</v>
      </c>
      <c r="D1238" s="13">
        <f t="shared" si="3"/>
        <v>0</v>
      </c>
      <c r="O1238" s="4"/>
      <c r="P1238" s="4"/>
      <c r="Q1238" s="4"/>
      <c r="R1238" s="4"/>
    </row>
    <row r="1239" ht="15.75" customHeight="1">
      <c r="A1239" s="13">
        <f>A1238+'Energy Balance'!$N$7</f>
        <v>1237</v>
      </c>
      <c r="B1239" s="18">
        <f t="shared" si="1"/>
        <v>13.07424781</v>
      </c>
      <c r="C1239" s="13">
        <f t="shared" si="2"/>
        <v>1</v>
      </c>
      <c r="D1239" s="13">
        <f t="shared" si="3"/>
        <v>0</v>
      </c>
      <c r="O1239" s="4"/>
      <c r="P1239" s="4"/>
      <c r="Q1239" s="4"/>
      <c r="R1239" s="4"/>
    </row>
    <row r="1240" ht="15.75" customHeight="1">
      <c r="A1240" s="13">
        <f>A1239+'Energy Balance'!$N$7</f>
        <v>1238</v>
      </c>
      <c r="B1240" s="18">
        <f t="shared" si="1"/>
        <v>13.08481713</v>
      </c>
      <c r="C1240" s="13">
        <f t="shared" si="2"/>
        <v>1</v>
      </c>
      <c r="D1240" s="13">
        <f t="shared" si="3"/>
        <v>0</v>
      </c>
      <c r="O1240" s="4"/>
      <c r="P1240" s="4"/>
      <c r="Q1240" s="4"/>
      <c r="R1240" s="4"/>
    </row>
    <row r="1241" ht="15.75" customHeight="1">
      <c r="A1241" s="13">
        <f>A1240+'Energy Balance'!$N$7</f>
        <v>1239</v>
      </c>
      <c r="B1241" s="18">
        <f t="shared" si="1"/>
        <v>13.09538645</v>
      </c>
      <c r="C1241" s="13">
        <f t="shared" si="2"/>
        <v>1</v>
      </c>
      <c r="D1241" s="13">
        <f t="shared" si="3"/>
        <v>0</v>
      </c>
      <c r="O1241" s="4"/>
      <c r="P1241" s="4"/>
      <c r="Q1241" s="4"/>
      <c r="R1241" s="4"/>
    </row>
    <row r="1242" ht="15.75" customHeight="1">
      <c r="A1242" s="13">
        <f>A1241+'Energy Balance'!$N$7</f>
        <v>1240</v>
      </c>
      <c r="B1242" s="18">
        <f t="shared" si="1"/>
        <v>13.10595577</v>
      </c>
      <c r="C1242" s="13">
        <f t="shared" si="2"/>
        <v>1</v>
      </c>
      <c r="D1242" s="13">
        <f t="shared" si="3"/>
        <v>0</v>
      </c>
      <c r="O1242" s="4"/>
      <c r="P1242" s="4"/>
      <c r="Q1242" s="4"/>
      <c r="R1242" s="4"/>
    </row>
    <row r="1243" ht="15.75" customHeight="1">
      <c r="A1243" s="13">
        <f>A1242+'Energy Balance'!$N$7</f>
        <v>1241</v>
      </c>
      <c r="B1243" s="18">
        <f t="shared" si="1"/>
        <v>13.11652508</v>
      </c>
      <c r="C1243" s="13">
        <f t="shared" si="2"/>
        <v>1</v>
      </c>
      <c r="D1243" s="13">
        <f t="shared" si="3"/>
        <v>0</v>
      </c>
      <c r="O1243" s="4"/>
      <c r="P1243" s="4"/>
      <c r="Q1243" s="4"/>
      <c r="R1243" s="4"/>
    </row>
    <row r="1244" ht="15.75" customHeight="1">
      <c r="A1244" s="13">
        <f>A1243+'Energy Balance'!$N$7</f>
        <v>1242</v>
      </c>
      <c r="B1244" s="18">
        <f t="shared" si="1"/>
        <v>13.1270944</v>
      </c>
      <c r="C1244" s="13">
        <f t="shared" si="2"/>
        <v>1</v>
      </c>
      <c r="D1244" s="13">
        <f t="shared" si="3"/>
        <v>0</v>
      </c>
      <c r="O1244" s="4"/>
      <c r="P1244" s="4"/>
      <c r="Q1244" s="4"/>
      <c r="R1244" s="4"/>
    </row>
    <row r="1245" ht="15.75" customHeight="1">
      <c r="A1245" s="13">
        <f>A1244+'Energy Balance'!$N$7</f>
        <v>1243</v>
      </c>
      <c r="B1245" s="18">
        <f t="shared" si="1"/>
        <v>13.13766372</v>
      </c>
      <c r="C1245" s="13">
        <f t="shared" si="2"/>
        <v>1</v>
      </c>
      <c r="D1245" s="13">
        <f t="shared" si="3"/>
        <v>0</v>
      </c>
      <c r="O1245" s="4"/>
      <c r="P1245" s="4"/>
      <c r="Q1245" s="4"/>
      <c r="R1245" s="4"/>
    </row>
    <row r="1246" ht="15.75" customHeight="1">
      <c r="A1246" s="13">
        <f>A1245+'Energy Balance'!$N$7</f>
        <v>1244</v>
      </c>
      <c r="B1246" s="18">
        <f t="shared" si="1"/>
        <v>13.14823304</v>
      </c>
      <c r="C1246" s="13">
        <f t="shared" si="2"/>
        <v>1</v>
      </c>
      <c r="D1246" s="13">
        <f t="shared" si="3"/>
        <v>0</v>
      </c>
      <c r="O1246" s="4"/>
      <c r="P1246" s="4"/>
      <c r="Q1246" s="4"/>
      <c r="R1246" s="4"/>
    </row>
    <row r="1247" ht="15.75" customHeight="1">
      <c r="A1247" s="13">
        <f>A1246+'Energy Balance'!$N$7</f>
        <v>1245</v>
      </c>
      <c r="B1247" s="18">
        <f t="shared" si="1"/>
        <v>13.15880236</v>
      </c>
      <c r="C1247" s="13">
        <f t="shared" si="2"/>
        <v>1</v>
      </c>
      <c r="D1247" s="13">
        <f t="shared" si="3"/>
        <v>0</v>
      </c>
      <c r="O1247" s="4"/>
      <c r="P1247" s="4"/>
      <c r="Q1247" s="4"/>
      <c r="R1247" s="4"/>
    </row>
    <row r="1248" ht="15.75" customHeight="1">
      <c r="A1248" s="13">
        <f>A1247+'Energy Balance'!$N$7</f>
        <v>1246</v>
      </c>
      <c r="B1248" s="18">
        <f t="shared" si="1"/>
        <v>13.16937168</v>
      </c>
      <c r="C1248" s="13">
        <f t="shared" si="2"/>
        <v>1</v>
      </c>
      <c r="D1248" s="13">
        <f t="shared" si="3"/>
        <v>0</v>
      </c>
      <c r="O1248" s="4"/>
      <c r="P1248" s="4"/>
      <c r="Q1248" s="4"/>
      <c r="R1248" s="4"/>
    </row>
    <row r="1249" ht="15.75" customHeight="1">
      <c r="A1249" s="13">
        <f>A1248+'Energy Balance'!$N$7</f>
        <v>1247</v>
      </c>
      <c r="B1249" s="18">
        <f t="shared" si="1"/>
        <v>13.179941</v>
      </c>
      <c r="C1249" s="13">
        <f t="shared" si="2"/>
        <v>1</v>
      </c>
      <c r="D1249" s="13">
        <f t="shared" si="3"/>
        <v>0</v>
      </c>
      <c r="O1249" s="4"/>
      <c r="P1249" s="4"/>
      <c r="Q1249" s="4"/>
      <c r="R1249" s="4"/>
    </row>
    <row r="1250" ht="15.75" customHeight="1">
      <c r="A1250" s="13">
        <f>A1249+'Energy Balance'!$N$7</f>
        <v>1248</v>
      </c>
      <c r="B1250" s="18">
        <f t="shared" si="1"/>
        <v>13.19051032</v>
      </c>
      <c r="C1250" s="13">
        <f t="shared" si="2"/>
        <v>1</v>
      </c>
      <c r="D1250" s="13">
        <f t="shared" si="3"/>
        <v>0</v>
      </c>
      <c r="O1250" s="4"/>
      <c r="P1250" s="4"/>
      <c r="Q1250" s="4"/>
      <c r="R1250" s="4"/>
    </row>
    <row r="1251" ht="15.75" customHeight="1">
      <c r="A1251" s="13">
        <f>A1250+'Energy Balance'!$N$7</f>
        <v>1249</v>
      </c>
      <c r="B1251" s="18">
        <f t="shared" si="1"/>
        <v>13.20107964</v>
      </c>
      <c r="C1251" s="13">
        <f t="shared" si="2"/>
        <v>1</v>
      </c>
      <c r="D1251" s="13">
        <f t="shared" si="3"/>
        <v>0</v>
      </c>
      <c r="O1251" s="4"/>
      <c r="P1251" s="4"/>
      <c r="Q1251" s="4"/>
      <c r="R1251" s="4"/>
    </row>
    <row r="1252" ht="15.75" customHeight="1">
      <c r="A1252" s="13">
        <f>A1251+'Energy Balance'!$N$7</f>
        <v>1250</v>
      </c>
      <c r="B1252" s="18">
        <f t="shared" si="1"/>
        <v>13.21164896</v>
      </c>
      <c r="C1252" s="13">
        <f t="shared" si="2"/>
        <v>1</v>
      </c>
      <c r="D1252" s="13">
        <f t="shared" si="3"/>
        <v>0</v>
      </c>
      <c r="O1252" s="4"/>
      <c r="P1252" s="4"/>
      <c r="Q1252" s="4"/>
      <c r="R1252" s="4"/>
    </row>
    <row r="1253" ht="15.75" customHeight="1">
      <c r="A1253" s="13">
        <f>A1252+'Energy Balance'!$N$7</f>
        <v>1251</v>
      </c>
      <c r="B1253" s="18">
        <f t="shared" si="1"/>
        <v>13.22221828</v>
      </c>
      <c r="C1253" s="13">
        <f t="shared" si="2"/>
        <v>1</v>
      </c>
      <c r="D1253" s="13">
        <f t="shared" si="3"/>
        <v>0</v>
      </c>
      <c r="O1253" s="4"/>
      <c r="P1253" s="4"/>
      <c r="Q1253" s="4"/>
      <c r="R1253" s="4"/>
    </row>
    <row r="1254" ht="15.75" customHeight="1">
      <c r="A1254" s="13">
        <f>A1253+'Energy Balance'!$N$7</f>
        <v>1252</v>
      </c>
      <c r="B1254" s="18">
        <f t="shared" si="1"/>
        <v>13.2327876</v>
      </c>
      <c r="C1254" s="13">
        <f t="shared" si="2"/>
        <v>1</v>
      </c>
      <c r="D1254" s="13">
        <f t="shared" si="3"/>
        <v>0</v>
      </c>
      <c r="O1254" s="4"/>
      <c r="P1254" s="4"/>
      <c r="Q1254" s="4"/>
      <c r="R1254" s="4"/>
    </row>
    <row r="1255" ht="15.75" customHeight="1">
      <c r="A1255" s="13">
        <f>A1254+'Energy Balance'!$N$7</f>
        <v>1253</v>
      </c>
      <c r="B1255" s="18">
        <f t="shared" si="1"/>
        <v>13.24335691</v>
      </c>
      <c r="C1255" s="13">
        <f t="shared" si="2"/>
        <v>1</v>
      </c>
      <c r="D1255" s="13">
        <f t="shared" si="3"/>
        <v>0</v>
      </c>
      <c r="O1255" s="4"/>
      <c r="P1255" s="4"/>
      <c r="Q1255" s="4"/>
      <c r="R1255" s="4"/>
    </row>
    <row r="1256" ht="15.75" customHeight="1">
      <c r="A1256" s="13">
        <f>A1255+'Energy Balance'!$N$7</f>
        <v>1254</v>
      </c>
      <c r="B1256" s="18">
        <f t="shared" si="1"/>
        <v>13.25392623</v>
      </c>
      <c r="C1256" s="13">
        <f t="shared" si="2"/>
        <v>1</v>
      </c>
      <c r="D1256" s="13">
        <f t="shared" si="3"/>
        <v>0</v>
      </c>
      <c r="O1256" s="4"/>
      <c r="P1256" s="4"/>
      <c r="Q1256" s="4"/>
      <c r="R1256" s="4"/>
    </row>
    <row r="1257" ht="15.75" customHeight="1">
      <c r="A1257" s="13">
        <f>A1256+'Energy Balance'!$N$7</f>
        <v>1255</v>
      </c>
      <c r="B1257" s="18">
        <f t="shared" si="1"/>
        <v>13.26449555</v>
      </c>
      <c r="C1257" s="13">
        <f t="shared" si="2"/>
        <v>1</v>
      </c>
      <c r="D1257" s="13">
        <f t="shared" si="3"/>
        <v>0</v>
      </c>
      <c r="O1257" s="4"/>
      <c r="P1257" s="4"/>
      <c r="Q1257" s="4"/>
      <c r="R1257" s="4"/>
    </row>
    <row r="1258" ht="15.75" customHeight="1">
      <c r="A1258" s="13">
        <f>A1257+'Energy Balance'!$N$7</f>
        <v>1256</v>
      </c>
      <c r="B1258" s="18">
        <f t="shared" si="1"/>
        <v>13.27506487</v>
      </c>
      <c r="C1258" s="13">
        <f t="shared" si="2"/>
        <v>1</v>
      </c>
      <c r="D1258" s="13">
        <f t="shared" si="3"/>
        <v>0</v>
      </c>
      <c r="O1258" s="4"/>
      <c r="P1258" s="4"/>
      <c r="Q1258" s="4"/>
      <c r="R1258" s="4"/>
    </row>
    <row r="1259" ht="15.75" customHeight="1">
      <c r="A1259" s="13">
        <f>A1258+'Energy Balance'!$N$7</f>
        <v>1257</v>
      </c>
      <c r="B1259" s="18">
        <f t="shared" si="1"/>
        <v>13.28563419</v>
      </c>
      <c r="C1259" s="13">
        <f t="shared" si="2"/>
        <v>1</v>
      </c>
      <c r="D1259" s="13">
        <f t="shared" si="3"/>
        <v>0</v>
      </c>
      <c r="O1259" s="4"/>
      <c r="P1259" s="4"/>
      <c r="Q1259" s="4"/>
      <c r="R1259" s="4"/>
    </row>
    <row r="1260" ht="15.75" customHeight="1">
      <c r="A1260" s="13">
        <f>A1259+'Energy Balance'!$N$7</f>
        <v>1258</v>
      </c>
      <c r="B1260" s="18">
        <f t="shared" si="1"/>
        <v>13.29620351</v>
      </c>
      <c r="C1260" s="13">
        <f t="shared" si="2"/>
        <v>1</v>
      </c>
      <c r="D1260" s="13">
        <f t="shared" si="3"/>
        <v>0</v>
      </c>
      <c r="O1260" s="4"/>
      <c r="P1260" s="4"/>
      <c r="Q1260" s="4"/>
      <c r="R1260" s="4"/>
    </row>
    <row r="1261" ht="15.75" customHeight="1">
      <c r="A1261" s="13">
        <f>A1260+'Energy Balance'!$N$7</f>
        <v>1259</v>
      </c>
      <c r="B1261" s="18">
        <f t="shared" si="1"/>
        <v>13.30677283</v>
      </c>
      <c r="C1261" s="13">
        <f t="shared" si="2"/>
        <v>1</v>
      </c>
      <c r="D1261" s="13">
        <f t="shared" si="3"/>
        <v>0</v>
      </c>
      <c r="O1261" s="4"/>
      <c r="P1261" s="4"/>
      <c r="Q1261" s="4"/>
      <c r="R1261" s="4"/>
    </row>
    <row r="1262" ht="15.75" customHeight="1">
      <c r="A1262" s="13">
        <f>A1261+'Energy Balance'!$N$7</f>
        <v>1260</v>
      </c>
      <c r="B1262" s="18">
        <f t="shared" si="1"/>
        <v>13.31734215</v>
      </c>
      <c r="C1262" s="13">
        <f t="shared" si="2"/>
        <v>1</v>
      </c>
      <c r="D1262" s="13">
        <f t="shared" si="3"/>
        <v>0</v>
      </c>
      <c r="O1262" s="4"/>
      <c r="P1262" s="4"/>
      <c r="Q1262" s="4"/>
      <c r="R1262" s="4"/>
    </row>
    <row r="1263" ht="15.75" customHeight="1">
      <c r="A1263" s="13">
        <f>A1262+'Energy Balance'!$N$7</f>
        <v>1261</v>
      </c>
      <c r="B1263" s="18">
        <f t="shared" si="1"/>
        <v>13.32791147</v>
      </c>
      <c r="C1263" s="13">
        <f t="shared" si="2"/>
        <v>1</v>
      </c>
      <c r="D1263" s="13">
        <f t="shared" si="3"/>
        <v>0</v>
      </c>
      <c r="O1263" s="4"/>
      <c r="P1263" s="4"/>
      <c r="Q1263" s="4"/>
      <c r="R1263" s="4"/>
    </row>
    <row r="1264" ht="15.75" customHeight="1">
      <c r="A1264" s="13">
        <f>A1263+'Energy Balance'!$N$7</f>
        <v>1262</v>
      </c>
      <c r="B1264" s="18">
        <f t="shared" si="1"/>
        <v>13.33848079</v>
      </c>
      <c r="C1264" s="13">
        <f t="shared" si="2"/>
        <v>1</v>
      </c>
      <c r="D1264" s="13">
        <f t="shared" si="3"/>
        <v>0</v>
      </c>
      <c r="O1264" s="4"/>
      <c r="P1264" s="4"/>
      <c r="Q1264" s="4"/>
      <c r="R1264" s="4"/>
    </row>
    <row r="1265" ht="15.75" customHeight="1">
      <c r="A1265" s="13">
        <f>A1264+'Energy Balance'!$N$7</f>
        <v>1263</v>
      </c>
      <c r="B1265" s="18">
        <f t="shared" si="1"/>
        <v>13.34905011</v>
      </c>
      <c r="C1265" s="13">
        <f t="shared" si="2"/>
        <v>1</v>
      </c>
      <c r="D1265" s="13">
        <f t="shared" si="3"/>
        <v>0</v>
      </c>
      <c r="O1265" s="4"/>
      <c r="P1265" s="4"/>
      <c r="Q1265" s="4"/>
      <c r="R1265" s="4"/>
    </row>
    <row r="1266" ht="15.75" customHeight="1">
      <c r="A1266" s="13">
        <f>A1265+'Energy Balance'!$N$7</f>
        <v>1264</v>
      </c>
      <c r="B1266" s="18">
        <f t="shared" si="1"/>
        <v>13.35961943</v>
      </c>
      <c r="C1266" s="13">
        <f t="shared" si="2"/>
        <v>1</v>
      </c>
      <c r="D1266" s="13">
        <f t="shared" si="3"/>
        <v>0</v>
      </c>
      <c r="O1266" s="4"/>
      <c r="P1266" s="4"/>
      <c r="Q1266" s="4"/>
      <c r="R1266" s="4"/>
    </row>
    <row r="1267" ht="15.75" customHeight="1">
      <c r="A1267" s="13">
        <f>A1266+'Energy Balance'!$N$7</f>
        <v>1265</v>
      </c>
      <c r="B1267" s="18">
        <f t="shared" si="1"/>
        <v>13.37018874</v>
      </c>
      <c r="C1267" s="13">
        <f t="shared" si="2"/>
        <v>1</v>
      </c>
      <c r="D1267" s="13">
        <f t="shared" si="3"/>
        <v>0</v>
      </c>
      <c r="O1267" s="4"/>
      <c r="P1267" s="4"/>
      <c r="Q1267" s="4"/>
      <c r="R1267" s="4"/>
    </row>
    <row r="1268" ht="15.75" customHeight="1">
      <c r="A1268" s="13">
        <f>A1267+'Energy Balance'!$N$7</f>
        <v>1266</v>
      </c>
      <c r="B1268" s="18">
        <f t="shared" si="1"/>
        <v>13.38075806</v>
      </c>
      <c r="C1268" s="13">
        <f t="shared" si="2"/>
        <v>1</v>
      </c>
      <c r="D1268" s="13">
        <f t="shared" si="3"/>
        <v>0</v>
      </c>
      <c r="O1268" s="4"/>
      <c r="P1268" s="4"/>
      <c r="Q1268" s="4"/>
      <c r="R1268" s="4"/>
    </row>
    <row r="1269" ht="15.75" customHeight="1">
      <c r="A1269" s="13">
        <f>A1268+'Energy Balance'!$N$7</f>
        <v>1267</v>
      </c>
      <c r="B1269" s="18">
        <f t="shared" si="1"/>
        <v>13.39132738</v>
      </c>
      <c r="C1269" s="13">
        <f t="shared" si="2"/>
        <v>1</v>
      </c>
      <c r="D1269" s="13">
        <f t="shared" si="3"/>
        <v>0</v>
      </c>
      <c r="O1269" s="4"/>
      <c r="P1269" s="4"/>
      <c r="Q1269" s="4"/>
      <c r="R1269" s="4"/>
    </row>
    <row r="1270" ht="15.75" customHeight="1">
      <c r="A1270" s="13">
        <f>A1269+'Energy Balance'!$N$7</f>
        <v>1268</v>
      </c>
      <c r="B1270" s="18">
        <f t="shared" si="1"/>
        <v>13.4018967</v>
      </c>
      <c r="C1270" s="13">
        <f t="shared" si="2"/>
        <v>1</v>
      </c>
      <c r="D1270" s="13">
        <f t="shared" si="3"/>
        <v>0</v>
      </c>
      <c r="O1270" s="4"/>
      <c r="P1270" s="4"/>
      <c r="Q1270" s="4"/>
      <c r="R1270" s="4"/>
    </row>
    <row r="1271" ht="15.75" customHeight="1">
      <c r="A1271" s="13">
        <f>A1270+'Energy Balance'!$N$7</f>
        <v>1269</v>
      </c>
      <c r="B1271" s="18">
        <f t="shared" si="1"/>
        <v>13.41246602</v>
      </c>
      <c r="C1271" s="13">
        <f t="shared" si="2"/>
        <v>1</v>
      </c>
      <c r="D1271" s="13">
        <f t="shared" si="3"/>
        <v>0</v>
      </c>
      <c r="O1271" s="4"/>
      <c r="P1271" s="4"/>
      <c r="Q1271" s="4"/>
      <c r="R1271" s="4"/>
    </row>
    <row r="1272" ht="15.75" customHeight="1">
      <c r="A1272" s="13">
        <f>A1271+'Energy Balance'!$N$7</f>
        <v>1270</v>
      </c>
      <c r="B1272" s="18">
        <f t="shared" si="1"/>
        <v>13.42303534</v>
      </c>
      <c r="C1272" s="13">
        <f t="shared" si="2"/>
        <v>1</v>
      </c>
      <c r="D1272" s="13">
        <f t="shared" si="3"/>
        <v>0</v>
      </c>
      <c r="O1272" s="4"/>
      <c r="P1272" s="4"/>
      <c r="Q1272" s="4"/>
      <c r="R1272" s="4"/>
    </row>
    <row r="1273" ht="15.75" customHeight="1">
      <c r="A1273" s="13">
        <f>A1272+'Energy Balance'!$N$7</f>
        <v>1271</v>
      </c>
      <c r="B1273" s="18">
        <f t="shared" si="1"/>
        <v>13.43360466</v>
      </c>
      <c r="C1273" s="13">
        <f t="shared" si="2"/>
        <v>1</v>
      </c>
      <c r="D1273" s="13">
        <f t="shared" si="3"/>
        <v>0</v>
      </c>
      <c r="O1273" s="4"/>
      <c r="P1273" s="4"/>
      <c r="Q1273" s="4"/>
      <c r="R1273" s="4"/>
    </row>
    <row r="1274" ht="15.75" customHeight="1">
      <c r="A1274" s="13">
        <f>A1273+'Energy Balance'!$N$7</f>
        <v>1272</v>
      </c>
      <c r="B1274" s="18">
        <f t="shared" si="1"/>
        <v>13.44417398</v>
      </c>
      <c r="C1274" s="13">
        <f t="shared" si="2"/>
        <v>1</v>
      </c>
      <c r="D1274" s="13">
        <f t="shared" si="3"/>
        <v>0</v>
      </c>
      <c r="O1274" s="4"/>
      <c r="P1274" s="4"/>
      <c r="Q1274" s="4"/>
      <c r="R1274" s="4"/>
    </row>
    <row r="1275" ht="15.75" customHeight="1">
      <c r="A1275" s="13">
        <f>A1274+'Energy Balance'!$N$7</f>
        <v>1273</v>
      </c>
      <c r="B1275" s="18">
        <f t="shared" si="1"/>
        <v>13.4547433</v>
      </c>
      <c r="C1275" s="13">
        <f t="shared" si="2"/>
        <v>1</v>
      </c>
      <c r="D1275" s="13">
        <f t="shared" si="3"/>
        <v>0</v>
      </c>
      <c r="O1275" s="4"/>
      <c r="P1275" s="4"/>
      <c r="Q1275" s="4"/>
      <c r="R1275" s="4"/>
    </row>
    <row r="1276" ht="15.75" customHeight="1">
      <c r="A1276" s="13">
        <f>A1275+'Energy Balance'!$N$7</f>
        <v>1274</v>
      </c>
      <c r="B1276" s="18">
        <f t="shared" si="1"/>
        <v>13.46531262</v>
      </c>
      <c r="C1276" s="13">
        <f t="shared" si="2"/>
        <v>1</v>
      </c>
      <c r="D1276" s="13">
        <f t="shared" si="3"/>
        <v>0</v>
      </c>
      <c r="O1276" s="4"/>
      <c r="P1276" s="4"/>
      <c r="Q1276" s="4"/>
      <c r="R1276" s="4"/>
    </row>
    <row r="1277" ht="15.75" customHeight="1">
      <c r="A1277" s="13">
        <f>A1276+'Energy Balance'!$N$7</f>
        <v>1275</v>
      </c>
      <c r="B1277" s="18">
        <f t="shared" si="1"/>
        <v>13.47588194</v>
      </c>
      <c r="C1277" s="13">
        <f t="shared" si="2"/>
        <v>1</v>
      </c>
      <c r="D1277" s="13">
        <f t="shared" si="3"/>
        <v>0</v>
      </c>
      <c r="O1277" s="4"/>
      <c r="P1277" s="4"/>
      <c r="Q1277" s="4"/>
      <c r="R1277" s="4"/>
    </row>
    <row r="1278" ht="15.75" customHeight="1">
      <c r="A1278" s="13">
        <f>A1277+'Energy Balance'!$N$7</f>
        <v>1276</v>
      </c>
      <c r="B1278" s="18">
        <f t="shared" si="1"/>
        <v>13.48645126</v>
      </c>
      <c r="C1278" s="13">
        <f t="shared" si="2"/>
        <v>1</v>
      </c>
      <c r="D1278" s="13">
        <f t="shared" si="3"/>
        <v>0</v>
      </c>
      <c r="O1278" s="4"/>
      <c r="P1278" s="4"/>
      <c r="Q1278" s="4"/>
      <c r="R1278" s="4"/>
    </row>
    <row r="1279" ht="15.75" customHeight="1">
      <c r="A1279" s="13">
        <f>A1278+'Energy Balance'!$N$7</f>
        <v>1277</v>
      </c>
      <c r="B1279" s="18">
        <f t="shared" si="1"/>
        <v>13.49702057</v>
      </c>
      <c r="C1279" s="13">
        <f t="shared" si="2"/>
        <v>1</v>
      </c>
      <c r="D1279" s="13">
        <f t="shared" si="3"/>
        <v>0</v>
      </c>
      <c r="O1279" s="4"/>
      <c r="P1279" s="4"/>
      <c r="Q1279" s="4"/>
      <c r="R1279" s="4"/>
    </row>
    <row r="1280" ht="15.75" customHeight="1">
      <c r="A1280" s="13">
        <f>A1279+'Energy Balance'!$N$7</f>
        <v>1278</v>
      </c>
      <c r="B1280" s="18">
        <f t="shared" si="1"/>
        <v>13.50758989</v>
      </c>
      <c r="C1280" s="13">
        <f t="shared" si="2"/>
        <v>1</v>
      </c>
      <c r="D1280" s="13">
        <f t="shared" si="3"/>
        <v>0</v>
      </c>
      <c r="O1280" s="4"/>
      <c r="P1280" s="4"/>
      <c r="Q1280" s="4"/>
      <c r="R1280" s="4"/>
    </row>
    <row r="1281" ht="15.75" customHeight="1">
      <c r="A1281" s="13">
        <f>A1280+'Energy Balance'!$N$7</f>
        <v>1279</v>
      </c>
      <c r="B1281" s="18">
        <f t="shared" si="1"/>
        <v>13.51815921</v>
      </c>
      <c r="C1281" s="13">
        <f t="shared" si="2"/>
        <v>1</v>
      </c>
      <c r="D1281" s="13">
        <f t="shared" si="3"/>
        <v>0</v>
      </c>
      <c r="O1281" s="4"/>
      <c r="P1281" s="4"/>
      <c r="Q1281" s="4"/>
      <c r="R1281" s="4"/>
    </row>
    <row r="1282" ht="15.75" customHeight="1">
      <c r="A1282" s="13">
        <f>A1281+'Energy Balance'!$N$7</f>
        <v>1280</v>
      </c>
      <c r="B1282" s="18">
        <f t="shared" si="1"/>
        <v>13.52872853</v>
      </c>
      <c r="C1282" s="13">
        <f t="shared" si="2"/>
        <v>1</v>
      </c>
      <c r="D1282" s="13">
        <f t="shared" si="3"/>
        <v>0</v>
      </c>
      <c r="O1282" s="4"/>
      <c r="P1282" s="4"/>
      <c r="Q1282" s="4"/>
      <c r="R1282" s="4"/>
    </row>
    <row r="1283" ht="15.75" customHeight="1">
      <c r="A1283" s="13">
        <f>A1282+'Energy Balance'!$N$7</f>
        <v>1281</v>
      </c>
      <c r="B1283" s="18">
        <f t="shared" si="1"/>
        <v>13.53929785</v>
      </c>
      <c r="C1283" s="13">
        <f t="shared" si="2"/>
        <v>1</v>
      </c>
      <c r="D1283" s="13">
        <f t="shared" si="3"/>
        <v>0</v>
      </c>
      <c r="O1283" s="4"/>
      <c r="P1283" s="4"/>
      <c r="Q1283" s="4"/>
      <c r="R1283" s="4"/>
    </row>
    <row r="1284" ht="15.75" customHeight="1">
      <c r="A1284" s="13">
        <f>A1283+'Energy Balance'!$N$7</f>
        <v>1282</v>
      </c>
      <c r="B1284" s="18">
        <f t="shared" si="1"/>
        <v>13.54986717</v>
      </c>
      <c r="C1284" s="13">
        <f t="shared" si="2"/>
        <v>1</v>
      </c>
      <c r="D1284" s="13">
        <f t="shared" si="3"/>
        <v>0</v>
      </c>
      <c r="O1284" s="4"/>
      <c r="P1284" s="4"/>
      <c r="Q1284" s="4"/>
      <c r="R1284" s="4"/>
    </row>
    <row r="1285" ht="15.75" customHeight="1">
      <c r="A1285" s="13">
        <f>A1284+'Energy Balance'!$N$7</f>
        <v>1283</v>
      </c>
      <c r="B1285" s="18">
        <f t="shared" si="1"/>
        <v>13.56043649</v>
      </c>
      <c r="C1285" s="13">
        <f t="shared" si="2"/>
        <v>1</v>
      </c>
      <c r="D1285" s="13">
        <f t="shared" si="3"/>
        <v>0</v>
      </c>
      <c r="O1285" s="4"/>
      <c r="P1285" s="4"/>
      <c r="Q1285" s="4"/>
      <c r="R1285" s="4"/>
    </row>
    <row r="1286" ht="15.75" customHeight="1">
      <c r="A1286" s="13">
        <f>A1285+'Energy Balance'!$N$7</f>
        <v>1284</v>
      </c>
      <c r="B1286" s="18">
        <f t="shared" si="1"/>
        <v>13.57100581</v>
      </c>
      <c r="C1286" s="13">
        <f t="shared" si="2"/>
        <v>1</v>
      </c>
      <c r="D1286" s="13">
        <f t="shared" si="3"/>
        <v>0</v>
      </c>
      <c r="O1286" s="4"/>
      <c r="P1286" s="4"/>
      <c r="Q1286" s="4"/>
      <c r="R1286" s="4"/>
    </row>
    <row r="1287" ht="15.75" customHeight="1">
      <c r="A1287" s="13">
        <f>A1286+'Energy Balance'!$N$7</f>
        <v>1285</v>
      </c>
      <c r="B1287" s="18">
        <f t="shared" si="1"/>
        <v>13.58157513</v>
      </c>
      <c r="C1287" s="13">
        <f t="shared" si="2"/>
        <v>1</v>
      </c>
      <c r="D1287" s="13">
        <f t="shared" si="3"/>
        <v>0</v>
      </c>
      <c r="O1287" s="4"/>
      <c r="P1287" s="4"/>
      <c r="Q1287" s="4"/>
      <c r="R1287" s="4"/>
    </row>
    <row r="1288" ht="15.75" customHeight="1">
      <c r="A1288" s="13">
        <f>A1287+'Energy Balance'!$N$7</f>
        <v>1286</v>
      </c>
      <c r="B1288" s="18">
        <f t="shared" si="1"/>
        <v>13.59214445</v>
      </c>
      <c r="C1288" s="13">
        <f t="shared" si="2"/>
        <v>1</v>
      </c>
      <c r="D1288" s="13">
        <f t="shared" si="3"/>
        <v>0</v>
      </c>
      <c r="O1288" s="4"/>
      <c r="P1288" s="4"/>
      <c r="Q1288" s="4"/>
      <c r="R1288" s="4"/>
    </row>
    <row r="1289" ht="15.75" customHeight="1">
      <c r="A1289" s="13">
        <f>A1288+'Energy Balance'!$N$7</f>
        <v>1287</v>
      </c>
      <c r="B1289" s="18">
        <f t="shared" si="1"/>
        <v>13.60271377</v>
      </c>
      <c r="C1289" s="13">
        <f t="shared" si="2"/>
        <v>1</v>
      </c>
      <c r="D1289" s="13">
        <f t="shared" si="3"/>
        <v>0</v>
      </c>
      <c r="O1289" s="4"/>
      <c r="P1289" s="4"/>
      <c r="Q1289" s="4"/>
      <c r="R1289" s="4"/>
    </row>
    <row r="1290" ht="15.75" customHeight="1">
      <c r="A1290" s="13">
        <f>A1289+'Energy Balance'!$N$7</f>
        <v>1288</v>
      </c>
      <c r="B1290" s="18">
        <f t="shared" si="1"/>
        <v>13.61328309</v>
      </c>
      <c r="C1290" s="13">
        <f t="shared" si="2"/>
        <v>1</v>
      </c>
      <c r="D1290" s="13">
        <f t="shared" si="3"/>
        <v>0</v>
      </c>
      <c r="O1290" s="4"/>
      <c r="P1290" s="4"/>
      <c r="Q1290" s="4"/>
      <c r="R1290" s="4"/>
    </row>
    <row r="1291" ht="15.75" customHeight="1">
      <c r="A1291" s="13">
        <f>A1290+'Energy Balance'!$N$7</f>
        <v>1289</v>
      </c>
      <c r="B1291" s="18">
        <f t="shared" si="1"/>
        <v>13.6238524</v>
      </c>
      <c r="C1291" s="13">
        <f t="shared" si="2"/>
        <v>0</v>
      </c>
      <c r="D1291" s="13">
        <f t="shared" si="3"/>
        <v>1</v>
      </c>
      <c r="O1291" s="4"/>
      <c r="P1291" s="4"/>
      <c r="Q1291" s="4"/>
      <c r="R1291" s="4"/>
    </row>
    <row r="1292" ht="15.75" customHeight="1">
      <c r="A1292" s="13">
        <f>A1291+'Energy Balance'!$N$7</f>
        <v>1290</v>
      </c>
      <c r="B1292" s="18">
        <f t="shared" si="1"/>
        <v>13.63442172</v>
      </c>
      <c r="C1292" s="13">
        <f t="shared" si="2"/>
        <v>0</v>
      </c>
      <c r="D1292" s="13">
        <f t="shared" si="3"/>
        <v>1</v>
      </c>
      <c r="O1292" s="4"/>
      <c r="P1292" s="4"/>
      <c r="Q1292" s="4"/>
      <c r="R1292" s="4"/>
    </row>
    <row r="1293" ht="15.75" customHeight="1">
      <c r="A1293" s="13">
        <f>A1292+'Energy Balance'!$N$7</f>
        <v>1291</v>
      </c>
      <c r="B1293" s="18">
        <f t="shared" si="1"/>
        <v>13.64499104</v>
      </c>
      <c r="C1293" s="13">
        <f t="shared" si="2"/>
        <v>0</v>
      </c>
      <c r="D1293" s="13">
        <f t="shared" si="3"/>
        <v>1</v>
      </c>
      <c r="O1293" s="4"/>
      <c r="P1293" s="4"/>
      <c r="Q1293" s="4"/>
      <c r="R1293" s="4"/>
    </row>
    <row r="1294" ht="15.75" customHeight="1">
      <c r="A1294" s="13">
        <f>A1293+'Energy Balance'!$N$7</f>
        <v>1292</v>
      </c>
      <c r="B1294" s="18">
        <f t="shared" si="1"/>
        <v>13.65556036</v>
      </c>
      <c r="C1294" s="13">
        <f t="shared" si="2"/>
        <v>0</v>
      </c>
      <c r="D1294" s="13">
        <f t="shared" si="3"/>
        <v>1</v>
      </c>
      <c r="O1294" s="4"/>
      <c r="P1294" s="4"/>
      <c r="Q1294" s="4"/>
      <c r="R1294" s="4"/>
    </row>
    <row r="1295" ht="15.75" customHeight="1">
      <c r="A1295" s="13">
        <f>A1294+'Energy Balance'!$N$7</f>
        <v>1293</v>
      </c>
      <c r="B1295" s="18">
        <f t="shared" si="1"/>
        <v>13.66612968</v>
      </c>
      <c r="C1295" s="13">
        <f t="shared" si="2"/>
        <v>0</v>
      </c>
      <c r="D1295" s="13">
        <f t="shared" si="3"/>
        <v>1</v>
      </c>
      <c r="O1295" s="4"/>
      <c r="P1295" s="4"/>
      <c r="Q1295" s="4"/>
      <c r="R1295" s="4"/>
    </row>
    <row r="1296" ht="15.75" customHeight="1">
      <c r="A1296" s="13">
        <f>A1295+'Energy Balance'!$N$7</f>
        <v>1294</v>
      </c>
      <c r="B1296" s="18">
        <f t="shared" si="1"/>
        <v>13.676699</v>
      </c>
      <c r="C1296" s="13">
        <f t="shared" si="2"/>
        <v>0</v>
      </c>
      <c r="D1296" s="13">
        <f t="shared" si="3"/>
        <v>1</v>
      </c>
      <c r="O1296" s="4"/>
      <c r="P1296" s="4"/>
      <c r="Q1296" s="4"/>
      <c r="R1296" s="4"/>
    </row>
    <row r="1297" ht="15.75" customHeight="1">
      <c r="A1297" s="13">
        <f>A1296+'Energy Balance'!$N$7</f>
        <v>1295</v>
      </c>
      <c r="B1297" s="18">
        <f t="shared" si="1"/>
        <v>13.68726832</v>
      </c>
      <c r="C1297" s="13">
        <f t="shared" si="2"/>
        <v>0</v>
      </c>
      <c r="D1297" s="13">
        <f t="shared" si="3"/>
        <v>1</v>
      </c>
      <c r="O1297" s="4"/>
      <c r="P1297" s="4"/>
      <c r="Q1297" s="4"/>
      <c r="R1297" s="4"/>
    </row>
    <row r="1298" ht="15.75" customHeight="1">
      <c r="A1298" s="13">
        <f>A1297+'Energy Balance'!$N$7</f>
        <v>1296</v>
      </c>
      <c r="B1298" s="18">
        <f t="shared" si="1"/>
        <v>13.69783764</v>
      </c>
      <c r="C1298" s="13">
        <f t="shared" si="2"/>
        <v>0</v>
      </c>
      <c r="D1298" s="13">
        <f t="shared" si="3"/>
        <v>1</v>
      </c>
      <c r="O1298" s="4"/>
      <c r="P1298" s="4"/>
      <c r="Q1298" s="4"/>
      <c r="R1298" s="4"/>
    </row>
    <row r="1299" ht="15.75" customHeight="1">
      <c r="A1299" s="13">
        <f>A1298+'Energy Balance'!$N$7</f>
        <v>1297</v>
      </c>
      <c r="B1299" s="18">
        <f t="shared" si="1"/>
        <v>13.70840696</v>
      </c>
      <c r="C1299" s="13">
        <f t="shared" si="2"/>
        <v>0</v>
      </c>
      <c r="D1299" s="13">
        <f t="shared" si="3"/>
        <v>1</v>
      </c>
      <c r="O1299" s="4"/>
      <c r="P1299" s="4"/>
      <c r="Q1299" s="4"/>
      <c r="R1299" s="4"/>
    </row>
    <row r="1300" ht="15.75" customHeight="1">
      <c r="A1300" s="13">
        <f>A1299+'Energy Balance'!$N$7</f>
        <v>1298</v>
      </c>
      <c r="B1300" s="18">
        <f t="shared" si="1"/>
        <v>13.71897628</v>
      </c>
      <c r="C1300" s="13">
        <f t="shared" si="2"/>
        <v>0</v>
      </c>
      <c r="D1300" s="13">
        <f t="shared" si="3"/>
        <v>1</v>
      </c>
      <c r="O1300" s="4"/>
      <c r="P1300" s="4"/>
      <c r="Q1300" s="4"/>
      <c r="R1300" s="4"/>
    </row>
    <row r="1301" ht="15.75" customHeight="1">
      <c r="A1301" s="13">
        <f>A1300+'Energy Balance'!$N$7</f>
        <v>1299</v>
      </c>
      <c r="B1301" s="18">
        <f t="shared" si="1"/>
        <v>13.7295456</v>
      </c>
      <c r="C1301" s="13">
        <f t="shared" si="2"/>
        <v>0</v>
      </c>
      <c r="D1301" s="13">
        <f t="shared" si="3"/>
        <v>1</v>
      </c>
      <c r="O1301" s="4"/>
      <c r="P1301" s="4"/>
      <c r="Q1301" s="4"/>
      <c r="R1301" s="4"/>
    </row>
    <row r="1302" ht="15.75" customHeight="1">
      <c r="A1302" s="13">
        <f>A1301+'Energy Balance'!$N$7</f>
        <v>1300</v>
      </c>
      <c r="B1302" s="18">
        <f t="shared" si="1"/>
        <v>13.74011492</v>
      </c>
      <c r="C1302" s="13">
        <f t="shared" si="2"/>
        <v>0</v>
      </c>
      <c r="D1302" s="13">
        <f t="shared" si="3"/>
        <v>1</v>
      </c>
      <c r="O1302" s="4"/>
      <c r="P1302" s="4"/>
      <c r="Q1302" s="4"/>
      <c r="R1302" s="4"/>
    </row>
    <row r="1303" ht="15.75" customHeight="1">
      <c r="A1303" s="13">
        <f>A1302+'Energy Balance'!$N$7</f>
        <v>1301</v>
      </c>
      <c r="B1303" s="18">
        <f t="shared" si="1"/>
        <v>13.75068423</v>
      </c>
      <c r="C1303" s="13">
        <f t="shared" si="2"/>
        <v>0</v>
      </c>
      <c r="D1303" s="13">
        <f t="shared" si="3"/>
        <v>1</v>
      </c>
      <c r="O1303" s="4"/>
      <c r="P1303" s="4"/>
      <c r="Q1303" s="4"/>
      <c r="R1303" s="4"/>
    </row>
    <row r="1304" ht="15.75" customHeight="1">
      <c r="A1304" s="13">
        <f>A1303+'Energy Balance'!$N$7</f>
        <v>1302</v>
      </c>
      <c r="B1304" s="18">
        <f t="shared" si="1"/>
        <v>13.76125355</v>
      </c>
      <c r="C1304" s="13">
        <f t="shared" si="2"/>
        <v>0</v>
      </c>
      <c r="D1304" s="13">
        <f t="shared" si="3"/>
        <v>1</v>
      </c>
      <c r="O1304" s="4"/>
      <c r="P1304" s="4"/>
      <c r="Q1304" s="4"/>
      <c r="R1304" s="4"/>
    </row>
    <row r="1305" ht="15.75" customHeight="1">
      <c r="A1305" s="13">
        <f>A1304+'Energy Balance'!$N$7</f>
        <v>1303</v>
      </c>
      <c r="B1305" s="18">
        <f t="shared" si="1"/>
        <v>13.77182287</v>
      </c>
      <c r="C1305" s="13">
        <f t="shared" si="2"/>
        <v>0</v>
      </c>
      <c r="D1305" s="13">
        <f t="shared" si="3"/>
        <v>1</v>
      </c>
      <c r="O1305" s="4"/>
      <c r="P1305" s="4"/>
      <c r="Q1305" s="4"/>
      <c r="R1305" s="4"/>
    </row>
    <row r="1306" ht="15.75" customHeight="1">
      <c r="A1306" s="13">
        <f>A1305+'Energy Balance'!$N$7</f>
        <v>1304</v>
      </c>
      <c r="B1306" s="18">
        <f t="shared" si="1"/>
        <v>13.78239219</v>
      </c>
      <c r="C1306" s="13">
        <f t="shared" si="2"/>
        <v>0</v>
      </c>
      <c r="D1306" s="13">
        <f t="shared" si="3"/>
        <v>1</v>
      </c>
      <c r="O1306" s="4"/>
      <c r="P1306" s="4"/>
      <c r="Q1306" s="4"/>
      <c r="R1306" s="4"/>
    </row>
    <row r="1307" ht="15.75" customHeight="1">
      <c r="A1307" s="13">
        <f>A1306+'Energy Balance'!$N$7</f>
        <v>1305</v>
      </c>
      <c r="B1307" s="18">
        <f t="shared" si="1"/>
        <v>13.79296151</v>
      </c>
      <c r="C1307" s="13">
        <f t="shared" si="2"/>
        <v>0</v>
      </c>
      <c r="D1307" s="13">
        <f t="shared" si="3"/>
        <v>1</v>
      </c>
      <c r="O1307" s="4"/>
      <c r="P1307" s="4"/>
      <c r="Q1307" s="4"/>
      <c r="R1307" s="4"/>
    </row>
    <row r="1308" ht="15.75" customHeight="1">
      <c r="A1308" s="13">
        <f>A1307+'Energy Balance'!$N$7</f>
        <v>1306</v>
      </c>
      <c r="B1308" s="18">
        <f t="shared" si="1"/>
        <v>13.80353083</v>
      </c>
      <c r="C1308" s="13">
        <f t="shared" si="2"/>
        <v>0</v>
      </c>
      <c r="D1308" s="13">
        <f t="shared" si="3"/>
        <v>1</v>
      </c>
      <c r="O1308" s="4"/>
      <c r="P1308" s="4"/>
      <c r="Q1308" s="4"/>
      <c r="R1308" s="4"/>
    </row>
    <row r="1309" ht="15.75" customHeight="1">
      <c r="A1309" s="13">
        <f>A1308+'Energy Balance'!$N$7</f>
        <v>1307</v>
      </c>
      <c r="B1309" s="18">
        <f t="shared" si="1"/>
        <v>13.81410015</v>
      </c>
      <c r="C1309" s="13">
        <f t="shared" si="2"/>
        <v>0</v>
      </c>
      <c r="D1309" s="13">
        <f t="shared" si="3"/>
        <v>1</v>
      </c>
      <c r="O1309" s="4"/>
      <c r="P1309" s="4"/>
      <c r="Q1309" s="4"/>
      <c r="R1309" s="4"/>
    </row>
    <row r="1310" ht="15.75" customHeight="1">
      <c r="A1310" s="13">
        <f>A1309+'Energy Balance'!$N$7</f>
        <v>1308</v>
      </c>
      <c r="B1310" s="18">
        <f t="shared" si="1"/>
        <v>13.82466947</v>
      </c>
      <c r="C1310" s="13">
        <f t="shared" si="2"/>
        <v>0</v>
      </c>
      <c r="D1310" s="13">
        <f t="shared" si="3"/>
        <v>1</v>
      </c>
      <c r="O1310" s="4"/>
      <c r="P1310" s="4"/>
      <c r="Q1310" s="4"/>
      <c r="R1310" s="4"/>
    </row>
    <row r="1311" ht="15.75" customHeight="1">
      <c r="A1311" s="13">
        <f>A1310+'Energy Balance'!$N$7</f>
        <v>1309</v>
      </c>
      <c r="B1311" s="18">
        <f t="shared" si="1"/>
        <v>13.83523879</v>
      </c>
      <c r="C1311" s="13">
        <f t="shared" si="2"/>
        <v>0</v>
      </c>
      <c r="D1311" s="13">
        <f t="shared" si="3"/>
        <v>1</v>
      </c>
      <c r="O1311" s="4"/>
      <c r="P1311" s="4"/>
      <c r="Q1311" s="4"/>
      <c r="R1311" s="4"/>
    </row>
    <row r="1312" ht="15.75" customHeight="1">
      <c r="A1312" s="13">
        <f>A1311+'Energy Balance'!$N$7</f>
        <v>1310</v>
      </c>
      <c r="B1312" s="18">
        <f t="shared" si="1"/>
        <v>13.84580811</v>
      </c>
      <c r="C1312" s="13">
        <f t="shared" si="2"/>
        <v>0</v>
      </c>
      <c r="D1312" s="13">
        <f t="shared" si="3"/>
        <v>1</v>
      </c>
      <c r="O1312" s="4"/>
      <c r="P1312" s="4"/>
      <c r="Q1312" s="4"/>
      <c r="R1312" s="4"/>
    </row>
    <row r="1313" ht="15.75" customHeight="1">
      <c r="A1313" s="13">
        <f>A1312+'Energy Balance'!$N$7</f>
        <v>1311</v>
      </c>
      <c r="B1313" s="18">
        <f t="shared" si="1"/>
        <v>13.85637743</v>
      </c>
      <c r="C1313" s="13">
        <f t="shared" si="2"/>
        <v>0</v>
      </c>
      <c r="D1313" s="13">
        <f t="shared" si="3"/>
        <v>1</v>
      </c>
      <c r="O1313" s="4"/>
      <c r="P1313" s="4"/>
      <c r="Q1313" s="4"/>
      <c r="R1313" s="4"/>
    </row>
    <row r="1314" ht="15.75" customHeight="1">
      <c r="A1314" s="13">
        <f>A1313+'Energy Balance'!$N$7</f>
        <v>1312</v>
      </c>
      <c r="B1314" s="18">
        <f t="shared" si="1"/>
        <v>13.86694675</v>
      </c>
      <c r="C1314" s="13">
        <f t="shared" si="2"/>
        <v>0</v>
      </c>
      <c r="D1314" s="13">
        <f t="shared" si="3"/>
        <v>1</v>
      </c>
      <c r="O1314" s="4"/>
      <c r="P1314" s="4"/>
      <c r="Q1314" s="4"/>
      <c r="R1314" s="4"/>
    </row>
    <row r="1315" ht="15.75" customHeight="1">
      <c r="A1315" s="13">
        <f>A1314+'Energy Balance'!$N$7</f>
        <v>1313</v>
      </c>
      <c r="B1315" s="18">
        <f t="shared" si="1"/>
        <v>13.87751606</v>
      </c>
      <c r="C1315" s="13">
        <f t="shared" si="2"/>
        <v>0</v>
      </c>
      <c r="D1315" s="13">
        <f t="shared" si="3"/>
        <v>1</v>
      </c>
      <c r="O1315" s="4"/>
      <c r="P1315" s="4"/>
      <c r="Q1315" s="4"/>
      <c r="R1315" s="4"/>
    </row>
    <row r="1316" ht="15.75" customHeight="1">
      <c r="A1316" s="13">
        <f>A1315+'Energy Balance'!$N$7</f>
        <v>1314</v>
      </c>
      <c r="B1316" s="18">
        <f t="shared" si="1"/>
        <v>13.88808538</v>
      </c>
      <c r="C1316" s="13">
        <f t="shared" si="2"/>
        <v>0</v>
      </c>
      <c r="D1316" s="13">
        <f t="shared" si="3"/>
        <v>1</v>
      </c>
      <c r="O1316" s="4"/>
      <c r="P1316" s="4"/>
      <c r="Q1316" s="4"/>
      <c r="R1316" s="4"/>
    </row>
    <row r="1317" ht="15.75" customHeight="1">
      <c r="A1317" s="13">
        <f>A1316+'Energy Balance'!$N$7</f>
        <v>1315</v>
      </c>
      <c r="B1317" s="18">
        <f t="shared" si="1"/>
        <v>13.8986547</v>
      </c>
      <c r="C1317" s="13">
        <f t="shared" si="2"/>
        <v>0</v>
      </c>
      <c r="D1317" s="13">
        <f t="shared" si="3"/>
        <v>1</v>
      </c>
      <c r="O1317" s="4"/>
      <c r="P1317" s="4"/>
      <c r="Q1317" s="4"/>
      <c r="R1317" s="4"/>
    </row>
    <row r="1318" ht="15.75" customHeight="1">
      <c r="A1318" s="13">
        <f>A1317+'Energy Balance'!$N$7</f>
        <v>1316</v>
      </c>
      <c r="B1318" s="18">
        <f t="shared" si="1"/>
        <v>13.90922402</v>
      </c>
      <c r="C1318" s="13">
        <f t="shared" si="2"/>
        <v>0</v>
      </c>
      <c r="D1318" s="13">
        <f t="shared" si="3"/>
        <v>1</v>
      </c>
      <c r="O1318" s="4"/>
      <c r="P1318" s="4"/>
      <c r="Q1318" s="4"/>
      <c r="R1318" s="4"/>
    </row>
    <row r="1319" ht="15.75" customHeight="1">
      <c r="A1319" s="13">
        <f>A1318+'Energy Balance'!$N$7</f>
        <v>1317</v>
      </c>
      <c r="B1319" s="18">
        <f t="shared" si="1"/>
        <v>13.91979334</v>
      </c>
      <c r="C1319" s="13">
        <f t="shared" si="2"/>
        <v>0</v>
      </c>
      <c r="D1319" s="13">
        <f t="shared" si="3"/>
        <v>1</v>
      </c>
      <c r="O1319" s="4"/>
      <c r="P1319" s="4"/>
      <c r="Q1319" s="4"/>
      <c r="R1319" s="4"/>
    </row>
    <row r="1320" ht="15.75" customHeight="1">
      <c r="A1320" s="13">
        <f>A1319+'Energy Balance'!$N$7</f>
        <v>1318</v>
      </c>
      <c r="B1320" s="18">
        <f t="shared" si="1"/>
        <v>13.93036266</v>
      </c>
      <c r="C1320" s="13">
        <f t="shared" si="2"/>
        <v>0</v>
      </c>
      <c r="D1320" s="13">
        <f t="shared" si="3"/>
        <v>1</v>
      </c>
      <c r="O1320" s="4"/>
      <c r="P1320" s="4"/>
      <c r="Q1320" s="4"/>
      <c r="R1320" s="4"/>
    </row>
    <row r="1321" ht="15.75" customHeight="1">
      <c r="A1321" s="13">
        <f>A1320+'Energy Balance'!$N$7</f>
        <v>1319</v>
      </c>
      <c r="B1321" s="18">
        <f t="shared" si="1"/>
        <v>13.94093198</v>
      </c>
      <c r="C1321" s="13">
        <f t="shared" si="2"/>
        <v>0</v>
      </c>
      <c r="D1321" s="13">
        <f t="shared" si="3"/>
        <v>1</v>
      </c>
      <c r="O1321" s="4"/>
      <c r="P1321" s="4"/>
      <c r="Q1321" s="4"/>
      <c r="R1321" s="4"/>
    </row>
    <row r="1322" ht="15.75" customHeight="1">
      <c r="A1322" s="13">
        <f>A1321+'Energy Balance'!$N$7</f>
        <v>1320</v>
      </c>
      <c r="B1322" s="18">
        <f t="shared" si="1"/>
        <v>13.9515013</v>
      </c>
      <c r="C1322" s="13">
        <f t="shared" si="2"/>
        <v>0</v>
      </c>
      <c r="D1322" s="13">
        <f t="shared" si="3"/>
        <v>1</v>
      </c>
      <c r="O1322" s="4"/>
      <c r="P1322" s="4"/>
      <c r="Q1322" s="4"/>
      <c r="R1322" s="4"/>
    </row>
    <row r="1323" ht="15.75" customHeight="1">
      <c r="A1323" s="13">
        <f>A1322+'Energy Balance'!$N$7</f>
        <v>1321</v>
      </c>
      <c r="B1323" s="18">
        <f t="shared" si="1"/>
        <v>13.96207062</v>
      </c>
      <c r="C1323" s="13">
        <f t="shared" si="2"/>
        <v>0</v>
      </c>
      <c r="D1323" s="13">
        <f t="shared" si="3"/>
        <v>1</v>
      </c>
      <c r="O1323" s="4"/>
      <c r="P1323" s="4"/>
      <c r="Q1323" s="4"/>
      <c r="R1323" s="4"/>
    </row>
    <row r="1324" ht="15.75" customHeight="1">
      <c r="A1324" s="13">
        <f>A1323+'Energy Balance'!$N$7</f>
        <v>1322</v>
      </c>
      <c r="B1324" s="18">
        <f t="shared" si="1"/>
        <v>13.97263994</v>
      </c>
      <c r="C1324" s="13">
        <f t="shared" si="2"/>
        <v>0</v>
      </c>
      <c r="D1324" s="13">
        <f t="shared" si="3"/>
        <v>1</v>
      </c>
      <c r="O1324" s="4"/>
      <c r="P1324" s="4"/>
      <c r="Q1324" s="4"/>
      <c r="R1324" s="4"/>
    </row>
    <row r="1325" ht="15.75" customHeight="1">
      <c r="A1325" s="13">
        <f>A1324+'Energy Balance'!$N$7</f>
        <v>1323</v>
      </c>
      <c r="B1325" s="18">
        <f t="shared" si="1"/>
        <v>13.98320926</v>
      </c>
      <c r="C1325" s="13">
        <f t="shared" si="2"/>
        <v>0</v>
      </c>
      <c r="D1325" s="13">
        <f t="shared" si="3"/>
        <v>1</v>
      </c>
      <c r="O1325" s="4"/>
      <c r="P1325" s="4"/>
      <c r="Q1325" s="4"/>
      <c r="R1325" s="4"/>
    </row>
    <row r="1326" ht="15.75" customHeight="1">
      <c r="A1326" s="13">
        <f>A1325+'Energy Balance'!$N$7</f>
        <v>1324</v>
      </c>
      <c r="B1326" s="18">
        <f t="shared" si="1"/>
        <v>13.99377858</v>
      </c>
      <c r="C1326" s="13">
        <f t="shared" si="2"/>
        <v>0</v>
      </c>
      <c r="D1326" s="13">
        <f t="shared" si="3"/>
        <v>1</v>
      </c>
      <c r="O1326" s="4"/>
      <c r="P1326" s="4"/>
      <c r="Q1326" s="4"/>
      <c r="R1326" s="4"/>
    </row>
    <row r="1327" ht="15.75" customHeight="1">
      <c r="A1327" s="13">
        <f>A1326+'Energy Balance'!$N$7</f>
        <v>1325</v>
      </c>
      <c r="B1327" s="18">
        <f t="shared" si="1"/>
        <v>14.00434789</v>
      </c>
      <c r="C1327" s="13">
        <f t="shared" si="2"/>
        <v>1</v>
      </c>
      <c r="D1327" s="13">
        <f t="shared" si="3"/>
        <v>0</v>
      </c>
      <c r="O1327" s="4"/>
      <c r="P1327" s="4"/>
      <c r="Q1327" s="4"/>
      <c r="R1327" s="4"/>
    </row>
    <row r="1328" ht="15.75" customHeight="1">
      <c r="A1328" s="13">
        <f>A1327+'Energy Balance'!$N$7</f>
        <v>1326</v>
      </c>
      <c r="B1328" s="18">
        <f t="shared" si="1"/>
        <v>14.01491721</v>
      </c>
      <c r="C1328" s="13">
        <f t="shared" si="2"/>
        <v>1</v>
      </c>
      <c r="D1328" s="13">
        <f t="shared" si="3"/>
        <v>0</v>
      </c>
      <c r="O1328" s="4"/>
      <c r="P1328" s="4"/>
      <c r="Q1328" s="4"/>
      <c r="R1328" s="4"/>
    </row>
    <row r="1329" ht="15.75" customHeight="1">
      <c r="A1329" s="13">
        <f>A1328+'Energy Balance'!$N$7</f>
        <v>1327</v>
      </c>
      <c r="B1329" s="18">
        <f t="shared" si="1"/>
        <v>14.02548653</v>
      </c>
      <c r="C1329" s="13">
        <f t="shared" si="2"/>
        <v>1</v>
      </c>
      <c r="D1329" s="13">
        <f t="shared" si="3"/>
        <v>0</v>
      </c>
      <c r="O1329" s="4"/>
      <c r="P1329" s="4"/>
      <c r="Q1329" s="4"/>
      <c r="R1329" s="4"/>
    </row>
    <row r="1330" ht="15.75" customHeight="1">
      <c r="A1330" s="13">
        <f>A1329+'Energy Balance'!$N$7</f>
        <v>1328</v>
      </c>
      <c r="B1330" s="18">
        <f t="shared" si="1"/>
        <v>14.03605585</v>
      </c>
      <c r="C1330" s="13">
        <f t="shared" si="2"/>
        <v>1</v>
      </c>
      <c r="D1330" s="13">
        <f t="shared" si="3"/>
        <v>0</v>
      </c>
      <c r="O1330" s="4"/>
      <c r="P1330" s="4"/>
      <c r="Q1330" s="4"/>
      <c r="R1330" s="4"/>
    </row>
    <row r="1331" ht="15.75" customHeight="1">
      <c r="A1331" s="13">
        <f>A1330+'Energy Balance'!$N$7</f>
        <v>1329</v>
      </c>
      <c r="B1331" s="18">
        <f t="shared" si="1"/>
        <v>14.04662517</v>
      </c>
      <c r="C1331" s="13">
        <f t="shared" si="2"/>
        <v>1</v>
      </c>
      <c r="D1331" s="13">
        <f t="shared" si="3"/>
        <v>0</v>
      </c>
      <c r="O1331" s="4"/>
      <c r="P1331" s="4"/>
      <c r="Q1331" s="4"/>
      <c r="R1331" s="4"/>
    </row>
    <row r="1332" ht="15.75" customHeight="1">
      <c r="A1332" s="13">
        <f>A1331+'Energy Balance'!$N$7</f>
        <v>1330</v>
      </c>
      <c r="B1332" s="18">
        <f t="shared" si="1"/>
        <v>14.05719449</v>
      </c>
      <c r="C1332" s="13">
        <f t="shared" si="2"/>
        <v>1</v>
      </c>
      <c r="D1332" s="13">
        <f t="shared" si="3"/>
        <v>0</v>
      </c>
      <c r="O1332" s="4"/>
      <c r="P1332" s="4"/>
      <c r="Q1332" s="4"/>
      <c r="R1332" s="4"/>
    </row>
    <row r="1333" ht="15.75" customHeight="1">
      <c r="A1333" s="13">
        <f>A1332+'Energy Balance'!$N$7</f>
        <v>1331</v>
      </c>
      <c r="B1333" s="18">
        <f t="shared" si="1"/>
        <v>14.06776381</v>
      </c>
      <c r="C1333" s="13">
        <f t="shared" si="2"/>
        <v>1</v>
      </c>
      <c r="D1333" s="13">
        <f t="shared" si="3"/>
        <v>0</v>
      </c>
      <c r="O1333" s="4"/>
      <c r="P1333" s="4"/>
      <c r="Q1333" s="4"/>
      <c r="R1333" s="4"/>
    </row>
    <row r="1334" ht="15.75" customHeight="1">
      <c r="A1334" s="13">
        <f>A1333+'Energy Balance'!$N$7</f>
        <v>1332</v>
      </c>
      <c r="B1334" s="18">
        <f t="shared" si="1"/>
        <v>14.07833313</v>
      </c>
      <c r="C1334" s="13">
        <f t="shared" si="2"/>
        <v>1</v>
      </c>
      <c r="D1334" s="13">
        <f t="shared" si="3"/>
        <v>0</v>
      </c>
      <c r="O1334" s="4"/>
      <c r="P1334" s="4"/>
      <c r="Q1334" s="4"/>
      <c r="R1334" s="4"/>
    </row>
    <row r="1335" ht="15.75" customHeight="1">
      <c r="A1335" s="13">
        <f>A1334+'Energy Balance'!$N$7</f>
        <v>1333</v>
      </c>
      <c r="B1335" s="18">
        <f t="shared" si="1"/>
        <v>14.08890245</v>
      </c>
      <c r="C1335" s="13">
        <f t="shared" si="2"/>
        <v>1</v>
      </c>
      <c r="D1335" s="13">
        <f t="shared" si="3"/>
        <v>0</v>
      </c>
      <c r="O1335" s="4"/>
      <c r="P1335" s="4"/>
      <c r="Q1335" s="4"/>
      <c r="R1335" s="4"/>
    </row>
    <row r="1336" ht="15.75" customHeight="1">
      <c r="A1336" s="13">
        <f>A1335+'Energy Balance'!$N$7</f>
        <v>1334</v>
      </c>
      <c r="B1336" s="18">
        <f t="shared" si="1"/>
        <v>14.09947177</v>
      </c>
      <c r="C1336" s="13">
        <f t="shared" si="2"/>
        <v>1</v>
      </c>
      <c r="D1336" s="13">
        <f t="shared" si="3"/>
        <v>0</v>
      </c>
      <c r="O1336" s="4"/>
      <c r="P1336" s="4"/>
      <c r="Q1336" s="4"/>
      <c r="R1336" s="4"/>
    </row>
    <row r="1337" ht="15.75" customHeight="1">
      <c r="A1337" s="13">
        <f>A1336+'Energy Balance'!$N$7</f>
        <v>1335</v>
      </c>
      <c r="B1337" s="18">
        <f t="shared" si="1"/>
        <v>14.11004109</v>
      </c>
      <c r="C1337" s="13">
        <f t="shared" si="2"/>
        <v>1</v>
      </c>
      <c r="D1337" s="13">
        <f t="shared" si="3"/>
        <v>0</v>
      </c>
      <c r="O1337" s="4"/>
      <c r="P1337" s="4"/>
      <c r="Q1337" s="4"/>
      <c r="R1337" s="4"/>
    </row>
    <row r="1338" ht="15.75" customHeight="1">
      <c r="A1338" s="13">
        <f>A1337+'Energy Balance'!$N$7</f>
        <v>1336</v>
      </c>
      <c r="B1338" s="18">
        <f t="shared" si="1"/>
        <v>14.12061041</v>
      </c>
      <c r="C1338" s="13">
        <f t="shared" si="2"/>
        <v>1</v>
      </c>
      <c r="D1338" s="13">
        <f t="shared" si="3"/>
        <v>0</v>
      </c>
      <c r="O1338" s="4"/>
      <c r="P1338" s="4"/>
      <c r="Q1338" s="4"/>
      <c r="R1338" s="4"/>
    </row>
    <row r="1339" ht="15.75" customHeight="1">
      <c r="A1339" s="13">
        <f>A1338+'Energy Balance'!$N$7</f>
        <v>1337</v>
      </c>
      <c r="B1339" s="18">
        <f t="shared" si="1"/>
        <v>14.13117972</v>
      </c>
      <c r="C1339" s="13">
        <f t="shared" si="2"/>
        <v>1</v>
      </c>
      <c r="D1339" s="13">
        <f t="shared" si="3"/>
        <v>0</v>
      </c>
      <c r="O1339" s="4"/>
      <c r="P1339" s="4"/>
      <c r="Q1339" s="4"/>
      <c r="R1339" s="4"/>
    </row>
    <row r="1340" ht="15.75" customHeight="1">
      <c r="A1340" s="13">
        <f>A1339+'Energy Balance'!$N$7</f>
        <v>1338</v>
      </c>
      <c r="B1340" s="18">
        <f t="shared" si="1"/>
        <v>14.14174904</v>
      </c>
      <c r="C1340" s="13">
        <f t="shared" si="2"/>
        <v>1</v>
      </c>
      <c r="D1340" s="13">
        <f t="shared" si="3"/>
        <v>0</v>
      </c>
      <c r="O1340" s="4"/>
      <c r="P1340" s="4"/>
      <c r="Q1340" s="4"/>
      <c r="R1340" s="4"/>
    </row>
    <row r="1341" ht="15.75" customHeight="1">
      <c r="A1341" s="13">
        <f>A1340+'Energy Balance'!$N$7</f>
        <v>1339</v>
      </c>
      <c r="B1341" s="18">
        <f t="shared" si="1"/>
        <v>14.15231836</v>
      </c>
      <c r="C1341" s="13">
        <f t="shared" si="2"/>
        <v>1</v>
      </c>
      <c r="D1341" s="13">
        <f t="shared" si="3"/>
        <v>0</v>
      </c>
      <c r="O1341" s="4"/>
      <c r="P1341" s="4"/>
      <c r="Q1341" s="4"/>
      <c r="R1341" s="4"/>
    </row>
    <row r="1342" ht="15.75" customHeight="1">
      <c r="A1342" s="13">
        <f>A1341+'Energy Balance'!$N$7</f>
        <v>1340</v>
      </c>
      <c r="B1342" s="18">
        <f t="shared" si="1"/>
        <v>14.16288768</v>
      </c>
      <c r="C1342" s="13">
        <f t="shared" si="2"/>
        <v>1</v>
      </c>
      <c r="D1342" s="13">
        <f t="shared" si="3"/>
        <v>0</v>
      </c>
      <c r="O1342" s="4"/>
      <c r="P1342" s="4"/>
      <c r="Q1342" s="4"/>
      <c r="R1342" s="4"/>
    </row>
    <row r="1343" ht="15.75" customHeight="1">
      <c r="A1343" s="13">
        <f>A1342+'Energy Balance'!$N$7</f>
        <v>1341</v>
      </c>
      <c r="B1343" s="18">
        <f t="shared" si="1"/>
        <v>14.173457</v>
      </c>
      <c r="C1343" s="13">
        <f t="shared" si="2"/>
        <v>1</v>
      </c>
      <c r="D1343" s="13">
        <f t="shared" si="3"/>
        <v>0</v>
      </c>
      <c r="O1343" s="4"/>
      <c r="P1343" s="4"/>
      <c r="Q1343" s="4"/>
      <c r="R1343" s="4"/>
    </row>
    <row r="1344" ht="15.75" customHeight="1">
      <c r="A1344" s="13">
        <f>A1343+'Energy Balance'!$N$7</f>
        <v>1342</v>
      </c>
      <c r="B1344" s="18">
        <f t="shared" si="1"/>
        <v>14.18402632</v>
      </c>
      <c r="C1344" s="13">
        <f t="shared" si="2"/>
        <v>1</v>
      </c>
      <c r="D1344" s="13">
        <f t="shared" si="3"/>
        <v>0</v>
      </c>
      <c r="O1344" s="4"/>
      <c r="P1344" s="4"/>
      <c r="Q1344" s="4"/>
      <c r="R1344" s="4"/>
    </row>
    <row r="1345" ht="15.75" customHeight="1">
      <c r="A1345" s="13">
        <f>A1344+'Energy Balance'!$N$7</f>
        <v>1343</v>
      </c>
      <c r="B1345" s="18">
        <f t="shared" si="1"/>
        <v>14.19459564</v>
      </c>
      <c r="C1345" s="13">
        <f t="shared" si="2"/>
        <v>1</v>
      </c>
      <c r="D1345" s="13">
        <f t="shared" si="3"/>
        <v>0</v>
      </c>
      <c r="O1345" s="4"/>
      <c r="P1345" s="4"/>
      <c r="Q1345" s="4"/>
      <c r="R1345" s="4"/>
    </row>
    <row r="1346" ht="15.75" customHeight="1">
      <c r="A1346" s="13">
        <f>A1345+'Energy Balance'!$N$7</f>
        <v>1344</v>
      </c>
      <c r="B1346" s="18">
        <f t="shared" si="1"/>
        <v>14.20516496</v>
      </c>
      <c r="C1346" s="13">
        <f t="shared" si="2"/>
        <v>1</v>
      </c>
      <c r="D1346" s="13">
        <f t="shared" si="3"/>
        <v>0</v>
      </c>
      <c r="O1346" s="4"/>
      <c r="P1346" s="4"/>
      <c r="Q1346" s="4"/>
      <c r="R1346" s="4"/>
    </row>
    <row r="1347" ht="15.75" customHeight="1">
      <c r="A1347" s="13">
        <f>A1346+'Energy Balance'!$N$7</f>
        <v>1345</v>
      </c>
      <c r="B1347" s="18">
        <f t="shared" si="1"/>
        <v>14.21573428</v>
      </c>
      <c r="C1347" s="13">
        <f t="shared" si="2"/>
        <v>1</v>
      </c>
      <c r="D1347" s="13">
        <f t="shared" si="3"/>
        <v>0</v>
      </c>
      <c r="O1347" s="4"/>
      <c r="P1347" s="4"/>
      <c r="Q1347" s="4"/>
      <c r="R1347" s="4"/>
    </row>
    <row r="1348" ht="15.75" customHeight="1">
      <c r="A1348" s="13">
        <f>A1347+'Energy Balance'!$N$7</f>
        <v>1346</v>
      </c>
      <c r="B1348" s="18">
        <f t="shared" si="1"/>
        <v>14.2263036</v>
      </c>
      <c r="C1348" s="13">
        <f t="shared" si="2"/>
        <v>1</v>
      </c>
      <c r="D1348" s="13">
        <f t="shared" si="3"/>
        <v>0</v>
      </c>
      <c r="O1348" s="4"/>
      <c r="P1348" s="4"/>
      <c r="Q1348" s="4"/>
      <c r="R1348" s="4"/>
    </row>
    <row r="1349" ht="15.75" customHeight="1">
      <c r="A1349" s="13">
        <f>A1348+'Energy Balance'!$N$7</f>
        <v>1347</v>
      </c>
      <c r="B1349" s="18">
        <f t="shared" si="1"/>
        <v>14.23687292</v>
      </c>
      <c r="C1349" s="13">
        <f t="shared" si="2"/>
        <v>1</v>
      </c>
      <c r="D1349" s="13">
        <f t="shared" si="3"/>
        <v>0</v>
      </c>
      <c r="O1349" s="4"/>
      <c r="P1349" s="4"/>
      <c r="Q1349" s="4"/>
      <c r="R1349" s="4"/>
    </row>
    <row r="1350" ht="15.75" customHeight="1">
      <c r="A1350" s="13">
        <f>A1349+'Energy Balance'!$N$7</f>
        <v>1348</v>
      </c>
      <c r="B1350" s="18">
        <f t="shared" si="1"/>
        <v>14.24744224</v>
      </c>
      <c r="C1350" s="13">
        <f t="shared" si="2"/>
        <v>1</v>
      </c>
      <c r="D1350" s="13">
        <f t="shared" si="3"/>
        <v>0</v>
      </c>
      <c r="O1350" s="4"/>
      <c r="P1350" s="4"/>
      <c r="Q1350" s="4"/>
      <c r="R1350" s="4"/>
    </row>
    <row r="1351" ht="15.75" customHeight="1">
      <c r="A1351" s="13">
        <f>A1350+'Energy Balance'!$N$7</f>
        <v>1349</v>
      </c>
      <c r="B1351" s="18">
        <f t="shared" si="1"/>
        <v>14.25801155</v>
      </c>
      <c r="C1351" s="13">
        <f t="shared" si="2"/>
        <v>1</v>
      </c>
      <c r="D1351" s="13">
        <f t="shared" si="3"/>
        <v>0</v>
      </c>
      <c r="O1351" s="4"/>
      <c r="P1351" s="4"/>
      <c r="Q1351" s="4"/>
      <c r="R1351" s="4"/>
    </row>
    <row r="1352" ht="15.75" customHeight="1">
      <c r="A1352" s="13">
        <f>A1351+'Energy Balance'!$N$7</f>
        <v>1350</v>
      </c>
      <c r="B1352" s="18">
        <f t="shared" si="1"/>
        <v>14.26858087</v>
      </c>
      <c r="C1352" s="13">
        <f t="shared" si="2"/>
        <v>1</v>
      </c>
      <c r="D1352" s="13">
        <f t="shared" si="3"/>
        <v>0</v>
      </c>
      <c r="O1352" s="4"/>
      <c r="P1352" s="4"/>
      <c r="Q1352" s="4"/>
      <c r="R1352" s="4"/>
    </row>
    <row r="1353" ht="15.75" customHeight="1">
      <c r="A1353" s="13">
        <f>A1352+'Energy Balance'!$N$7</f>
        <v>1351</v>
      </c>
      <c r="B1353" s="18">
        <f t="shared" si="1"/>
        <v>14.27915019</v>
      </c>
      <c r="C1353" s="13">
        <f t="shared" si="2"/>
        <v>1</v>
      </c>
      <c r="D1353" s="13">
        <f t="shared" si="3"/>
        <v>0</v>
      </c>
      <c r="O1353" s="4"/>
      <c r="P1353" s="4"/>
      <c r="Q1353" s="4"/>
      <c r="R1353" s="4"/>
    </row>
    <row r="1354" ht="15.75" customHeight="1">
      <c r="A1354" s="13">
        <f>A1353+'Energy Balance'!$N$7</f>
        <v>1352</v>
      </c>
      <c r="B1354" s="18">
        <f t="shared" si="1"/>
        <v>14.28971951</v>
      </c>
      <c r="C1354" s="13">
        <f t="shared" si="2"/>
        <v>1</v>
      </c>
      <c r="D1354" s="13">
        <f t="shared" si="3"/>
        <v>0</v>
      </c>
      <c r="O1354" s="4"/>
      <c r="P1354" s="4"/>
      <c r="Q1354" s="4"/>
      <c r="R1354" s="4"/>
    </row>
    <row r="1355" ht="15.75" customHeight="1">
      <c r="A1355" s="13">
        <f>A1354+'Energy Balance'!$N$7</f>
        <v>1353</v>
      </c>
      <c r="B1355" s="18">
        <f t="shared" si="1"/>
        <v>14.30028883</v>
      </c>
      <c r="C1355" s="13">
        <f t="shared" si="2"/>
        <v>1</v>
      </c>
      <c r="D1355" s="13">
        <f t="shared" si="3"/>
        <v>0</v>
      </c>
      <c r="O1355" s="4"/>
      <c r="P1355" s="4"/>
      <c r="Q1355" s="4"/>
      <c r="R1355" s="4"/>
    </row>
    <row r="1356" ht="15.75" customHeight="1">
      <c r="A1356" s="13">
        <f>A1355+'Energy Balance'!$N$7</f>
        <v>1354</v>
      </c>
      <c r="B1356" s="18">
        <f t="shared" si="1"/>
        <v>14.31085815</v>
      </c>
      <c r="C1356" s="13">
        <f t="shared" si="2"/>
        <v>1</v>
      </c>
      <c r="D1356" s="13">
        <f t="shared" si="3"/>
        <v>0</v>
      </c>
      <c r="O1356" s="4"/>
      <c r="P1356" s="4"/>
      <c r="Q1356" s="4"/>
      <c r="R1356" s="4"/>
    </row>
    <row r="1357" ht="15.75" customHeight="1">
      <c r="A1357" s="13">
        <f>A1356+'Energy Balance'!$N$7</f>
        <v>1355</v>
      </c>
      <c r="B1357" s="18">
        <f t="shared" si="1"/>
        <v>14.32142747</v>
      </c>
      <c r="C1357" s="13">
        <f t="shared" si="2"/>
        <v>1</v>
      </c>
      <c r="D1357" s="13">
        <f t="shared" si="3"/>
        <v>0</v>
      </c>
      <c r="O1357" s="4"/>
      <c r="P1357" s="4"/>
      <c r="Q1357" s="4"/>
      <c r="R1357" s="4"/>
    </row>
    <row r="1358" ht="15.75" customHeight="1">
      <c r="A1358" s="13">
        <f>A1357+'Energy Balance'!$N$7</f>
        <v>1356</v>
      </c>
      <c r="B1358" s="18">
        <f t="shared" si="1"/>
        <v>14.33199679</v>
      </c>
      <c r="C1358" s="13">
        <f t="shared" si="2"/>
        <v>1</v>
      </c>
      <c r="D1358" s="13">
        <f t="shared" si="3"/>
        <v>0</v>
      </c>
      <c r="O1358" s="4"/>
      <c r="P1358" s="4"/>
      <c r="Q1358" s="4"/>
      <c r="R1358" s="4"/>
    </row>
    <row r="1359" ht="15.75" customHeight="1">
      <c r="A1359" s="13">
        <f>A1358+'Energy Balance'!$N$7</f>
        <v>1357</v>
      </c>
      <c r="B1359" s="18">
        <f t="shared" si="1"/>
        <v>14.34256611</v>
      </c>
      <c r="C1359" s="13">
        <f t="shared" si="2"/>
        <v>1</v>
      </c>
      <c r="D1359" s="13">
        <f t="shared" si="3"/>
        <v>0</v>
      </c>
      <c r="O1359" s="4"/>
      <c r="P1359" s="4"/>
      <c r="Q1359" s="4"/>
      <c r="R1359" s="4"/>
    </row>
    <row r="1360" ht="15.75" customHeight="1">
      <c r="A1360" s="13">
        <f>A1359+'Energy Balance'!$N$7</f>
        <v>1358</v>
      </c>
      <c r="B1360" s="18">
        <f t="shared" si="1"/>
        <v>14.35313543</v>
      </c>
      <c r="C1360" s="13">
        <f t="shared" si="2"/>
        <v>1</v>
      </c>
      <c r="D1360" s="13">
        <f t="shared" si="3"/>
        <v>0</v>
      </c>
      <c r="O1360" s="4"/>
      <c r="P1360" s="4"/>
      <c r="Q1360" s="4"/>
      <c r="R1360" s="4"/>
    </row>
    <row r="1361" ht="15.75" customHeight="1">
      <c r="A1361" s="13">
        <f>A1360+'Energy Balance'!$N$7</f>
        <v>1359</v>
      </c>
      <c r="B1361" s="18">
        <f t="shared" si="1"/>
        <v>14.36370475</v>
      </c>
      <c r="C1361" s="13">
        <f t="shared" si="2"/>
        <v>1</v>
      </c>
      <c r="D1361" s="13">
        <f t="shared" si="3"/>
        <v>0</v>
      </c>
      <c r="O1361" s="4"/>
      <c r="P1361" s="4"/>
      <c r="Q1361" s="4"/>
      <c r="R1361" s="4"/>
    </row>
    <row r="1362" ht="15.75" customHeight="1">
      <c r="A1362" s="13">
        <f>A1361+'Energy Balance'!$N$7</f>
        <v>1360</v>
      </c>
      <c r="B1362" s="18">
        <f t="shared" si="1"/>
        <v>14.37427407</v>
      </c>
      <c r="C1362" s="13">
        <f t="shared" si="2"/>
        <v>1</v>
      </c>
      <c r="D1362" s="13">
        <f t="shared" si="3"/>
        <v>0</v>
      </c>
      <c r="O1362" s="4"/>
      <c r="P1362" s="4"/>
      <c r="Q1362" s="4"/>
      <c r="R1362" s="4"/>
    </row>
    <row r="1363" ht="15.75" customHeight="1">
      <c r="A1363" s="13">
        <f>A1362+'Energy Balance'!$N$7</f>
        <v>1361</v>
      </c>
      <c r="B1363" s="18">
        <f t="shared" si="1"/>
        <v>14.38484338</v>
      </c>
      <c r="C1363" s="13">
        <f t="shared" si="2"/>
        <v>1</v>
      </c>
      <c r="D1363" s="13">
        <f t="shared" si="3"/>
        <v>0</v>
      </c>
      <c r="O1363" s="4"/>
      <c r="P1363" s="4"/>
      <c r="Q1363" s="4"/>
      <c r="R1363" s="4"/>
    </row>
    <row r="1364" ht="15.75" customHeight="1">
      <c r="A1364" s="13">
        <f>A1363+'Energy Balance'!$N$7</f>
        <v>1362</v>
      </c>
      <c r="B1364" s="18">
        <f t="shared" si="1"/>
        <v>14.3954127</v>
      </c>
      <c r="C1364" s="13">
        <f t="shared" si="2"/>
        <v>1</v>
      </c>
      <c r="D1364" s="13">
        <f t="shared" si="3"/>
        <v>0</v>
      </c>
      <c r="O1364" s="4"/>
      <c r="P1364" s="4"/>
      <c r="Q1364" s="4"/>
      <c r="R1364" s="4"/>
    </row>
    <row r="1365" ht="15.75" customHeight="1">
      <c r="A1365" s="13">
        <f>A1364+'Energy Balance'!$N$7</f>
        <v>1363</v>
      </c>
      <c r="B1365" s="18">
        <f t="shared" si="1"/>
        <v>14.40598202</v>
      </c>
      <c r="C1365" s="13">
        <f t="shared" si="2"/>
        <v>1</v>
      </c>
      <c r="D1365" s="13">
        <f t="shared" si="3"/>
        <v>0</v>
      </c>
      <c r="O1365" s="4"/>
      <c r="P1365" s="4"/>
      <c r="Q1365" s="4"/>
      <c r="R1365" s="4"/>
    </row>
    <row r="1366" ht="15.75" customHeight="1">
      <c r="A1366" s="13">
        <f>A1365+'Energy Balance'!$N$7</f>
        <v>1364</v>
      </c>
      <c r="B1366" s="18">
        <f t="shared" si="1"/>
        <v>14.41655134</v>
      </c>
      <c r="C1366" s="13">
        <f t="shared" si="2"/>
        <v>1</v>
      </c>
      <c r="D1366" s="13">
        <f t="shared" si="3"/>
        <v>0</v>
      </c>
      <c r="O1366" s="4"/>
      <c r="P1366" s="4"/>
      <c r="Q1366" s="4"/>
      <c r="R1366" s="4"/>
    </row>
    <row r="1367" ht="15.75" customHeight="1">
      <c r="A1367" s="13">
        <f>A1366+'Energy Balance'!$N$7</f>
        <v>1365</v>
      </c>
      <c r="B1367" s="18">
        <f t="shared" si="1"/>
        <v>14.42712066</v>
      </c>
      <c r="C1367" s="13">
        <f t="shared" si="2"/>
        <v>1</v>
      </c>
      <c r="D1367" s="13">
        <f t="shared" si="3"/>
        <v>0</v>
      </c>
      <c r="O1367" s="4"/>
      <c r="P1367" s="4"/>
      <c r="Q1367" s="4"/>
      <c r="R1367" s="4"/>
    </row>
    <row r="1368" ht="15.75" customHeight="1">
      <c r="A1368" s="13">
        <f>A1367+'Energy Balance'!$N$7</f>
        <v>1366</v>
      </c>
      <c r="B1368" s="18">
        <f t="shared" si="1"/>
        <v>14.43768998</v>
      </c>
      <c r="C1368" s="13">
        <f t="shared" si="2"/>
        <v>1</v>
      </c>
      <c r="D1368" s="13">
        <f t="shared" si="3"/>
        <v>0</v>
      </c>
      <c r="O1368" s="4"/>
      <c r="P1368" s="4"/>
      <c r="Q1368" s="4"/>
      <c r="R1368" s="4"/>
    </row>
    <row r="1369" ht="15.75" customHeight="1">
      <c r="A1369" s="13">
        <f>A1368+'Energy Balance'!$N$7</f>
        <v>1367</v>
      </c>
      <c r="B1369" s="18">
        <f t="shared" si="1"/>
        <v>14.4482593</v>
      </c>
      <c r="C1369" s="13">
        <f t="shared" si="2"/>
        <v>1</v>
      </c>
      <c r="D1369" s="13">
        <f t="shared" si="3"/>
        <v>0</v>
      </c>
      <c r="O1369" s="4"/>
      <c r="P1369" s="4"/>
      <c r="Q1369" s="4"/>
      <c r="R1369" s="4"/>
    </row>
    <row r="1370" ht="15.75" customHeight="1">
      <c r="A1370" s="13">
        <f>A1369+'Energy Balance'!$N$7</f>
        <v>1368</v>
      </c>
      <c r="B1370" s="18">
        <f t="shared" si="1"/>
        <v>14.45882862</v>
      </c>
      <c r="C1370" s="13">
        <f t="shared" si="2"/>
        <v>1</v>
      </c>
      <c r="D1370" s="13">
        <f t="shared" si="3"/>
        <v>0</v>
      </c>
      <c r="O1370" s="4"/>
      <c r="P1370" s="4"/>
      <c r="Q1370" s="4"/>
      <c r="R1370" s="4"/>
    </row>
    <row r="1371" ht="15.75" customHeight="1">
      <c r="A1371" s="13">
        <f>A1370+'Energy Balance'!$N$7</f>
        <v>1369</v>
      </c>
      <c r="B1371" s="18">
        <f t="shared" si="1"/>
        <v>14.46939794</v>
      </c>
      <c r="C1371" s="13">
        <f t="shared" si="2"/>
        <v>1</v>
      </c>
      <c r="D1371" s="13">
        <f t="shared" si="3"/>
        <v>0</v>
      </c>
      <c r="O1371" s="4"/>
      <c r="P1371" s="4"/>
      <c r="Q1371" s="4"/>
      <c r="R1371" s="4"/>
    </row>
    <row r="1372" ht="15.75" customHeight="1">
      <c r="A1372" s="13">
        <f>A1371+'Energy Balance'!$N$7</f>
        <v>1370</v>
      </c>
      <c r="B1372" s="18">
        <f t="shared" si="1"/>
        <v>14.47996726</v>
      </c>
      <c r="C1372" s="13">
        <f t="shared" si="2"/>
        <v>1</v>
      </c>
      <c r="D1372" s="13">
        <f t="shared" si="3"/>
        <v>0</v>
      </c>
      <c r="O1372" s="4"/>
      <c r="P1372" s="4"/>
      <c r="Q1372" s="4"/>
      <c r="R1372" s="4"/>
    </row>
    <row r="1373" ht="15.75" customHeight="1">
      <c r="A1373" s="13">
        <f>A1372+'Energy Balance'!$N$7</f>
        <v>1371</v>
      </c>
      <c r="B1373" s="18">
        <f t="shared" si="1"/>
        <v>14.49053658</v>
      </c>
      <c r="C1373" s="13">
        <f t="shared" si="2"/>
        <v>1</v>
      </c>
      <c r="D1373" s="13">
        <f t="shared" si="3"/>
        <v>0</v>
      </c>
      <c r="O1373" s="4"/>
      <c r="P1373" s="4"/>
      <c r="Q1373" s="4"/>
      <c r="R1373" s="4"/>
    </row>
    <row r="1374" ht="15.75" customHeight="1">
      <c r="A1374" s="13">
        <f>A1373+'Energy Balance'!$N$7</f>
        <v>1372</v>
      </c>
      <c r="B1374" s="18">
        <f t="shared" si="1"/>
        <v>14.5011059</v>
      </c>
      <c r="C1374" s="13">
        <f t="shared" si="2"/>
        <v>1</v>
      </c>
      <c r="D1374" s="13">
        <f t="shared" si="3"/>
        <v>0</v>
      </c>
      <c r="O1374" s="4"/>
      <c r="P1374" s="4"/>
      <c r="Q1374" s="4"/>
      <c r="R1374" s="4"/>
    </row>
    <row r="1375" ht="15.75" customHeight="1">
      <c r="A1375" s="13">
        <f>A1374+'Energy Balance'!$N$7</f>
        <v>1373</v>
      </c>
      <c r="B1375" s="18">
        <f t="shared" si="1"/>
        <v>14.51167521</v>
      </c>
      <c r="C1375" s="13">
        <f t="shared" si="2"/>
        <v>1</v>
      </c>
      <c r="D1375" s="13">
        <f t="shared" si="3"/>
        <v>0</v>
      </c>
      <c r="O1375" s="4"/>
      <c r="P1375" s="4"/>
      <c r="Q1375" s="4"/>
      <c r="R1375" s="4"/>
    </row>
    <row r="1376" ht="15.75" customHeight="1">
      <c r="A1376" s="13">
        <f>A1375+'Energy Balance'!$N$7</f>
        <v>1374</v>
      </c>
      <c r="B1376" s="18">
        <f t="shared" si="1"/>
        <v>14.52224453</v>
      </c>
      <c r="C1376" s="13">
        <f t="shared" si="2"/>
        <v>1</v>
      </c>
      <c r="D1376" s="13">
        <f t="shared" si="3"/>
        <v>0</v>
      </c>
      <c r="O1376" s="4"/>
      <c r="P1376" s="4"/>
      <c r="Q1376" s="4"/>
      <c r="R1376" s="4"/>
    </row>
    <row r="1377" ht="15.75" customHeight="1">
      <c r="A1377" s="13">
        <f>A1376+'Energy Balance'!$N$7</f>
        <v>1375</v>
      </c>
      <c r="B1377" s="18">
        <f t="shared" si="1"/>
        <v>14.53281385</v>
      </c>
      <c r="C1377" s="13">
        <f t="shared" si="2"/>
        <v>1</v>
      </c>
      <c r="D1377" s="13">
        <f t="shared" si="3"/>
        <v>0</v>
      </c>
      <c r="O1377" s="4"/>
      <c r="P1377" s="4"/>
      <c r="Q1377" s="4"/>
      <c r="R1377" s="4"/>
    </row>
    <row r="1378" ht="15.75" customHeight="1">
      <c r="A1378" s="13">
        <f>A1377+'Energy Balance'!$N$7</f>
        <v>1376</v>
      </c>
      <c r="B1378" s="18">
        <f t="shared" si="1"/>
        <v>14.54338317</v>
      </c>
      <c r="C1378" s="13">
        <f t="shared" si="2"/>
        <v>1</v>
      </c>
      <c r="D1378" s="13">
        <f t="shared" si="3"/>
        <v>0</v>
      </c>
      <c r="O1378" s="4"/>
      <c r="P1378" s="4"/>
      <c r="Q1378" s="4"/>
      <c r="R1378" s="4"/>
    </row>
    <row r="1379" ht="15.75" customHeight="1">
      <c r="A1379" s="13">
        <f>A1378+'Energy Balance'!$N$7</f>
        <v>1377</v>
      </c>
      <c r="B1379" s="18">
        <f t="shared" si="1"/>
        <v>14.55395249</v>
      </c>
      <c r="C1379" s="13">
        <f t="shared" si="2"/>
        <v>1</v>
      </c>
      <c r="D1379" s="13">
        <f t="shared" si="3"/>
        <v>0</v>
      </c>
      <c r="O1379" s="4"/>
      <c r="P1379" s="4"/>
      <c r="Q1379" s="4"/>
      <c r="R1379" s="4"/>
    </row>
    <row r="1380" ht="15.75" customHeight="1">
      <c r="A1380" s="13">
        <f>A1379+'Energy Balance'!$N$7</f>
        <v>1378</v>
      </c>
      <c r="B1380" s="18">
        <f t="shared" si="1"/>
        <v>14.56452181</v>
      </c>
      <c r="C1380" s="13">
        <f t="shared" si="2"/>
        <v>1</v>
      </c>
      <c r="D1380" s="13">
        <f t="shared" si="3"/>
        <v>0</v>
      </c>
      <c r="O1380" s="4"/>
      <c r="P1380" s="4"/>
      <c r="Q1380" s="4"/>
      <c r="R1380" s="4"/>
    </row>
    <row r="1381" ht="15.75" customHeight="1">
      <c r="A1381" s="13">
        <f>A1380+'Energy Balance'!$N$7</f>
        <v>1379</v>
      </c>
      <c r="B1381" s="18">
        <f t="shared" si="1"/>
        <v>14.57509113</v>
      </c>
      <c r="C1381" s="13">
        <f t="shared" si="2"/>
        <v>1</v>
      </c>
      <c r="D1381" s="13">
        <f t="shared" si="3"/>
        <v>0</v>
      </c>
      <c r="O1381" s="4"/>
      <c r="P1381" s="4"/>
      <c r="Q1381" s="4"/>
      <c r="R1381" s="4"/>
    </row>
    <row r="1382" ht="15.75" customHeight="1">
      <c r="A1382" s="13">
        <f>A1381+'Energy Balance'!$N$7</f>
        <v>1380</v>
      </c>
      <c r="B1382" s="18">
        <f t="shared" si="1"/>
        <v>14.58566045</v>
      </c>
      <c r="C1382" s="13">
        <f t="shared" si="2"/>
        <v>1</v>
      </c>
      <c r="D1382" s="13">
        <f t="shared" si="3"/>
        <v>0</v>
      </c>
      <c r="O1382" s="4"/>
      <c r="P1382" s="4"/>
      <c r="Q1382" s="4"/>
      <c r="R1382" s="4"/>
    </row>
    <row r="1383" ht="15.75" customHeight="1">
      <c r="A1383" s="13">
        <f>A1382+'Energy Balance'!$N$7</f>
        <v>1381</v>
      </c>
      <c r="B1383" s="18">
        <f t="shared" si="1"/>
        <v>14.59622977</v>
      </c>
      <c r="C1383" s="13">
        <f t="shared" si="2"/>
        <v>1</v>
      </c>
      <c r="D1383" s="13">
        <f t="shared" si="3"/>
        <v>0</v>
      </c>
      <c r="O1383" s="4"/>
      <c r="P1383" s="4"/>
      <c r="Q1383" s="4"/>
      <c r="R1383" s="4"/>
    </row>
    <row r="1384" ht="15.75" customHeight="1">
      <c r="A1384" s="13">
        <f>A1383+'Energy Balance'!$N$7</f>
        <v>1382</v>
      </c>
      <c r="B1384" s="18">
        <f t="shared" si="1"/>
        <v>14.60679909</v>
      </c>
      <c r="C1384" s="13">
        <f t="shared" si="2"/>
        <v>1</v>
      </c>
      <c r="D1384" s="13">
        <f t="shared" si="3"/>
        <v>0</v>
      </c>
      <c r="O1384" s="4"/>
      <c r="P1384" s="4"/>
      <c r="Q1384" s="4"/>
      <c r="R1384" s="4"/>
    </row>
    <row r="1385" ht="15.75" customHeight="1">
      <c r="A1385" s="13">
        <f>A1384+'Energy Balance'!$N$7</f>
        <v>1383</v>
      </c>
      <c r="B1385" s="18">
        <f t="shared" si="1"/>
        <v>14.61736841</v>
      </c>
      <c r="C1385" s="13">
        <f t="shared" si="2"/>
        <v>1</v>
      </c>
      <c r="D1385" s="13">
        <f t="shared" si="3"/>
        <v>0</v>
      </c>
      <c r="O1385" s="4"/>
      <c r="P1385" s="4"/>
      <c r="Q1385" s="4"/>
      <c r="R1385" s="4"/>
    </row>
    <row r="1386" ht="15.75" customHeight="1">
      <c r="A1386" s="13">
        <f>A1385+'Energy Balance'!$N$7</f>
        <v>1384</v>
      </c>
      <c r="B1386" s="18">
        <f t="shared" si="1"/>
        <v>14.62793773</v>
      </c>
      <c r="C1386" s="13">
        <f t="shared" si="2"/>
        <v>0</v>
      </c>
      <c r="D1386" s="13">
        <f t="shared" si="3"/>
        <v>1</v>
      </c>
      <c r="O1386" s="4"/>
      <c r="P1386" s="4"/>
      <c r="Q1386" s="4"/>
      <c r="R1386" s="4"/>
    </row>
    <row r="1387" ht="15.75" customHeight="1">
      <c r="A1387" s="13">
        <f>A1386+'Energy Balance'!$N$7</f>
        <v>1385</v>
      </c>
      <c r="B1387" s="18">
        <f t="shared" si="1"/>
        <v>14.63850704</v>
      </c>
      <c r="C1387" s="13">
        <f t="shared" si="2"/>
        <v>0</v>
      </c>
      <c r="D1387" s="13">
        <f t="shared" si="3"/>
        <v>1</v>
      </c>
      <c r="O1387" s="4"/>
      <c r="P1387" s="4"/>
      <c r="Q1387" s="4"/>
      <c r="R1387" s="4"/>
    </row>
    <row r="1388" ht="15.75" customHeight="1">
      <c r="A1388" s="13">
        <f>A1387+'Energy Balance'!$N$7</f>
        <v>1386</v>
      </c>
      <c r="B1388" s="18">
        <f t="shared" si="1"/>
        <v>14.64907636</v>
      </c>
      <c r="C1388" s="13">
        <f t="shared" si="2"/>
        <v>0</v>
      </c>
      <c r="D1388" s="13">
        <f t="shared" si="3"/>
        <v>1</v>
      </c>
      <c r="O1388" s="4"/>
      <c r="P1388" s="4"/>
      <c r="Q1388" s="4"/>
      <c r="R1388" s="4"/>
    </row>
    <row r="1389" ht="15.75" customHeight="1">
      <c r="A1389" s="13">
        <f>A1388+'Energy Balance'!$N$7</f>
        <v>1387</v>
      </c>
      <c r="B1389" s="18">
        <f t="shared" si="1"/>
        <v>14.65964568</v>
      </c>
      <c r="C1389" s="13">
        <f t="shared" si="2"/>
        <v>0</v>
      </c>
      <c r="D1389" s="13">
        <f t="shared" si="3"/>
        <v>1</v>
      </c>
      <c r="O1389" s="4"/>
      <c r="P1389" s="4"/>
      <c r="Q1389" s="4"/>
      <c r="R1389" s="4"/>
    </row>
    <row r="1390" ht="15.75" customHeight="1">
      <c r="A1390" s="13">
        <f>A1389+'Energy Balance'!$N$7</f>
        <v>1388</v>
      </c>
      <c r="B1390" s="18">
        <f t="shared" si="1"/>
        <v>14.670215</v>
      </c>
      <c r="C1390" s="13">
        <f t="shared" si="2"/>
        <v>0</v>
      </c>
      <c r="D1390" s="13">
        <f t="shared" si="3"/>
        <v>1</v>
      </c>
      <c r="O1390" s="4"/>
      <c r="P1390" s="4"/>
      <c r="Q1390" s="4"/>
      <c r="R1390" s="4"/>
    </row>
    <row r="1391" ht="15.75" customHeight="1">
      <c r="A1391" s="13">
        <f>A1390+'Energy Balance'!$N$7</f>
        <v>1389</v>
      </c>
      <c r="B1391" s="18">
        <f t="shared" si="1"/>
        <v>14.68078432</v>
      </c>
      <c r="C1391" s="13">
        <f t="shared" si="2"/>
        <v>0</v>
      </c>
      <c r="D1391" s="13">
        <f t="shared" si="3"/>
        <v>1</v>
      </c>
      <c r="O1391" s="4"/>
      <c r="P1391" s="4"/>
      <c r="Q1391" s="4"/>
      <c r="R1391" s="4"/>
    </row>
    <row r="1392" ht="15.75" customHeight="1">
      <c r="A1392" s="13">
        <f>A1391+'Energy Balance'!$N$7</f>
        <v>1390</v>
      </c>
      <c r="B1392" s="18">
        <f t="shared" si="1"/>
        <v>14.69135364</v>
      </c>
      <c r="C1392" s="13">
        <f t="shared" si="2"/>
        <v>0</v>
      </c>
      <c r="D1392" s="13">
        <f t="shared" si="3"/>
        <v>1</v>
      </c>
      <c r="O1392" s="4"/>
      <c r="P1392" s="4"/>
      <c r="Q1392" s="4"/>
      <c r="R1392" s="4"/>
    </row>
    <row r="1393" ht="15.75" customHeight="1">
      <c r="A1393" s="13">
        <f>A1392+'Energy Balance'!$N$7</f>
        <v>1391</v>
      </c>
      <c r="B1393" s="18">
        <f t="shared" si="1"/>
        <v>14.70192296</v>
      </c>
      <c r="C1393" s="13">
        <f t="shared" si="2"/>
        <v>0</v>
      </c>
      <c r="D1393" s="13">
        <f t="shared" si="3"/>
        <v>1</v>
      </c>
      <c r="O1393" s="4"/>
      <c r="P1393" s="4"/>
      <c r="Q1393" s="4"/>
      <c r="R1393" s="4"/>
    </row>
    <row r="1394" ht="15.75" customHeight="1">
      <c r="A1394" s="13">
        <f>A1393+'Energy Balance'!$N$7</f>
        <v>1392</v>
      </c>
      <c r="B1394" s="18">
        <f t="shared" si="1"/>
        <v>14.71249228</v>
      </c>
      <c r="C1394" s="13">
        <f t="shared" si="2"/>
        <v>0</v>
      </c>
      <c r="D1394" s="13">
        <f t="shared" si="3"/>
        <v>1</v>
      </c>
      <c r="O1394" s="4"/>
      <c r="P1394" s="4"/>
      <c r="Q1394" s="4"/>
      <c r="R1394" s="4"/>
    </row>
    <row r="1395" ht="15.75" customHeight="1">
      <c r="A1395" s="13">
        <f>A1394+'Energy Balance'!$N$7</f>
        <v>1393</v>
      </c>
      <c r="B1395" s="18">
        <f t="shared" si="1"/>
        <v>14.7230616</v>
      </c>
      <c r="C1395" s="13">
        <f t="shared" si="2"/>
        <v>0</v>
      </c>
      <c r="D1395" s="13">
        <f t="shared" si="3"/>
        <v>1</v>
      </c>
      <c r="O1395" s="4"/>
      <c r="P1395" s="4"/>
      <c r="Q1395" s="4"/>
      <c r="R1395" s="4"/>
    </row>
    <row r="1396" ht="15.75" customHeight="1">
      <c r="A1396" s="13">
        <f>A1395+'Energy Balance'!$N$7</f>
        <v>1394</v>
      </c>
      <c r="B1396" s="18">
        <f t="shared" si="1"/>
        <v>14.73363092</v>
      </c>
      <c r="C1396" s="13">
        <f t="shared" si="2"/>
        <v>0</v>
      </c>
      <c r="D1396" s="13">
        <f t="shared" si="3"/>
        <v>1</v>
      </c>
      <c r="O1396" s="4"/>
      <c r="P1396" s="4"/>
      <c r="Q1396" s="4"/>
      <c r="R1396" s="4"/>
    </row>
    <row r="1397" ht="15.75" customHeight="1">
      <c r="A1397" s="13">
        <f>A1396+'Energy Balance'!$N$7</f>
        <v>1395</v>
      </c>
      <c r="B1397" s="18">
        <f t="shared" si="1"/>
        <v>14.74420024</v>
      </c>
      <c r="C1397" s="13">
        <f t="shared" si="2"/>
        <v>0</v>
      </c>
      <c r="D1397" s="13">
        <f t="shared" si="3"/>
        <v>1</v>
      </c>
      <c r="O1397" s="4"/>
      <c r="P1397" s="4"/>
      <c r="Q1397" s="4"/>
      <c r="R1397" s="4"/>
    </row>
    <row r="1398" ht="15.75" customHeight="1">
      <c r="A1398" s="13">
        <f>A1397+'Energy Balance'!$N$7</f>
        <v>1396</v>
      </c>
      <c r="B1398" s="18">
        <f t="shared" si="1"/>
        <v>14.75476956</v>
      </c>
      <c r="C1398" s="13">
        <f t="shared" si="2"/>
        <v>0</v>
      </c>
      <c r="D1398" s="13">
        <f t="shared" si="3"/>
        <v>1</v>
      </c>
      <c r="O1398" s="4"/>
      <c r="P1398" s="4"/>
      <c r="Q1398" s="4"/>
      <c r="R1398" s="4"/>
    </row>
    <row r="1399" ht="15.75" customHeight="1">
      <c r="A1399" s="13">
        <f>A1398+'Energy Balance'!$N$7</f>
        <v>1397</v>
      </c>
      <c r="B1399" s="18">
        <f t="shared" si="1"/>
        <v>14.76533887</v>
      </c>
      <c r="C1399" s="13">
        <f t="shared" si="2"/>
        <v>0</v>
      </c>
      <c r="D1399" s="13">
        <f t="shared" si="3"/>
        <v>1</v>
      </c>
      <c r="O1399" s="4"/>
      <c r="P1399" s="4"/>
      <c r="Q1399" s="4"/>
      <c r="R1399" s="4"/>
    </row>
    <row r="1400" ht="15.75" customHeight="1">
      <c r="A1400" s="13">
        <f>A1399+'Energy Balance'!$N$7</f>
        <v>1398</v>
      </c>
      <c r="B1400" s="18">
        <f t="shared" si="1"/>
        <v>14.77590819</v>
      </c>
      <c r="C1400" s="13">
        <f t="shared" si="2"/>
        <v>0</v>
      </c>
      <c r="D1400" s="13">
        <f t="shared" si="3"/>
        <v>1</v>
      </c>
      <c r="O1400" s="4"/>
      <c r="P1400" s="4"/>
      <c r="Q1400" s="4"/>
      <c r="R1400" s="4"/>
    </row>
    <row r="1401" ht="15.75" customHeight="1">
      <c r="A1401" s="13">
        <f>A1400+'Energy Balance'!$N$7</f>
        <v>1399</v>
      </c>
      <c r="B1401" s="18">
        <f t="shared" si="1"/>
        <v>14.78647751</v>
      </c>
      <c r="C1401" s="13">
        <f t="shared" si="2"/>
        <v>0</v>
      </c>
      <c r="D1401" s="13">
        <f t="shared" si="3"/>
        <v>1</v>
      </c>
      <c r="O1401" s="4"/>
      <c r="P1401" s="4"/>
      <c r="Q1401" s="4"/>
      <c r="R1401" s="4"/>
    </row>
    <row r="1402" ht="15.75" customHeight="1">
      <c r="A1402" s="13">
        <f>A1401+'Energy Balance'!$N$7</f>
        <v>1400</v>
      </c>
      <c r="B1402" s="18">
        <f t="shared" si="1"/>
        <v>14.79704683</v>
      </c>
      <c r="C1402" s="13">
        <f t="shared" si="2"/>
        <v>0</v>
      </c>
      <c r="D1402" s="13">
        <f t="shared" si="3"/>
        <v>1</v>
      </c>
      <c r="O1402" s="4"/>
      <c r="P1402" s="4"/>
      <c r="Q1402" s="4"/>
      <c r="R1402" s="4"/>
    </row>
    <row r="1403" ht="15.75" customHeight="1">
      <c r="A1403" s="13">
        <f>A1402+'Energy Balance'!$N$7</f>
        <v>1401</v>
      </c>
      <c r="B1403" s="18">
        <f t="shared" si="1"/>
        <v>14.80761615</v>
      </c>
      <c r="C1403" s="13">
        <f t="shared" si="2"/>
        <v>0</v>
      </c>
      <c r="D1403" s="13">
        <f t="shared" si="3"/>
        <v>1</v>
      </c>
      <c r="O1403" s="4"/>
      <c r="P1403" s="4"/>
      <c r="Q1403" s="4"/>
      <c r="R1403" s="4"/>
    </row>
    <row r="1404" ht="15.75" customHeight="1">
      <c r="A1404" s="13">
        <f>A1403+'Energy Balance'!$N$7</f>
        <v>1402</v>
      </c>
      <c r="B1404" s="18">
        <f t="shared" si="1"/>
        <v>14.81818547</v>
      </c>
      <c r="C1404" s="13">
        <f t="shared" si="2"/>
        <v>0</v>
      </c>
      <c r="D1404" s="13">
        <f t="shared" si="3"/>
        <v>1</v>
      </c>
      <c r="O1404" s="4"/>
      <c r="P1404" s="4"/>
      <c r="Q1404" s="4"/>
      <c r="R1404" s="4"/>
    </row>
    <row r="1405" ht="15.75" customHeight="1">
      <c r="A1405" s="13">
        <f>A1404+'Energy Balance'!$N$7</f>
        <v>1403</v>
      </c>
      <c r="B1405" s="18">
        <f t="shared" si="1"/>
        <v>14.82875479</v>
      </c>
      <c r="C1405" s="13">
        <f t="shared" si="2"/>
        <v>0</v>
      </c>
      <c r="D1405" s="13">
        <f t="shared" si="3"/>
        <v>1</v>
      </c>
      <c r="O1405" s="4"/>
      <c r="P1405" s="4"/>
      <c r="Q1405" s="4"/>
      <c r="R1405" s="4"/>
    </row>
    <row r="1406" ht="15.75" customHeight="1">
      <c r="A1406" s="13">
        <f>A1405+'Energy Balance'!$N$7</f>
        <v>1404</v>
      </c>
      <c r="B1406" s="18">
        <f t="shared" si="1"/>
        <v>14.83932411</v>
      </c>
      <c r="C1406" s="13">
        <f t="shared" si="2"/>
        <v>0</v>
      </c>
      <c r="D1406" s="13">
        <f t="shared" si="3"/>
        <v>1</v>
      </c>
      <c r="O1406" s="4"/>
      <c r="P1406" s="4"/>
      <c r="Q1406" s="4"/>
      <c r="R1406" s="4"/>
    </row>
    <row r="1407" ht="15.75" customHeight="1">
      <c r="A1407" s="13">
        <f>A1406+'Energy Balance'!$N$7</f>
        <v>1405</v>
      </c>
      <c r="B1407" s="18">
        <f t="shared" si="1"/>
        <v>14.84989343</v>
      </c>
      <c r="C1407" s="13">
        <f t="shared" si="2"/>
        <v>0</v>
      </c>
      <c r="D1407" s="13">
        <f t="shared" si="3"/>
        <v>1</v>
      </c>
      <c r="O1407" s="4"/>
      <c r="P1407" s="4"/>
      <c r="Q1407" s="4"/>
      <c r="R1407" s="4"/>
    </row>
    <row r="1408" ht="15.75" customHeight="1">
      <c r="A1408" s="13">
        <f>A1407+'Energy Balance'!$N$7</f>
        <v>1406</v>
      </c>
      <c r="B1408" s="18">
        <f t="shared" si="1"/>
        <v>14.86046275</v>
      </c>
      <c r="C1408" s="13">
        <f t="shared" si="2"/>
        <v>0</v>
      </c>
      <c r="D1408" s="13">
        <f t="shared" si="3"/>
        <v>1</v>
      </c>
      <c r="O1408" s="4"/>
      <c r="P1408" s="4"/>
      <c r="Q1408" s="4"/>
      <c r="R1408" s="4"/>
    </row>
    <row r="1409" ht="15.75" customHeight="1">
      <c r="A1409" s="13">
        <f>A1408+'Energy Balance'!$N$7</f>
        <v>1407</v>
      </c>
      <c r="B1409" s="18">
        <f t="shared" si="1"/>
        <v>14.87103207</v>
      </c>
      <c r="C1409" s="13">
        <f t="shared" si="2"/>
        <v>0</v>
      </c>
      <c r="D1409" s="13">
        <f t="shared" si="3"/>
        <v>1</v>
      </c>
      <c r="O1409" s="4"/>
      <c r="P1409" s="4"/>
      <c r="Q1409" s="4"/>
      <c r="R1409" s="4"/>
    </row>
    <row r="1410" ht="15.75" customHeight="1">
      <c r="A1410" s="13">
        <f>A1409+'Energy Balance'!$N$7</f>
        <v>1408</v>
      </c>
      <c r="B1410" s="18">
        <f t="shared" si="1"/>
        <v>14.88160139</v>
      </c>
      <c r="C1410" s="13">
        <f t="shared" si="2"/>
        <v>0</v>
      </c>
      <c r="D1410" s="13">
        <f t="shared" si="3"/>
        <v>1</v>
      </c>
      <c r="O1410" s="4"/>
      <c r="P1410" s="4"/>
      <c r="Q1410" s="4"/>
      <c r="R1410" s="4"/>
    </row>
    <row r="1411" ht="15.75" customHeight="1">
      <c r="A1411" s="13">
        <f>A1410+'Energy Balance'!$N$7</f>
        <v>1409</v>
      </c>
      <c r="B1411" s="18">
        <f t="shared" si="1"/>
        <v>14.8921707</v>
      </c>
      <c r="C1411" s="13">
        <f t="shared" si="2"/>
        <v>0</v>
      </c>
      <c r="D1411" s="13">
        <f t="shared" si="3"/>
        <v>1</v>
      </c>
      <c r="O1411" s="4"/>
      <c r="P1411" s="4"/>
      <c r="Q1411" s="4"/>
      <c r="R1411" s="4"/>
    </row>
    <row r="1412" ht="15.75" customHeight="1">
      <c r="A1412" s="13">
        <f>A1411+'Energy Balance'!$N$7</f>
        <v>1410</v>
      </c>
      <c r="B1412" s="18">
        <f t="shared" si="1"/>
        <v>14.90274002</v>
      </c>
      <c r="C1412" s="13">
        <f t="shared" si="2"/>
        <v>0</v>
      </c>
      <c r="D1412" s="13">
        <f t="shared" si="3"/>
        <v>1</v>
      </c>
      <c r="O1412" s="4"/>
      <c r="P1412" s="4"/>
      <c r="Q1412" s="4"/>
      <c r="R1412" s="4"/>
    </row>
    <row r="1413" ht="15.75" customHeight="1">
      <c r="A1413" s="13">
        <f>A1412+'Energy Balance'!$N$7</f>
        <v>1411</v>
      </c>
      <c r="B1413" s="18">
        <f t="shared" si="1"/>
        <v>14.91330934</v>
      </c>
      <c r="C1413" s="13">
        <f t="shared" si="2"/>
        <v>0</v>
      </c>
      <c r="D1413" s="13">
        <f t="shared" si="3"/>
        <v>1</v>
      </c>
      <c r="O1413" s="4"/>
      <c r="P1413" s="4"/>
      <c r="Q1413" s="4"/>
      <c r="R1413" s="4"/>
    </row>
    <row r="1414" ht="15.75" customHeight="1">
      <c r="A1414" s="13">
        <f>A1413+'Energy Balance'!$N$7</f>
        <v>1412</v>
      </c>
      <c r="B1414" s="18">
        <f t="shared" si="1"/>
        <v>14.92387866</v>
      </c>
      <c r="C1414" s="13">
        <f t="shared" si="2"/>
        <v>0</v>
      </c>
      <c r="D1414" s="13">
        <f t="shared" si="3"/>
        <v>1</v>
      </c>
      <c r="O1414" s="4"/>
      <c r="P1414" s="4"/>
      <c r="Q1414" s="4"/>
      <c r="R1414" s="4"/>
    </row>
    <row r="1415" ht="15.75" customHeight="1">
      <c r="A1415" s="13">
        <f>A1414+'Energy Balance'!$N$7</f>
        <v>1413</v>
      </c>
      <c r="B1415" s="18">
        <f t="shared" si="1"/>
        <v>14.93444798</v>
      </c>
      <c r="C1415" s="13">
        <f t="shared" si="2"/>
        <v>0</v>
      </c>
      <c r="D1415" s="13">
        <f t="shared" si="3"/>
        <v>1</v>
      </c>
      <c r="O1415" s="4"/>
      <c r="P1415" s="4"/>
      <c r="Q1415" s="4"/>
      <c r="R1415" s="4"/>
    </row>
    <row r="1416" ht="15.75" customHeight="1">
      <c r="A1416" s="13">
        <f>A1415+'Energy Balance'!$N$7</f>
        <v>1414</v>
      </c>
      <c r="B1416" s="18">
        <f t="shared" si="1"/>
        <v>14.9450173</v>
      </c>
      <c r="C1416" s="13">
        <f t="shared" si="2"/>
        <v>0</v>
      </c>
      <c r="D1416" s="13">
        <f t="shared" si="3"/>
        <v>1</v>
      </c>
      <c r="O1416" s="4"/>
      <c r="P1416" s="4"/>
      <c r="Q1416" s="4"/>
      <c r="R1416" s="4"/>
    </row>
    <row r="1417" ht="15.75" customHeight="1">
      <c r="A1417" s="13">
        <f>A1416+'Energy Balance'!$N$7</f>
        <v>1415</v>
      </c>
      <c r="B1417" s="18">
        <f t="shared" si="1"/>
        <v>14.95558662</v>
      </c>
      <c r="C1417" s="13">
        <f t="shared" si="2"/>
        <v>0</v>
      </c>
      <c r="D1417" s="13">
        <f t="shared" si="3"/>
        <v>1</v>
      </c>
      <c r="O1417" s="4"/>
      <c r="P1417" s="4"/>
      <c r="Q1417" s="4"/>
      <c r="R1417" s="4"/>
    </row>
    <row r="1418" ht="15.75" customHeight="1">
      <c r="A1418" s="13">
        <f>A1417+'Energy Balance'!$N$7</f>
        <v>1416</v>
      </c>
      <c r="B1418" s="18">
        <f t="shared" si="1"/>
        <v>14.96615594</v>
      </c>
      <c r="C1418" s="13">
        <f t="shared" si="2"/>
        <v>0</v>
      </c>
      <c r="D1418" s="13">
        <f t="shared" si="3"/>
        <v>1</v>
      </c>
      <c r="O1418" s="4"/>
      <c r="P1418" s="4"/>
      <c r="Q1418" s="4"/>
      <c r="R1418" s="4"/>
    </row>
    <row r="1419" ht="15.75" customHeight="1">
      <c r="A1419" s="13">
        <f>A1418+'Energy Balance'!$N$7</f>
        <v>1417</v>
      </c>
      <c r="B1419" s="18">
        <f t="shared" si="1"/>
        <v>14.97672526</v>
      </c>
      <c r="C1419" s="13">
        <f t="shared" si="2"/>
        <v>0</v>
      </c>
      <c r="D1419" s="13">
        <f t="shared" si="3"/>
        <v>1</v>
      </c>
      <c r="O1419" s="4"/>
      <c r="P1419" s="4"/>
      <c r="Q1419" s="4"/>
      <c r="R1419" s="4"/>
    </row>
    <row r="1420" ht="15.75" customHeight="1">
      <c r="A1420" s="13">
        <f>A1419+'Energy Balance'!$N$7</f>
        <v>1418</v>
      </c>
      <c r="B1420" s="18">
        <f t="shared" si="1"/>
        <v>14.98729458</v>
      </c>
      <c r="C1420" s="13">
        <f t="shared" si="2"/>
        <v>0</v>
      </c>
      <c r="D1420" s="13">
        <f t="shared" si="3"/>
        <v>1</v>
      </c>
      <c r="O1420" s="4"/>
      <c r="P1420" s="4"/>
      <c r="Q1420" s="4"/>
      <c r="R1420" s="4"/>
    </row>
    <row r="1421" ht="15.75" customHeight="1">
      <c r="A1421" s="13">
        <f>A1420+'Energy Balance'!$N$7</f>
        <v>1419</v>
      </c>
      <c r="B1421" s="18">
        <f t="shared" si="1"/>
        <v>14.9978639</v>
      </c>
      <c r="C1421" s="13">
        <f t="shared" si="2"/>
        <v>0</v>
      </c>
      <c r="D1421" s="13">
        <f t="shared" si="3"/>
        <v>1</v>
      </c>
      <c r="O1421" s="4"/>
      <c r="P1421" s="4"/>
      <c r="Q1421" s="4"/>
      <c r="R1421" s="4"/>
    </row>
    <row r="1422" ht="15.75" customHeight="1">
      <c r="A1422" s="13">
        <f>A1421+'Energy Balance'!$N$7</f>
        <v>1420</v>
      </c>
      <c r="B1422" s="18">
        <f t="shared" si="1"/>
        <v>15.00843322</v>
      </c>
      <c r="C1422" s="13">
        <f t="shared" si="2"/>
        <v>1</v>
      </c>
      <c r="D1422" s="13">
        <f t="shared" si="3"/>
        <v>0</v>
      </c>
      <c r="O1422" s="4"/>
      <c r="P1422" s="4"/>
      <c r="Q1422" s="4"/>
      <c r="R1422" s="4"/>
    </row>
    <row r="1423" ht="15.75" customHeight="1">
      <c r="A1423" s="13">
        <f>A1422+'Energy Balance'!$N$7</f>
        <v>1421</v>
      </c>
      <c r="B1423" s="18">
        <f t="shared" si="1"/>
        <v>15.01900253</v>
      </c>
      <c r="C1423" s="13">
        <f t="shared" si="2"/>
        <v>1</v>
      </c>
      <c r="D1423" s="13">
        <f t="shared" si="3"/>
        <v>0</v>
      </c>
      <c r="O1423" s="4"/>
      <c r="P1423" s="4"/>
      <c r="Q1423" s="4"/>
      <c r="R1423" s="4"/>
    </row>
    <row r="1424" ht="15.75" customHeight="1">
      <c r="A1424" s="13">
        <f>A1423+'Energy Balance'!$N$7</f>
        <v>1422</v>
      </c>
      <c r="B1424" s="18">
        <f t="shared" si="1"/>
        <v>15.02957185</v>
      </c>
      <c r="C1424" s="13">
        <f t="shared" si="2"/>
        <v>1</v>
      </c>
      <c r="D1424" s="13">
        <f t="shared" si="3"/>
        <v>0</v>
      </c>
      <c r="O1424" s="4"/>
      <c r="P1424" s="4"/>
      <c r="Q1424" s="4"/>
      <c r="R1424" s="4"/>
    </row>
    <row r="1425" ht="15.75" customHeight="1">
      <c r="A1425" s="13">
        <f>A1424+'Energy Balance'!$N$7</f>
        <v>1423</v>
      </c>
      <c r="B1425" s="18">
        <f t="shared" si="1"/>
        <v>15.04014117</v>
      </c>
      <c r="C1425" s="13">
        <f t="shared" si="2"/>
        <v>1</v>
      </c>
      <c r="D1425" s="13">
        <f t="shared" si="3"/>
        <v>0</v>
      </c>
      <c r="O1425" s="4"/>
      <c r="P1425" s="4"/>
      <c r="Q1425" s="4"/>
      <c r="R1425" s="4"/>
    </row>
    <row r="1426" ht="15.75" customHeight="1">
      <c r="A1426" s="13">
        <f>A1425+'Energy Balance'!$N$7</f>
        <v>1424</v>
      </c>
      <c r="B1426" s="18">
        <f t="shared" si="1"/>
        <v>15.05071049</v>
      </c>
      <c r="C1426" s="13">
        <f t="shared" si="2"/>
        <v>1</v>
      </c>
      <c r="D1426" s="13">
        <f t="shared" si="3"/>
        <v>0</v>
      </c>
      <c r="O1426" s="4"/>
      <c r="P1426" s="4"/>
      <c r="Q1426" s="4"/>
      <c r="R1426" s="4"/>
    </row>
    <row r="1427" ht="15.75" customHeight="1">
      <c r="A1427" s="13">
        <f>A1426+'Energy Balance'!$N$7</f>
        <v>1425</v>
      </c>
      <c r="B1427" s="18">
        <f t="shared" si="1"/>
        <v>15.06127981</v>
      </c>
      <c r="C1427" s="13">
        <f t="shared" si="2"/>
        <v>1</v>
      </c>
      <c r="D1427" s="13">
        <f t="shared" si="3"/>
        <v>0</v>
      </c>
      <c r="O1427" s="4"/>
      <c r="P1427" s="4"/>
      <c r="Q1427" s="4"/>
      <c r="R1427" s="4"/>
    </row>
    <row r="1428" ht="15.75" customHeight="1">
      <c r="A1428" s="13">
        <f>A1427+'Energy Balance'!$N$7</f>
        <v>1426</v>
      </c>
      <c r="B1428" s="18">
        <f t="shared" si="1"/>
        <v>15.07184913</v>
      </c>
      <c r="C1428" s="13">
        <f t="shared" si="2"/>
        <v>1</v>
      </c>
      <c r="D1428" s="13">
        <f t="shared" si="3"/>
        <v>0</v>
      </c>
      <c r="O1428" s="4"/>
      <c r="P1428" s="4"/>
      <c r="Q1428" s="4"/>
      <c r="R1428" s="4"/>
    </row>
    <row r="1429" ht="15.75" customHeight="1">
      <c r="A1429" s="13">
        <f>A1428+'Energy Balance'!$N$7</f>
        <v>1427</v>
      </c>
      <c r="B1429" s="18">
        <f t="shared" si="1"/>
        <v>15.08241845</v>
      </c>
      <c r="C1429" s="13">
        <f t="shared" si="2"/>
        <v>1</v>
      </c>
      <c r="D1429" s="13">
        <f t="shared" si="3"/>
        <v>0</v>
      </c>
      <c r="O1429" s="4"/>
      <c r="P1429" s="4"/>
      <c r="Q1429" s="4"/>
      <c r="R1429" s="4"/>
    </row>
    <row r="1430" ht="15.75" customHeight="1">
      <c r="A1430" s="13">
        <f>A1429+'Energy Balance'!$N$7</f>
        <v>1428</v>
      </c>
      <c r="B1430" s="18">
        <f t="shared" si="1"/>
        <v>15.09298777</v>
      </c>
      <c r="C1430" s="13">
        <f t="shared" si="2"/>
        <v>1</v>
      </c>
      <c r="D1430" s="13">
        <f t="shared" si="3"/>
        <v>0</v>
      </c>
      <c r="O1430" s="4"/>
      <c r="P1430" s="4"/>
      <c r="Q1430" s="4"/>
      <c r="R1430" s="4"/>
    </row>
    <row r="1431" ht="15.75" customHeight="1">
      <c r="A1431" s="13">
        <f>A1430+'Energy Balance'!$N$7</f>
        <v>1429</v>
      </c>
      <c r="B1431" s="18">
        <f t="shared" si="1"/>
        <v>15.10355709</v>
      </c>
      <c r="C1431" s="13">
        <f t="shared" si="2"/>
        <v>1</v>
      </c>
      <c r="D1431" s="13">
        <f t="shared" si="3"/>
        <v>0</v>
      </c>
      <c r="O1431" s="4"/>
      <c r="P1431" s="4"/>
      <c r="Q1431" s="4"/>
      <c r="R1431" s="4"/>
    </row>
    <row r="1432" ht="15.75" customHeight="1">
      <c r="A1432" s="13">
        <f>A1431+'Energy Balance'!$N$7</f>
        <v>1430</v>
      </c>
      <c r="B1432" s="18">
        <f t="shared" si="1"/>
        <v>15.11412641</v>
      </c>
      <c r="C1432" s="13">
        <f t="shared" si="2"/>
        <v>1</v>
      </c>
      <c r="D1432" s="13">
        <f t="shared" si="3"/>
        <v>0</v>
      </c>
      <c r="O1432" s="4"/>
      <c r="P1432" s="4"/>
      <c r="Q1432" s="4"/>
      <c r="R1432" s="4"/>
    </row>
    <row r="1433" ht="15.75" customHeight="1">
      <c r="A1433" s="13">
        <f>A1432+'Energy Balance'!$N$7</f>
        <v>1431</v>
      </c>
      <c r="B1433" s="18">
        <f t="shared" si="1"/>
        <v>15.12469573</v>
      </c>
      <c r="C1433" s="13">
        <f t="shared" si="2"/>
        <v>1</v>
      </c>
      <c r="D1433" s="13">
        <f t="shared" si="3"/>
        <v>0</v>
      </c>
      <c r="O1433" s="4"/>
      <c r="P1433" s="4"/>
      <c r="Q1433" s="4"/>
      <c r="R1433" s="4"/>
    </row>
    <row r="1434" ht="15.75" customHeight="1">
      <c r="A1434" s="13">
        <f>A1433+'Energy Balance'!$N$7</f>
        <v>1432</v>
      </c>
      <c r="B1434" s="18">
        <f t="shared" si="1"/>
        <v>15.13526505</v>
      </c>
      <c r="C1434" s="13">
        <f t="shared" si="2"/>
        <v>1</v>
      </c>
      <c r="D1434" s="13">
        <f t="shared" si="3"/>
        <v>0</v>
      </c>
      <c r="O1434" s="4"/>
      <c r="P1434" s="4"/>
      <c r="Q1434" s="4"/>
      <c r="R1434" s="4"/>
    </row>
    <row r="1435" ht="15.75" customHeight="1">
      <c r="A1435" s="13">
        <f>A1434+'Energy Balance'!$N$7</f>
        <v>1433</v>
      </c>
      <c r="B1435" s="18">
        <f t="shared" si="1"/>
        <v>15.14583436</v>
      </c>
      <c r="C1435" s="13">
        <f t="shared" si="2"/>
        <v>1</v>
      </c>
      <c r="D1435" s="13">
        <f t="shared" si="3"/>
        <v>0</v>
      </c>
      <c r="O1435" s="4"/>
      <c r="P1435" s="4"/>
      <c r="Q1435" s="4"/>
      <c r="R1435" s="4"/>
    </row>
    <row r="1436" ht="15.75" customHeight="1">
      <c r="A1436" s="13">
        <f>A1435+'Energy Balance'!$N$7</f>
        <v>1434</v>
      </c>
      <c r="B1436" s="18">
        <f t="shared" si="1"/>
        <v>15.15640368</v>
      </c>
      <c r="C1436" s="13">
        <f t="shared" si="2"/>
        <v>1</v>
      </c>
      <c r="D1436" s="13">
        <f t="shared" si="3"/>
        <v>0</v>
      </c>
      <c r="O1436" s="4"/>
      <c r="P1436" s="4"/>
      <c r="Q1436" s="4"/>
      <c r="R1436" s="4"/>
    </row>
    <row r="1437" ht="15.75" customHeight="1">
      <c r="A1437" s="13">
        <f>A1436+'Energy Balance'!$N$7</f>
        <v>1435</v>
      </c>
      <c r="B1437" s="18">
        <f t="shared" si="1"/>
        <v>15.166973</v>
      </c>
      <c r="C1437" s="13">
        <f t="shared" si="2"/>
        <v>1</v>
      </c>
      <c r="D1437" s="13">
        <f t="shared" si="3"/>
        <v>0</v>
      </c>
      <c r="O1437" s="4"/>
      <c r="P1437" s="4"/>
      <c r="Q1437" s="4"/>
      <c r="R1437" s="4"/>
    </row>
    <row r="1438" ht="15.75" customHeight="1">
      <c r="A1438" s="13">
        <f>A1437+'Energy Balance'!$N$7</f>
        <v>1436</v>
      </c>
      <c r="B1438" s="18">
        <f t="shared" si="1"/>
        <v>15.17754232</v>
      </c>
      <c r="C1438" s="13">
        <f t="shared" si="2"/>
        <v>1</v>
      </c>
      <c r="D1438" s="13">
        <f t="shared" si="3"/>
        <v>0</v>
      </c>
      <c r="O1438" s="4"/>
      <c r="P1438" s="4"/>
      <c r="Q1438" s="4"/>
      <c r="R1438" s="4"/>
    </row>
    <row r="1439" ht="15.75" customHeight="1">
      <c r="A1439" s="13">
        <f>A1438+'Energy Balance'!$N$7</f>
        <v>1437</v>
      </c>
      <c r="B1439" s="18">
        <f t="shared" si="1"/>
        <v>15.18811164</v>
      </c>
      <c r="C1439" s="13">
        <f t="shared" si="2"/>
        <v>1</v>
      </c>
      <c r="D1439" s="13">
        <f t="shared" si="3"/>
        <v>0</v>
      </c>
      <c r="O1439" s="4"/>
      <c r="P1439" s="4"/>
      <c r="Q1439" s="4"/>
      <c r="R1439" s="4"/>
    </row>
    <row r="1440" ht="15.75" customHeight="1">
      <c r="A1440" s="13">
        <f>A1439+'Energy Balance'!$N$7</f>
        <v>1438</v>
      </c>
      <c r="B1440" s="18">
        <f t="shared" si="1"/>
        <v>15.19868096</v>
      </c>
      <c r="C1440" s="13">
        <f t="shared" si="2"/>
        <v>1</v>
      </c>
      <c r="D1440" s="13">
        <f t="shared" si="3"/>
        <v>0</v>
      </c>
      <c r="O1440" s="4"/>
      <c r="P1440" s="4"/>
      <c r="Q1440" s="4"/>
      <c r="R1440" s="4"/>
    </row>
    <row r="1441" ht="15.75" customHeight="1">
      <c r="A1441" s="13">
        <f>A1440+'Energy Balance'!$N$7</f>
        <v>1439</v>
      </c>
      <c r="B1441" s="18">
        <f t="shared" si="1"/>
        <v>15.20925028</v>
      </c>
      <c r="C1441" s="13">
        <f t="shared" si="2"/>
        <v>1</v>
      </c>
      <c r="D1441" s="13">
        <f t="shared" si="3"/>
        <v>0</v>
      </c>
      <c r="O1441" s="4"/>
      <c r="P1441" s="4"/>
      <c r="Q1441" s="4"/>
      <c r="R1441" s="4"/>
    </row>
    <row r="1442" ht="15.75" customHeight="1">
      <c r="A1442" s="13">
        <f>A1441+'Energy Balance'!$N$7</f>
        <v>1440</v>
      </c>
      <c r="B1442" s="18">
        <f t="shared" si="1"/>
        <v>15.2198196</v>
      </c>
      <c r="C1442" s="13">
        <f t="shared" si="2"/>
        <v>1</v>
      </c>
      <c r="D1442" s="13">
        <f t="shared" si="3"/>
        <v>0</v>
      </c>
      <c r="O1442" s="4"/>
      <c r="P1442" s="4"/>
      <c r="Q1442" s="4"/>
      <c r="R1442" s="4"/>
    </row>
  </sheetData>
  <mergeCells count="6">
    <mergeCell ref="F2:H2"/>
    <mergeCell ref="F6:H6"/>
    <mergeCell ref="F9:F11"/>
    <mergeCell ref="F15:F16"/>
    <mergeCell ref="F18:F20"/>
    <mergeCell ref="F21:H27"/>
  </mergeCells>
  <printOptions/>
  <pageMargins bottom="0.75" footer="0.0" header="0.0" left="0.7" right="0.7" top="0.75"/>
  <pageSetup orientation="portrait"/>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1"/>
    <pageSetUpPr/>
  </sheetPr>
  <sheetViews>
    <sheetView showGridLines="0" workbookViewId="0"/>
  </sheetViews>
  <sheetFormatPr customHeight="1" defaultColWidth="12.63" defaultRowHeight="15.0" outlineLevelRow="1"/>
  <cols>
    <col customWidth="1" min="1" max="1" width="14.25"/>
    <col customWidth="1" min="2" max="2" width="40.88"/>
    <col customWidth="1" min="3" max="3" width="10.13"/>
    <col customWidth="1" min="4" max="4" width="21.0"/>
    <col customWidth="1" min="5" max="5" width="22.38"/>
    <col customWidth="1" min="6" max="6" width="24.25"/>
    <col customWidth="1" min="7" max="7" width="17.5"/>
    <col customWidth="1" min="8" max="8" width="19.25"/>
    <col customWidth="1" min="9" max="9" width="17.0"/>
    <col customWidth="1" min="10" max="10" width="14.75"/>
    <col customWidth="1" min="11" max="11" width="12.0"/>
    <col customWidth="1" min="12" max="12" width="4.5"/>
    <col customWidth="1" min="13" max="13" width="52.38"/>
    <col customWidth="1" min="14" max="14" width="10.75"/>
    <col customWidth="1" min="15" max="15" width="10.88"/>
    <col customWidth="1" min="16" max="16" width="3.88"/>
    <col customWidth="1" min="17" max="17" width="28.5"/>
    <col customWidth="1" min="18" max="18" width="9.13"/>
    <col customWidth="1" min="19" max="19" width="14.63"/>
    <col customWidth="1" min="20" max="20" width="7.63"/>
    <col customWidth="1" min="21" max="21" width="14.88"/>
    <col customWidth="1" min="22" max="28" width="7.63"/>
  </cols>
  <sheetData>
    <row r="1">
      <c r="A1" s="3" t="s">
        <v>1</v>
      </c>
      <c r="B1" s="5"/>
      <c r="C1" s="5"/>
      <c r="D1" s="5"/>
      <c r="E1" s="5"/>
      <c r="F1" s="5"/>
      <c r="G1" s="5"/>
      <c r="H1" s="5"/>
      <c r="I1" s="5"/>
      <c r="J1" s="5"/>
      <c r="K1" s="9"/>
      <c r="L1" s="11"/>
      <c r="M1" s="3" t="s">
        <v>9</v>
      </c>
      <c r="N1" s="5"/>
      <c r="O1" s="9"/>
      <c r="P1" s="11"/>
      <c r="Q1" s="15" t="s">
        <v>11</v>
      </c>
      <c r="R1" s="5"/>
      <c r="S1" s="9"/>
      <c r="T1" s="11"/>
      <c r="U1" s="17" t="s">
        <v>8</v>
      </c>
      <c r="V1" s="11"/>
      <c r="W1" s="11"/>
      <c r="X1" s="11"/>
      <c r="Y1" s="11"/>
      <c r="Z1" s="11"/>
      <c r="AA1" s="11"/>
      <c r="AB1" s="11"/>
    </row>
    <row r="2" ht="37.5" customHeight="1">
      <c r="A2" s="20" t="s">
        <v>14</v>
      </c>
      <c r="B2" s="20" t="s">
        <v>16</v>
      </c>
      <c r="C2" s="20" t="s">
        <v>17</v>
      </c>
      <c r="D2" s="20" t="s">
        <v>18</v>
      </c>
      <c r="E2" s="20" t="s">
        <v>20</v>
      </c>
      <c r="F2" s="20" t="s">
        <v>21</v>
      </c>
      <c r="G2" s="20" t="s">
        <v>22</v>
      </c>
      <c r="H2" s="20" t="s">
        <v>23</v>
      </c>
      <c r="I2" s="20" t="s">
        <v>24</v>
      </c>
      <c r="J2" s="20" t="s">
        <v>25</v>
      </c>
      <c r="K2" s="20" t="s">
        <v>26</v>
      </c>
      <c r="L2" s="11"/>
      <c r="M2" s="25" t="s">
        <v>27</v>
      </c>
      <c r="N2" s="5"/>
      <c r="O2" s="9"/>
      <c r="P2" s="11"/>
      <c r="Q2" s="28" t="s">
        <v>29</v>
      </c>
      <c r="R2" s="28" t="s">
        <v>32</v>
      </c>
      <c r="S2" s="28" t="s">
        <v>33</v>
      </c>
      <c r="T2" s="11"/>
      <c r="U2" s="32" t="s">
        <v>35</v>
      </c>
      <c r="V2" s="11"/>
      <c r="W2" s="11"/>
      <c r="X2" s="11"/>
      <c r="Y2" s="11"/>
      <c r="Z2" s="11"/>
      <c r="AA2" s="11"/>
      <c r="AB2" s="11"/>
    </row>
    <row r="3" ht="74.25" customHeight="1">
      <c r="A3" s="13" t="s">
        <v>40</v>
      </c>
      <c r="B3" s="32" t="s">
        <v>42</v>
      </c>
      <c r="C3" s="37">
        <v>316.0</v>
      </c>
      <c r="D3" s="38" t="s">
        <v>44</v>
      </c>
      <c r="E3" s="39">
        <v>0.2</v>
      </c>
      <c r="F3" s="39">
        <v>15.0</v>
      </c>
      <c r="G3" s="45">
        <f t="shared" ref="G3:G8" si="1">$N$3*$N$4*60</f>
        <v>2880</v>
      </c>
      <c r="H3" s="49">
        <f t="shared" ref="H3:H12" si="2">G3*E3*(F3+C3)</f>
        <v>190656</v>
      </c>
      <c r="I3" s="49">
        <f t="shared" ref="I3:I13" si="3">J3-H3</f>
        <v>83915.55677</v>
      </c>
      <c r="J3" s="49">
        <f t="shared" ref="J3:J8" si="4">CEILING((SUM($C$3:$C$8)+SUM($F$3:$F$8)+COUNT($C$3:$C$8)*$R$3)/$R$10,1)*($E$3*$G$3)*$R$14*((H3+E3*G3*$R$3)/(SUM($H$3:$H$8)+$R$3*SUMPRODUCT($E$3:$E$8,$G$3:$G$8)+$H$11+$R$3*$E$11*$G$11+$H$12+$R$3*$E$12*$G$12))</f>
        <v>274571.5568</v>
      </c>
      <c r="K3" s="69">
        <f t="shared" ref="K3:K13" si="5">J3/$J$14</f>
        <v>0.04405160777</v>
      </c>
      <c r="L3" s="11"/>
      <c r="M3" s="70" t="s">
        <v>68</v>
      </c>
      <c r="N3" s="37">
        <v>8.0</v>
      </c>
      <c r="O3" s="71" t="s">
        <v>69</v>
      </c>
      <c r="P3" s="11"/>
      <c r="Q3" s="32" t="s">
        <v>73</v>
      </c>
      <c r="R3" s="72">
        <v>6.0</v>
      </c>
      <c r="S3" s="32" t="s">
        <v>74</v>
      </c>
      <c r="T3" s="11"/>
      <c r="U3" s="68" t="s">
        <v>60</v>
      </c>
      <c r="V3" s="11"/>
      <c r="W3" s="11"/>
      <c r="X3" s="11"/>
      <c r="Y3" s="11"/>
      <c r="Z3" s="11"/>
      <c r="AA3" s="11"/>
      <c r="AB3" s="11"/>
    </row>
    <row r="4" ht="39.75" customHeight="1">
      <c r="A4" s="13" t="s">
        <v>75</v>
      </c>
      <c r="B4" s="32" t="s">
        <v>76</v>
      </c>
      <c r="C4" s="37">
        <v>53.0</v>
      </c>
      <c r="D4" s="38" t="s">
        <v>44</v>
      </c>
      <c r="E4" s="39">
        <v>0.2</v>
      </c>
      <c r="F4" s="39">
        <v>15.0</v>
      </c>
      <c r="G4" s="45">
        <f t="shared" si="1"/>
        <v>2880</v>
      </c>
      <c r="H4" s="49">
        <f t="shared" si="2"/>
        <v>39168</v>
      </c>
      <c r="I4" s="49">
        <f t="shared" si="3"/>
        <v>21123.67715</v>
      </c>
      <c r="J4" s="49">
        <f t="shared" si="4"/>
        <v>60291.67715</v>
      </c>
      <c r="K4" s="69">
        <f t="shared" si="5"/>
        <v>0.009673053339</v>
      </c>
      <c r="L4" s="11"/>
      <c r="M4" s="32" t="s">
        <v>80</v>
      </c>
      <c r="N4" s="75">
        <v>6.0</v>
      </c>
      <c r="O4" s="71" t="s">
        <v>83</v>
      </c>
      <c r="P4" s="11"/>
      <c r="Q4" s="32" t="s">
        <v>84</v>
      </c>
      <c r="R4" s="72">
        <v>512.0</v>
      </c>
      <c r="S4" s="32" t="s">
        <v>85</v>
      </c>
      <c r="T4" s="11"/>
      <c r="U4" s="11"/>
      <c r="V4" s="11"/>
      <c r="W4" s="11"/>
      <c r="X4" s="11"/>
      <c r="Y4" s="11"/>
      <c r="Z4" s="11"/>
      <c r="AA4" s="11"/>
      <c r="AB4" s="11"/>
    </row>
    <row r="5" ht="45.0" customHeight="1">
      <c r="A5" s="13" t="s">
        <v>87</v>
      </c>
      <c r="B5" s="32" t="s">
        <v>88</v>
      </c>
      <c r="C5" s="37">
        <v>268.0</v>
      </c>
      <c r="D5" s="38" t="s">
        <v>44</v>
      </c>
      <c r="E5" s="39">
        <v>0.2</v>
      </c>
      <c r="F5" s="39">
        <v>15.0</v>
      </c>
      <c r="G5" s="45">
        <f t="shared" si="1"/>
        <v>2880</v>
      </c>
      <c r="H5" s="49">
        <f t="shared" si="2"/>
        <v>163008</v>
      </c>
      <c r="I5" s="49">
        <f t="shared" si="3"/>
        <v>72455.44186</v>
      </c>
      <c r="J5" s="49">
        <f t="shared" si="4"/>
        <v>235463.4419</v>
      </c>
      <c r="K5" s="69">
        <f t="shared" si="5"/>
        <v>0.0377771948</v>
      </c>
      <c r="L5" s="11"/>
      <c r="M5" s="25" t="s">
        <v>89</v>
      </c>
      <c r="N5" s="5"/>
      <c r="O5" s="9"/>
      <c r="P5" s="11"/>
      <c r="Q5" s="32" t="s">
        <v>91</v>
      </c>
      <c r="R5" s="79">
        <v>468.0</v>
      </c>
      <c r="S5" s="32" t="s">
        <v>85</v>
      </c>
      <c r="T5" s="11"/>
      <c r="U5" s="11"/>
      <c r="V5" s="11"/>
      <c r="W5" s="11"/>
      <c r="X5" s="11"/>
      <c r="Y5" s="11"/>
      <c r="Z5" s="11"/>
      <c r="AA5" s="11"/>
      <c r="AB5" s="11"/>
    </row>
    <row r="6" ht="35.25" customHeight="1">
      <c r="A6" s="13" t="s">
        <v>94</v>
      </c>
      <c r="B6" s="32" t="s">
        <v>95</v>
      </c>
      <c r="C6" s="37">
        <v>40.0</v>
      </c>
      <c r="D6" s="38" t="s">
        <v>44</v>
      </c>
      <c r="E6" s="39">
        <v>0.2</v>
      </c>
      <c r="F6" s="39">
        <v>15.0</v>
      </c>
      <c r="G6" s="45">
        <f t="shared" si="1"/>
        <v>2880</v>
      </c>
      <c r="H6" s="49">
        <f t="shared" si="2"/>
        <v>31680</v>
      </c>
      <c r="I6" s="49">
        <f t="shared" si="3"/>
        <v>18019.89603</v>
      </c>
      <c r="J6" s="49">
        <f t="shared" si="4"/>
        <v>49699.89603</v>
      </c>
      <c r="K6" s="69">
        <f t="shared" si="5"/>
        <v>0.007973733158</v>
      </c>
      <c r="L6" s="11"/>
      <c r="M6" s="82" t="s">
        <v>97</v>
      </c>
      <c r="N6" s="84">
        <f>2064*1544 * 10/8</f>
        <v>3983520</v>
      </c>
      <c r="O6" s="71" t="s">
        <v>85</v>
      </c>
      <c r="P6" s="11"/>
      <c r="Q6" s="32" t="s">
        <v>100</v>
      </c>
      <c r="R6" s="72">
        <v>1024.0</v>
      </c>
      <c r="S6" s="32" t="s">
        <v>85</v>
      </c>
      <c r="T6" s="11"/>
      <c r="U6" s="11"/>
      <c r="V6" s="11"/>
      <c r="W6" s="11"/>
      <c r="X6" s="11"/>
      <c r="Y6" s="11"/>
      <c r="Z6" s="11"/>
      <c r="AA6" s="11"/>
      <c r="AB6" s="11"/>
    </row>
    <row r="7" ht="37.5" customHeight="1">
      <c r="A7" s="13" t="s">
        <v>101</v>
      </c>
      <c r="B7" s="32" t="s">
        <v>102</v>
      </c>
      <c r="C7" s="37">
        <v>194.0</v>
      </c>
      <c r="D7" s="38" t="s">
        <v>44</v>
      </c>
      <c r="E7" s="39">
        <v>0.2</v>
      </c>
      <c r="F7" s="39">
        <v>15.0</v>
      </c>
      <c r="G7" s="45">
        <f t="shared" si="1"/>
        <v>2880</v>
      </c>
      <c r="H7" s="49">
        <f t="shared" si="2"/>
        <v>120384</v>
      </c>
      <c r="I7" s="49">
        <f t="shared" si="3"/>
        <v>54787.76471</v>
      </c>
      <c r="J7" s="49">
        <f t="shared" si="4"/>
        <v>175171.7647</v>
      </c>
      <c r="K7" s="69">
        <f t="shared" si="5"/>
        <v>0.02810414146</v>
      </c>
      <c r="L7" s="11"/>
      <c r="M7" s="87" t="s">
        <v>105</v>
      </c>
      <c r="N7" s="89">
        <v>0.25</v>
      </c>
      <c r="O7" s="90"/>
      <c r="P7" s="11"/>
      <c r="Q7" s="87" t="s">
        <v>107</v>
      </c>
      <c r="R7" s="72">
        <v>6.0</v>
      </c>
      <c r="S7" s="32" t="s">
        <v>81</v>
      </c>
      <c r="T7" s="11"/>
      <c r="U7" s="11"/>
      <c r="V7" s="11"/>
      <c r="W7" s="11"/>
      <c r="X7" s="11"/>
      <c r="Y7" s="11"/>
      <c r="Z7" s="11"/>
      <c r="AA7" s="11"/>
      <c r="AB7" s="11"/>
    </row>
    <row r="8" ht="36.75" customHeight="1">
      <c r="A8" s="13" t="s">
        <v>108</v>
      </c>
      <c r="B8" s="32" t="s">
        <v>109</v>
      </c>
      <c r="C8" s="37">
        <v>49.0</v>
      </c>
      <c r="D8" s="38" t="s">
        <v>44</v>
      </c>
      <c r="E8" s="39">
        <v>0.2</v>
      </c>
      <c r="F8" s="39">
        <v>15.0</v>
      </c>
      <c r="G8" s="45">
        <f t="shared" si="1"/>
        <v>2880</v>
      </c>
      <c r="H8" s="49">
        <f t="shared" si="2"/>
        <v>36864</v>
      </c>
      <c r="I8" s="49">
        <f t="shared" si="3"/>
        <v>20168.66758</v>
      </c>
      <c r="J8" s="49">
        <f t="shared" si="4"/>
        <v>57032.66758</v>
      </c>
      <c r="K8" s="69">
        <f t="shared" si="5"/>
        <v>0.009150185591</v>
      </c>
      <c r="L8" s="11"/>
      <c r="M8" s="82" t="s">
        <v>111</v>
      </c>
      <c r="N8" s="84">
        <f>2064*1544 * 10/8</f>
        <v>3983520</v>
      </c>
      <c r="O8" s="71" t="s">
        <v>85</v>
      </c>
      <c r="P8" s="11"/>
      <c r="Q8" s="32" t="s">
        <v>112</v>
      </c>
      <c r="R8" s="72">
        <v>2.0</v>
      </c>
      <c r="S8" s="32" t="s">
        <v>81</v>
      </c>
      <c r="T8" s="11"/>
      <c r="U8" s="11"/>
      <c r="V8" s="11"/>
      <c r="W8" s="11"/>
      <c r="X8" s="11"/>
      <c r="Y8" s="11"/>
      <c r="Z8" s="11"/>
      <c r="AA8" s="11"/>
      <c r="AB8" s="11"/>
    </row>
    <row r="9" ht="21.75" customHeight="1">
      <c r="A9" s="13" t="s">
        <v>113</v>
      </c>
      <c r="B9" s="32" t="s">
        <v>114</v>
      </c>
      <c r="C9" s="63">
        <f>N6*N7</f>
        <v>995880</v>
      </c>
      <c r="D9" s="38" t="s">
        <v>115</v>
      </c>
      <c r="E9" s="94">
        <f>N15/2/86400</f>
        <v>0.00002314814815</v>
      </c>
      <c r="F9" s="39">
        <v>0.0</v>
      </c>
      <c r="G9" s="45">
        <v>86400.0</v>
      </c>
      <c r="H9" s="49">
        <f t="shared" si="2"/>
        <v>1991760</v>
      </c>
      <c r="I9" s="49">
        <f t="shared" si="3"/>
        <v>212728</v>
      </c>
      <c r="J9" s="49">
        <f t="shared" ref="J9:J10" si="6">(CEILING(CEILING(C9/$R$5,1)/$R$13,1)+$R$21)*E9*G9*$R$14</f>
        <v>2204488</v>
      </c>
      <c r="K9" s="69">
        <f t="shared" si="5"/>
        <v>0.3536828135</v>
      </c>
      <c r="L9" s="11"/>
      <c r="M9" s="87" t="s">
        <v>117</v>
      </c>
      <c r="N9" s="89">
        <v>0.25</v>
      </c>
      <c r="O9" s="90"/>
      <c r="P9" s="11"/>
      <c r="Q9" s="32" t="s">
        <v>118</v>
      </c>
      <c r="R9" s="72">
        <v>7.0</v>
      </c>
      <c r="S9" s="32" t="s">
        <v>81</v>
      </c>
      <c r="T9" s="11"/>
      <c r="U9" s="11"/>
      <c r="V9" s="11"/>
      <c r="W9" s="11"/>
      <c r="X9" s="11"/>
      <c r="Y9" s="11"/>
      <c r="Z9" s="11"/>
      <c r="AA9" s="11"/>
      <c r="AB9" s="11"/>
    </row>
    <row r="10" ht="20.25" customHeight="1">
      <c r="A10" s="13" t="s">
        <v>113</v>
      </c>
      <c r="B10" s="32" t="s">
        <v>119</v>
      </c>
      <c r="C10" s="63">
        <f>N8*N9</f>
        <v>995880</v>
      </c>
      <c r="D10" s="38" t="s">
        <v>115</v>
      </c>
      <c r="E10" s="94">
        <f>N15/2/86400</f>
        <v>0.00002314814815</v>
      </c>
      <c r="F10" s="39">
        <v>0.0</v>
      </c>
      <c r="G10" s="45">
        <v>86400.0</v>
      </c>
      <c r="H10" s="49">
        <f t="shared" si="2"/>
        <v>1991760</v>
      </c>
      <c r="I10" s="49">
        <f t="shared" si="3"/>
        <v>212728</v>
      </c>
      <c r="J10" s="49">
        <f t="shared" si="6"/>
        <v>2204488</v>
      </c>
      <c r="K10" s="69">
        <f t="shared" si="5"/>
        <v>0.3536828135</v>
      </c>
      <c r="L10" s="11"/>
      <c r="M10" s="25" t="s">
        <v>122</v>
      </c>
      <c r="N10" s="5"/>
      <c r="O10" s="9"/>
      <c r="P10" s="11"/>
      <c r="Q10" s="32" t="s">
        <v>125</v>
      </c>
      <c r="R10" s="72">
        <f>R6-R7-R8-R9</f>
        <v>1009</v>
      </c>
      <c r="S10" s="32" t="s">
        <v>85</v>
      </c>
      <c r="T10" s="11"/>
      <c r="U10" s="11"/>
      <c r="V10" s="11"/>
      <c r="W10" s="11"/>
      <c r="X10" s="11"/>
      <c r="Y10" s="11"/>
      <c r="Z10" s="11"/>
      <c r="AA10" s="11"/>
      <c r="AB10" s="11"/>
    </row>
    <row r="11" ht="70.5" customHeight="1">
      <c r="A11" s="13" t="s">
        <v>113</v>
      </c>
      <c r="B11" s="32" t="s">
        <v>127</v>
      </c>
      <c r="C11" s="63">
        <v>122.0</v>
      </c>
      <c r="D11" s="38" t="s">
        <v>128</v>
      </c>
      <c r="E11" s="107">
        <f>N13/60/60/24</f>
        <v>0.01666666667</v>
      </c>
      <c r="F11" s="39">
        <v>16.0</v>
      </c>
      <c r="G11" s="45">
        <v>86400.0</v>
      </c>
      <c r="H11" s="49">
        <f t="shared" si="2"/>
        <v>198720</v>
      </c>
      <c r="I11" s="49">
        <f t="shared" si="3"/>
        <v>94590.86183</v>
      </c>
      <c r="J11" s="49">
        <f t="shared" ref="J11:J12" si="7">CEILING((SUM($C$3:$C$8)+SUM($F$3:$F$8)+COUNT($C$3:$C$8)*$R$3)/$R$10,1)*($E$3*$G$3)*$R$14*((H11+E11*G11*$R$3)/(SUM($H$3:$H$8)+$R$3*SUMPRODUCT($E$3:$E$8,$G$3:$G$8)+$H$11+$R$3*$E$11*$G$11+$H$12+$R$3*$E$12*$G$12))</f>
        <v>293310.8618</v>
      </c>
      <c r="K11" s="69">
        <f t="shared" si="5"/>
        <v>0.04705809732</v>
      </c>
      <c r="L11" s="11"/>
      <c r="M11" s="87" t="s">
        <v>78</v>
      </c>
      <c r="N11" s="89">
        <v>0.2</v>
      </c>
      <c r="O11" s="90"/>
      <c r="P11" s="11"/>
      <c r="Q11" s="32" t="s">
        <v>130</v>
      </c>
      <c r="R11" s="72">
        <v>13.0</v>
      </c>
      <c r="S11" s="32" t="s">
        <v>74</v>
      </c>
      <c r="T11" s="11"/>
      <c r="U11" s="11"/>
      <c r="V11" s="11"/>
      <c r="W11" s="11"/>
      <c r="X11" s="11"/>
      <c r="Y11" s="11"/>
      <c r="Z11" s="11"/>
      <c r="AA11" s="11"/>
      <c r="AB11" s="11"/>
    </row>
    <row r="12" ht="39.0" customHeight="1">
      <c r="A12" s="13" t="s">
        <v>132</v>
      </c>
      <c r="B12" s="32" t="s">
        <v>133</v>
      </c>
      <c r="C12" s="37">
        <v>90.0</v>
      </c>
      <c r="D12" s="38" t="s">
        <v>134</v>
      </c>
      <c r="E12" s="39">
        <f>1/(5*60)</f>
        <v>0.003333333333</v>
      </c>
      <c r="F12" s="39">
        <v>16.0</v>
      </c>
      <c r="G12" s="45">
        <f>24*60*60</f>
        <v>86400</v>
      </c>
      <c r="H12" s="49">
        <f t="shared" si="2"/>
        <v>30528</v>
      </c>
      <c r="I12" s="49">
        <f t="shared" si="3"/>
        <v>15098.13406</v>
      </c>
      <c r="J12" s="49">
        <f t="shared" si="7"/>
        <v>45626.13406</v>
      </c>
      <c r="K12" s="69">
        <f t="shared" si="5"/>
        <v>0.007320148473</v>
      </c>
      <c r="L12" s="11"/>
      <c r="M12" s="25" t="s">
        <v>137</v>
      </c>
      <c r="N12" s="5"/>
      <c r="O12" s="9"/>
      <c r="P12" s="11"/>
      <c r="Q12" s="32" t="s">
        <v>138</v>
      </c>
      <c r="R12" s="72">
        <f>R5+R11+R3</f>
        <v>487</v>
      </c>
      <c r="S12" s="32" t="s">
        <v>74</v>
      </c>
      <c r="T12" s="11"/>
      <c r="U12" s="11"/>
      <c r="V12" s="11"/>
      <c r="W12" s="11"/>
      <c r="X12" s="11"/>
      <c r="Y12" s="11"/>
      <c r="Z12" s="11"/>
      <c r="AA12" s="11"/>
      <c r="AB12" s="11"/>
    </row>
    <row r="13" ht="33.75" customHeight="1">
      <c r="A13" s="121" t="s">
        <v>40</v>
      </c>
      <c r="B13" s="122" t="s">
        <v>141</v>
      </c>
      <c r="C13" s="123">
        <f>R18</f>
        <v>32</v>
      </c>
      <c r="D13" s="124" t="s">
        <v>142</v>
      </c>
      <c r="E13" s="125">
        <f>R17/G13</f>
        <v>0.2013888889</v>
      </c>
      <c r="F13" s="125">
        <v>0.0</v>
      </c>
      <c r="G13" s="126">
        <v>86400.0</v>
      </c>
      <c r="H13" s="127">
        <f>R17*R18+R19*R20</f>
        <v>556800</v>
      </c>
      <c r="I13" s="127">
        <f t="shared" si="3"/>
        <v>76008</v>
      </c>
      <c r="J13" s="127">
        <f>(CEILING(CEILING((CEILING($R$17/$R$19,1)*$R$18+$R$20)/$R$5,1)/$R$13,1)+$R$21)*$R$19*$R$14</f>
        <v>632808</v>
      </c>
      <c r="K13" s="130">
        <f t="shared" si="5"/>
        <v>0.101526211</v>
      </c>
      <c r="L13" s="11"/>
      <c r="M13" s="82" t="s">
        <v>147</v>
      </c>
      <c r="N13" s="131">
        <f>86400/60</f>
        <v>1440</v>
      </c>
      <c r="O13" s="71" t="s">
        <v>148</v>
      </c>
      <c r="P13" s="11"/>
      <c r="Q13" s="32" t="s">
        <v>149</v>
      </c>
      <c r="R13" s="72">
        <f>FLOOR(R10/R12,1)</f>
        <v>2</v>
      </c>
      <c r="S13" s="32" t="s">
        <v>150</v>
      </c>
      <c r="T13" s="11"/>
      <c r="U13" s="11"/>
      <c r="V13" s="11"/>
      <c r="W13" s="11"/>
      <c r="X13" s="11"/>
      <c r="Y13" s="11"/>
      <c r="Z13" s="11"/>
      <c r="AA13" s="11"/>
      <c r="AB13" s="11"/>
    </row>
    <row r="14" ht="29.25" customHeight="1">
      <c r="A14" s="132" t="s">
        <v>151</v>
      </c>
      <c r="B14" s="8"/>
      <c r="C14" s="8"/>
      <c r="D14" s="8"/>
      <c r="E14" s="8"/>
      <c r="F14" s="8"/>
      <c r="G14" s="10"/>
      <c r="H14" s="133">
        <f t="shared" ref="H14:K14" si="8">SUM(H3:H13)</f>
        <v>5351328</v>
      </c>
      <c r="I14" s="133">
        <f t="shared" si="8"/>
        <v>881624</v>
      </c>
      <c r="J14" s="133">
        <f t="shared" si="8"/>
        <v>6232952</v>
      </c>
      <c r="K14" s="134">
        <f t="shared" si="8"/>
        <v>1</v>
      </c>
      <c r="L14" s="11"/>
      <c r="M14" s="82" t="s">
        <v>153</v>
      </c>
      <c r="N14" s="131">
        <f>H9+H10</f>
        <v>3983520</v>
      </c>
      <c r="O14" s="71" t="s">
        <v>85</v>
      </c>
      <c r="P14" s="11"/>
      <c r="Q14" s="32" t="s">
        <v>155</v>
      </c>
      <c r="R14" s="72">
        <f>R6+R15+R16</f>
        <v>1034</v>
      </c>
      <c r="S14" s="32" t="s">
        <v>81</v>
      </c>
      <c r="T14" s="11"/>
      <c r="U14" s="11"/>
      <c r="V14" s="11"/>
      <c r="W14" s="11"/>
      <c r="X14" s="11"/>
      <c r="Y14" s="11"/>
      <c r="Z14" s="11"/>
      <c r="AA14" s="11"/>
      <c r="AB14" s="11"/>
    </row>
    <row r="15" ht="20.25" customHeight="1">
      <c r="A15" s="11"/>
      <c r="B15" s="11"/>
      <c r="C15" s="11"/>
      <c r="D15" s="11"/>
      <c r="E15" s="11"/>
      <c r="F15" s="11"/>
      <c r="G15" s="11"/>
      <c r="H15" s="136"/>
      <c r="I15" s="136"/>
      <c r="J15" s="136"/>
      <c r="K15" s="137"/>
      <c r="L15" s="11"/>
      <c r="M15" s="82" t="s">
        <v>157</v>
      </c>
      <c r="N15" s="131">
        <v>4.0</v>
      </c>
      <c r="O15" s="71" t="s">
        <v>158</v>
      </c>
      <c r="P15" s="11"/>
      <c r="Q15" s="32" t="s">
        <v>159</v>
      </c>
      <c r="R15" s="72">
        <v>6.0</v>
      </c>
      <c r="S15" s="32" t="s">
        <v>81</v>
      </c>
      <c r="T15" s="11"/>
      <c r="U15" s="11"/>
      <c r="V15" s="11"/>
      <c r="W15" s="11"/>
      <c r="X15" s="11"/>
      <c r="Y15" s="11"/>
      <c r="Z15" s="11"/>
      <c r="AA15" s="11"/>
      <c r="AB15" s="11"/>
    </row>
    <row r="16" ht="14.25" customHeight="1">
      <c r="A16" s="7" t="s">
        <v>160</v>
      </c>
      <c r="B16" s="8"/>
      <c r="C16" s="8"/>
      <c r="D16" s="8"/>
      <c r="E16" s="8"/>
      <c r="F16" s="8"/>
      <c r="G16" s="8"/>
      <c r="H16" s="10"/>
      <c r="I16" s="136"/>
      <c r="J16" s="136"/>
      <c r="K16" s="11"/>
      <c r="L16" s="11"/>
      <c r="M16" s="25" t="s">
        <v>161</v>
      </c>
      <c r="N16" s="5"/>
      <c r="O16" s="9"/>
      <c r="P16" s="11"/>
      <c r="Q16" s="32" t="s">
        <v>162</v>
      </c>
      <c r="R16" s="72">
        <v>4.0</v>
      </c>
      <c r="S16" s="32" t="s">
        <v>81</v>
      </c>
      <c r="T16" s="11"/>
      <c r="U16" s="11"/>
      <c r="V16" s="11"/>
      <c r="W16" s="11"/>
      <c r="X16" s="11"/>
      <c r="Y16" s="11"/>
      <c r="Z16" s="11"/>
      <c r="AA16" s="11"/>
      <c r="AB16" s="11"/>
    </row>
    <row r="17" ht="25.5" customHeight="1">
      <c r="A17" s="141" t="s">
        <v>14</v>
      </c>
      <c r="B17" s="142" t="s">
        <v>16</v>
      </c>
      <c r="C17" s="143" t="s">
        <v>17</v>
      </c>
      <c r="D17" s="142" t="s">
        <v>18</v>
      </c>
      <c r="E17" s="142" t="s">
        <v>163</v>
      </c>
      <c r="F17" s="142" t="s">
        <v>164</v>
      </c>
      <c r="G17" s="142" t="s">
        <v>22</v>
      </c>
      <c r="H17" s="144" t="s">
        <v>165</v>
      </c>
      <c r="I17" s="11"/>
      <c r="J17" s="11"/>
      <c r="K17" s="11"/>
      <c r="L17" s="11"/>
      <c r="M17" s="82" t="s">
        <v>166</v>
      </c>
      <c r="N17" s="131">
        <v>24.0</v>
      </c>
      <c r="O17" s="71" t="s">
        <v>167</v>
      </c>
      <c r="P17" s="11"/>
      <c r="Q17" s="32" t="s">
        <v>168</v>
      </c>
      <c r="R17" s="79">
        <v>17400.0</v>
      </c>
      <c r="S17" s="32" t="s">
        <v>169</v>
      </c>
      <c r="T17" s="11"/>
      <c r="U17" s="11"/>
      <c r="V17" s="11"/>
      <c r="W17" s="11"/>
      <c r="X17" s="11"/>
      <c r="Y17" s="11"/>
      <c r="Z17" s="11"/>
      <c r="AA17" s="11"/>
      <c r="AB17" s="11"/>
    </row>
    <row r="18" ht="81.0" customHeight="1">
      <c r="A18" s="145" t="s">
        <v>40</v>
      </c>
      <c r="B18" s="32" t="s">
        <v>42</v>
      </c>
      <c r="C18" s="37">
        <v>316.0</v>
      </c>
      <c r="D18" s="38" t="s">
        <v>171</v>
      </c>
      <c r="E18" s="39">
        <v>5.0</v>
      </c>
      <c r="F18" s="39">
        <v>15.0</v>
      </c>
      <c r="G18" s="45">
        <f t="shared" ref="G18:G23" si="9">24*3600</f>
        <v>86400</v>
      </c>
      <c r="H18" s="150">
        <f t="shared" ref="H18:H23" si="10">G18*E18*(F18+C18)</f>
        <v>142992000</v>
      </c>
      <c r="I18" s="11"/>
      <c r="J18" s="11"/>
      <c r="K18" s="11"/>
      <c r="L18" s="11"/>
      <c r="M18" s="25" t="s">
        <v>172</v>
      </c>
      <c r="N18" s="5"/>
      <c r="O18" s="9"/>
      <c r="P18" s="11"/>
      <c r="Q18" s="32" t="s">
        <v>173</v>
      </c>
      <c r="R18" s="79">
        <v>32.0</v>
      </c>
      <c r="S18" s="32" t="s">
        <v>174</v>
      </c>
      <c r="T18" s="11"/>
      <c r="U18" s="11"/>
      <c r="V18" s="11"/>
      <c r="W18" s="11"/>
      <c r="X18" s="11"/>
      <c r="Y18" s="11"/>
      <c r="Z18" s="11"/>
      <c r="AA18" s="11"/>
      <c r="AB18" s="11"/>
    </row>
    <row r="19" ht="35.25" customHeight="1">
      <c r="A19" s="145" t="s">
        <v>75</v>
      </c>
      <c r="B19" s="32" t="s">
        <v>76</v>
      </c>
      <c r="C19" s="37">
        <v>53.0</v>
      </c>
      <c r="D19" s="38" t="s">
        <v>171</v>
      </c>
      <c r="E19" s="39">
        <v>5.0</v>
      </c>
      <c r="F19" s="39">
        <v>15.0</v>
      </c>
      <c r="G19" s="45">
        <f t="shared" si="9"/>
        <v>86400</v>
      </c>
      <c r="H19" s="150">
        <f t="shared" si="10"/>
        <v>29376000</v>
      </c>
      <c r="I19" s="11"/>
      <c r="J19" s="11"/>
      <c r="K19" s="11"/>
      <c r="L19" s="11"/>
      <c r="M19" s="152" t="s">
        <v>175</v>
      </c>
      <c r="N19" s="49">
        <f>J14</f>
        <v>6232952</v>
      </c>
      <c r="O19" s="49" t="s">
        <v>85</v>
      </c>
      <c r="P19" s="11"/>
      <c r="Q19" s="32" t="s">
        <v>176</v>
      </c>
      <c r="R19" s="79">
        <f>N4</f>
        <v>6</v>
      </c>
      <c r="S19" s="32" t="s">
        <v>177</v>
      </c>
      <c r="T19" s="11"/>
      <c r="U19" s="11"/>
      <c r="V19" s="136"/>
      <c r="W19" s="11"/>
      <c r="X19" s="11"/>
      <c r="Y19" s="11"/>
      <c r="Z19" s="11"/>
      <c r="AA19" s="11"/>
      <c r="AB19" s="11"/>
    </row>
    <row r="20" ht="43.5" customHeight="1">
      <c r="A20" s="145" t="s">
        <v>87</v>
      </c>
      <c r="B20" s="32" t="s">
        <v>88</v>
      </c>
      <c r="C20" s="37">
        <v>268.0</v>
      </c>
      <c r="D20" s="38" t="s">
        <v>171</v>
      </c>
      <c r="E20" s="39">
        <f>5</f>
        <v>5</v>
      </c>
      <c r="F20" s="39">
        <v>15.0</v>
      </c>
      <c r="G20" s="45">
        <f t="shared" si="9"/>
        <v>86400</v>
      </c>
      <c r="H20" s="150">
        <f t="shared" si="10"/>
        <v>122256000</v>
      </c>
      <c r="I20" s="11"/>
      <c r="J20" s="11"/>
      <c r="K20" s="11"/>
      <c r="L20" s="11"/>
      <c r="M20" s="152" t="s">
        <v>178</v>
      </c>
      <c r="N20" s="49">
        <f>N19*(1+N11)</f>
        <v>7479542.4</v>
      </c>
      <c r="O20" s="49" t="s">
        <v>85</v>
      </c>
      <c r="P20" s="11"/>
      <c r="Q20" s="32" t="s">
        <v>179</v>
      </c>
      <c r="R20" s="79">
        <v>0.0</v>
      </c>
      <c r="S20" s="32" t="s">
        <v>180</v>
      </c>
      <c r="T20" s="11"/>
      <c r="U20" s="11"/>
      <c r="V20" s="11"/>
      <c r="W20" s="11"/>
      <c r="X20" s="136"/>
      <c r="Y20" s="11"/>
      <c r="Z20" s="11"/>
      <c r="AA20" s="11"/>
      <c r="AB20" s="11"/>
    </row>
    <row r="21" ht="33.75" customHeight="1">
      <c r="A21" s="145" t="s">
        <v>181</v>
      </c>
      <c r="B21" s="32" t="s">
        <v>95</v>
      </c>
      <c r="C21" s="37">
        <v>40.0</v>
      </c>
      <c r="D21" s="38" t="s">
        <v>182</v>
      </c>
      <c r="E21" s="154">
        <f>1/10</f>
        <v>0.1</v>
      </c>
      <c r="F21" s="39">
        <v>15.0</v>
      </c>
      <c r="G21" s="45">
        <f t="shared" si="9"/>
        <v>86400</v>
      </c>
      <c r="H21" s="150">
        <f t="shared" si="10"/>
        <v>475200</v>
      </c>
      <c r="I21" s="11"/>
      <c r="J21" s="11"/>
      <c r="K21" s="11"/>
      <c r="L21" s="11"/>
      <c r="M21" s="15" t="s">
        <v>96</v>
      </c>
      <c r="N21" s="5"/>
      <c r="O21" s="9"/>
      <c r="P21" s="11"/>
      <c r="Q21" s="32" t="s">
        <v>183</v>
      </c>
      <c r="R21" s="79">
        <v>2.0</v>
      </c>
      <c r="S21" s="32" t="s">
        <v>184</v>
      </c>
      <c r="T21" s="11"/>
      <c r="U21" s="11"/>
      <c r="V21" s="11"/>
      <c r="W21" s="11"/>
      <c r="X21" s="11"/>
      <c r="Y21" s="11"/>
      <c r="Z21" s="11"/>
      <c r="AA21" s="11"/>
      <c r="AB21" s="11"/>
    </row>
    <row r="22" ht="37.5" customHeight="1">
      <c r="A22" s="145" t="s">
        <v>101</v>
      </c>
      <c r="B22" s="32" t="s">
        <v>102</v>
      </c>
      <c r="C22" s="37">
        <v>194.0</v>
      </c>
      <c r="D22" s="38" t="s">
        <v>185</v>
      </c>
      <c r="E22" s="154">
        <f>1/3</f>
        <v>0.3333333333</v>
      </c>
      <c r="F22" s="39">
        <v>15.0</v>
      </c>
      <c r="G22" s="45">
        <f t="shared" si="9"/>
        <v>86400</v>
      </c>
      <c r="H22" s="150">
        <f t="shared" si="10"/>
        <v>6019200</v>
      </c>
      <c r="I22" s="11"/>
      <c r="J22" s="11"/>
      <c r="K22" s="11"/>
      <c r="L22" s="11"/>
      <c r="M22" s="155" t="s">
        <v>186</v>
      </c>
      <c r="N22" s="156">
        <f>N20*8/1000/(N3*N4*60)</f>
        <v>20.77650667</v>
      </c>
      <c r="O22" s="157" t="s">
        <v>187</v>
      </c>
      <c r="P22" s="11"/>
      <c r="Q22" s="11"/>
      <c r="R22" s="11"/>
      <c r="S22" s="11"/>
      <c r="T22" s="11"/>
      <c r="U22" s="11"/>
      <c r="V22" s="11"/>
      <c r="W22" s="11"/>
      <c r="X22" s="11"/>
      <c r="Y22" s="11"/>
      <c r="Z22" s="11"/>
      <c r="AA22" s="11"/>
      <c r="AB22" s="11"/>
    </row>
    <row r="23" ht="39.75" customHeight="1">
      <c r="A23" s="145" t="s">
        <v>108</v>
      </c>
      <c r="B23" s="32" t="s">
        <v>109</v>
      </c>
      <c r="C23" s="37">
        <v>49.0</v>
      </c>
      <c r="D23" s="38" t="s">
        <v>182</v>
      </c>
      <c r="E23" s="39">
        <f>1/10</f>
        <v>0.1</v>
      </c>
      <c r="F23" s="39">
        <v>15.0</v>
      </c>
      <c r="G23" s="45">
        <f t="shared" si="9"/>
        <v>86400</v>
      </c>
      <c r="H23" s="150">
        <f t="shared" si="10"/>
        <v>552960</v>
      </c>
      <c r="I23" s="11"/>
      <c r="J23" s="11"/>
      <c r="K23" s="11"/>
      <c r="L23" s="11"/>
      <c r="M23" s="158" t="s">
        <v>188</v>
      </c>
      <c r="N23" s="159">
        <f>N13*(C9+C11/2)/1000/1000/1000*(N17/24)</f>
        <v>1.43415504</v>
      </c>
      <c r="O23" s="92" t="s">
        <v>189</v>
      </c>
      <c r="P23" s="11"/>
      <c r="Q23" s="11"/>
      <c r="R23" s="11"/>
      <c r="S23" s="11"/>
      <c r="T23" s="11"/>
      <c r="U23" s="11"/>
      <c r="V23" s="11"/>
      <c r="W23" s="11"/>
      <c r="X23" s="11"/>
      <c r="Y23" s="11"/>
      <c r="Z23" s="11"/>
      <c r="AA23" s="11"/>
      <c r="AB23" s="11"/>
    </row>
    <row r="24" ht="15.75" customHeight="1">
      <c r="A24" s="160" t="s">
        <v>113</v>
      </c>
      <c r="B24" s="161" t="s">
        <v>114</v>
      </c>
      <c r="C24" s="162">
        <f>N6</f>
        <v>3983520</v>
      </c>
      <c r="D24" s="163" t="s">
        <v>128</v>
      </c>
      <c r="E24" s="164">
        <f>N13/60/60/24</f>
        <v>0.01666666667</v>
      </c>
      <c r="F24" s="39">
        <v>64.0</v>
      </c>
      <c r="G24" s="45">
        <v>86400.0</v>
      </c>
      <c r="H24" s="150">
        <f t="shared" ref="H24:H25" si="11">G24*E24*C24</f>
        <v>5736268800</v>
      </c>
      <c r="I24" s="11"/>
      <c r="J24" s="11"/>
      <c r="K24" s="11"/>
      <c r="L24" s="11"/>
      <c r="M24" s="158" t="s">
        <v>190</v>
      </c>
      <c r="N24" s="159">
        <f>N13*(C10+C11/2)/1000/1000/1000*(N17/24)</f>
        <v>1.43415504</v>
      </c>
      <c r="O24" s="92" t="s">
        <v>189</v>
      </c>
      <c r="P24" s="11"/>
      <c r="Q24" s="11"/>
      <c r="R24" s="11"/>
      <c r="S24" s="11"/>
      <c r="T24" s="11"/>
      <c r="U24" s="11"/>
      <c r="V24" s="11"/>
      <c r="W24" s="11"/>
      <c r="X24" s="11"/>
      <c r="Y24" s="11"/>
      <c r="Z24" s="11"/>
      <c r="AA24" s="11"/>
      <c r="AB24" s="11"/>
    </row>
    <row r="25" ht="15.75" customHeight="1">
      <c r="A25" s="160" t="s">
        <v>113</v>
      </c>
      <c r="B25" s="121" t="s">
        <v>119</v>
      </c>
      <c r="C25" s="162">
        <f>N6</f>
        <v>3983520</v>
      </c>
      <c r="D25" s="163" t="s">
        <v>128</v>
      </c>
      <c r="E25" s="164">
        <f>N13/60/60/24</f>
        <v>0.01666666667</v>
      </c>
      <c r="F25" s="39">
        <v>64.0</v>
      </c>
      <c r="G25" s="45">
        <v>86400.0</v>
      </c>
      <c r="H25" s="150">
        <f t="shared" si="11"/>
        <v>5736268800</v>
      </c>
      <c r="I25" s="11"/>
      <c r="J25" s="11"/>
      <c r="K25" s="11"/>
      <c r="L25" s="11"/>
      <c r="M25" s="158" t="s">
        <v>191</v>
      </c>
      <c r="N25" s="159">
        <f>N24+N23</f>
        <v>2.86831008</v>
      </c>
      <c r="O25" s="92" t="s">
        <v>189</v>
      </c>
      <c r="P25" s="11"/>
      <c r="Q25" s="11"/>
      <c r="R25" s="11"/>
      <c r="S25" s="11"/>
      <c r="T25" s="11"/>
      <c r="U25" s="11"/>
      <c r="V25" s="11"/>
      <c r="W25" s="11"/>
      <c r="X25" s="11"/>
      <c r="Y25" s="11"/>
      <c r="Z25" s="11"/>
      <c r="AA25" s="11"/>
      <c r="AB25" s="11"/>
    </row>
    <row r="26" ht="15.75" customHeight="1">
      <c r="A26" s="160" t="s">
        <v>113</v>
      </c>
      <c r="B26" s="121" t="s">
        <v>127</v>
      </c>
      <c r="C26" s="165">
        <v>122.0</v>
      </c>
      <c r="D26" s="163" t="s">
        <v>128</v>
      </c>
      <c r="E26" s="125">
        <f>N13/60/60/24</f>
        <v>0.01666666667</v>
      </c>
      <c r="F26" s="125">
        <v>16.0</v>
      </c>
      <c r="G26" s="126">
        <v>86400.0</v>
      </c>
      <c r="H26" s="166">
        <f>G26*E26*(F26+C26)</f>
        <v>198720</v>
      </c>
      <c r="I26" s="11"/>
      <c r="J26" s="11"/>
      <c r="K26" s="11"/>
      <c r="L26" s="11"/>
      <c r="M26" s="11"/>
      <c r="N26" s="11"/>
      <c r="O26" s="11"/>
      <c r="P26" s="11"/>
      <c r="Q26" s="11"/>
      <c r="R26" s="11"/>
      <c r="S26" s="11"/>
      <c r="T26" s="11"/>
      <c r="U26" s="119"/>
      <c r="V26" s="119"/>
      <c r="W26" s="119"/>
      <c r="X26" s="11"/>
      <c r="Y26" s="11"/>
      <c r="Z26" s="11"/>
      <c r="AA26" s="11"/>
      <c r="AB26" s="11"/>
    </row>
    <row r="27" ht="15.75" customHeight="1">
      <c r="A27" s="121" t="s">
        <v>192</v>
      </c>
      <c r="B27" s="122" t="s">
        <v>193</v>
      </c>
      <c r="C27" s="125">
        <f>32</f>
        <v>32</v>
      </c>
      <c r="D27" s="124" t="s">
        <v>142</v>
      </c>
      <c r="E27" s="125">
        <f>R17/G13</f>
        <v>0.2013888889</v>
      </c>
      <c r="F27" s="125">
        <v>0.0</v>
      </c>
      <c r="G27" s="126">
        <v>86400.0</v>
      </c>
      <c r="H27" s="127">
        <f>R17*R18+R19*R20</f>
        <v>556800</v>
      </c>
      <c r="I27" s="11"/>
      <c r="J27" s="11"/>
      <c r="K27" s="11"/>
      <c r="L27" s="11"/>
      <c r="M27" s="11"/>
      <c r="N27" s="11"/>
      <c r="O27" s="11"/>
      <c r="P27" s="11"/>
      <c r="Q27" s="11"/>
      <c r="R27" s="11"/>
      <c r="S27" s="11"/>
      <c r="T27" s="11"/>
      <c r="U27" s="11"/>
      <c r="V27" s="11"/>
      <c r="W27" s="119"/>
      <c r="X27" s="119"/>
      <c r="Y27" s="119"/>
      <c r="Z27" s="11"/>
      <c r="AA27" s="11"/>
      <c r="AB27" s="11"/>
    </row>
    <row r="28" ht="15.75" customHeight="1">
      <c r="A28" s="167" t="s">
        <v>151</v>
      </c>
      <c r="B28" s="168"/>
      <c r="C28" s="169"/>
      <c r="D28" s="169"/>
      <c r="E28" s="169"/>
      <c r="F28" s="169"/>
      <c r="G28" s="170"/>
      <c r="H28" s="171">
        <f>SUM(H18:H27)</f>
        <v>11774964480</v>
      </c>
      <c r="I28" s="11"/>
      <c r="J28" s="11"/>
      <c r="K28" s="11"/>
      <c r="L28" s="11"/>
      <c r="M28" s="11"/>
      <c r="N28" s="11"/>
      <c r="O28" s="11"/>
      <c r="P28" s="11"/>
      <c r="Q28" s="11"/>
      <c r="R28" s="11"/>
      <c r="S28" s="11"/>
      <c r="T28" s="11"/>
      <c r="U28" s="11"/>
      <c r="V28" s="11"/>
      <c r="W28" s="11"/>
      <c r="X28" s="11"/>
      <c r="Y28" s="11"/>
      <c r="Z28" s="11"/>
      <c r="AA28" s="11"/>
      <c r="AB28" s="11"/>
    </row>
    <row r="29" ht="15.75" customHeight="1">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row>
    <row r="30" ht="15.75" customHeight="1">
      <c r="A30" s="7" t="s">
        <v>86</v>
      </c>
      <c r="B30" s="8"/>
      <c r="C30" s="8"/>
      <c r="D30" s="8"/>
      <c r="E30" s="8"/>
      <c r="F30" s="8"/>
      <c r="G30" s="8"/>
      <c r="H30" s="8"/>
      <c r="I30" s="8"/>
      <c r="J30" s="8"/>
      <c r="K30" s="10"/>
      <c r="L30" s="11"/>
      <c r="M30" s="11"/>
      <c r="N30" s="11"/>
      <c r="O30" s="11"/>
      <c r="P30" s="11"/>
      <c r="Q30" s="11"/>
      <c r="R30" s="11"/>
      <c r="S30" s="11"/>
      <c r="T30" s="11"/>
      <c r="U30" s="11"/>
      <c r="V30" s="11"/>
      <c r="W30" s="11"/>
      <c r="X30" s="11"/>
      <c r="Y30" s="11"/>
      <c r="Z30" s="11"/>
      <c r="AA30" s="11"/>
      <c r="AB30" s="11"/>
    </row>
    <row r="31" ht="15.75" customHeight="1">
      <c r="A31" s="172" t="s">
        <v>194</v>
      </c>
      <c r="B31" s="173"/>
      <c r="C31" s="173"/>
      <c r="D31" s="173"/>
      <c r="E31" s="173"/>
      <c r="F31" s="173"/>
      <c r="G31" s="173"/>
      <c r="H31" s="173"/>
      <c r="I31" s="173"/>
      <c r="J31" s="173"/>
      <c r="K31" s="174"/>
      <c r="L31" s="11"/>
      <c r="M31" s="11"/>
      <c r="N31" s="11"/>
      <c r="O31" s="11"/>
      <c r="P31" s="11"/>
      <c r="Q31" s="11"/>
      <c r="R31" s="11"/>
      <c r="S31" s="11"/>
      <c r="T31" s="11"/>
      <c r="U31" s="11"/>
      <c r="V31" s="11"/>
      <c r="W31" s="11"/>
      <c r="X31" s="11"/>
      <c r="Y31" s="11"/>
      <c r="Z31" s="11"/>
      <c r="AA31" s="11"/>
      <c r="AB31" s="11"/>
    </row>
    <row r="32" ht="15.75" customHeight="1">
      <c r="A32" s="175" t="s">
        <v>195</v>
      </c>
      <c r="B32" s="5"/>
      <c r="C32" s="5"/>
      <c r="D32" s="5"/>
      <c r="E32" s="5"/>
      <c r="F32" s="5"/>
      <c r="G32" s="5"/>
      <c r="H32" s="5"/>
      <c r="I32" s="5"/>
      <c r="J32" s="5"/>
      <c r="K32" s="9"/>
      <c r="L32" s="11"/>
      <c r="M32" s="11"/>
      <c r="N32" s="11"/>
      <c r="O32" s="11"/>
      <c r="P32" s="11"/>
      <c r="Q32" s="11"/>
      <c r="R32" s="11"/>
      <c r="S32" s="11"/>
      <c r="T32" s="11"/>
      <c r="U32" s="11"/>
      <c r="V32" s="11"/>
      <c r="W32" s="11"/>
      <c r="X32" s="11"/>
      <c r="Y32" s="11"/>
      <c r="Z32" s="11"/>
      <c r="AA32" s="11"/>
      <c r="AB32" s="11"/>
    </row>
    <row r="33" ht="15.75" customHeight="1">
      <c r="A33" s="175" t="s">
        <v>196</v>
      </c>
      <c r="B33" s="5"/>
      <c r="C33" s="5"/>
      <c r="D33" s="5"/>
      <c r="E33" s="5"/>
      <c r="F33" s="5"/>
      <c r="G33" s="5"/>
      <c r="H33" s="5"/>
      <c r="I33" s="5"/>
      <c r="J33" s="5"/>
      <c r="K33" s="9"/>
      <c r="L33" s="11"/>
      <c r="M33" s="11"/>
      <c r="N33" s="11"/>
      <c r="O33" s="11"/>
      <c r="P33" s="11"/>
      <c r="Q33" s="11"/>
      <c r="R33" s="11"/>
      <c r="S33" s="11"/>
      <c r="T33" s="11"/>
      <c r="U33" s="11"/>
      <c r="V33" s="11"/>
      <c r="W33" s="11"/>
      <c r="X33" s="11"/>
      <c r="Y33" s="11"/>
      <c r="Z33" s="11"/>
      <c r="AA33" s="11"/>
      <c r="AB33" s="11"/>
    </row>
    <row r="34" ht="15.75" customHeight="1">
      <c r="A34" s="175" t="s">
        <v>197</v>
      </c>
      <c r="B34" s="5"/>
      <c r="C34" s="5"/>
      <c r="D34" s="5"/>
      <c r="E34" s="5"/>
      <c r="F34" s="5"/>
      <c r="G34" s="5"/>
      <c r="H34" s="5"/>
      <c r="I34" s="5"/>
      <c r="J34" s="5"/>
      <c r="K34" s="9"/>
      <c r="L34" s="11"/>
      <c r="M34" s="11"/>
      <c r="N34" s="11"/>
      <c r="O34" s="11"/>
      <c r="P34" s="11"/>
      <c r="Q34" s="11"/>
      <c r="R34" s="11"/>
      <c r="S34" s="11"/>
      <c r="T34" s="11"/>
      <c r="U34" s="11"/>
      <c r="V34" s="11"/>
      <c r="W34" s="11"/>
      <c r="X34" s="11"/>
      <c r="Y34" s="11"/>
      <c r="Z34" s="11"/>
      <c r="AA34" s="11"/>
      <c r="AB34" s="11"/>
    </row>
    <row r="35" ht="15.75" customHeight="1">
      <c r="A35" s="175" t="s">
        <v>198</v>
      </c>
      <c r="B35" s="5"/>
      <c r="C35" s="5"/>
      <c r="D35" s="5"/>
      <c r="E35" s="5"/>
      <c r="F35" s="5"/>
      <c r="G35" s="5"/>
      <c r="H35" s="5"/>
      <c r="I35" s="5"/>
      <c r="J35" s="5"/>
      <c r="K35" s="9"/>
      <c r="L35" s="11"/>
      <c r="M35" s="11"/>
      <c r="N35" s="11"/>
      <c r="O35" s="11"/>
      <c r="P35" s="11"/>
      <c r="Q35" s="119"/>
      <c r="R35" s="11"/>
      <c r="S35" s="11"/>
      <c r="T35" s="11"/>
      <c r="U35" s="11"/>
      <c r="V35" s="11"/>
      <c r="W35" s="11"/>
      <c r="X35" s="11"/>
      <c r="Y35" s="11"/>
      <c r="Z35" s="11"/>
      <c r="AA35" s="11"/>
      <c r="AB35" s="11"/>
    </row>
    <row r="36" ht="30.75" customHeight="1">
      <c r="A36" s="176" t="s">
        <v>199</v>
      </c>
      <c r="B36" s="5"/>
      <c r="C36" s="5"/>
      <c r="D36" s="5"/>
      <c r="E36" s="5"/>
      <c r="F36" s="5"/>
      <c r="G36" s="5"/>
      <c r="H36" s="5"/>
      <c r="I36" s="5"/>
      <c r="J36" s="5"/>
      <c r="K36" s="9"/>
      <c r="L36" s="11"/>
      <c r="M36" s="11"/>
      <c r="N36" s="11"/>
      <c r="O36" s="11"/>
      <c r="P36" s="11"/>
      <c r="Q36" s="11"/>
      <c r="R36" s="11"/>
      <c r="S36" s="11"/>
      <c r="T36" s="11"/>
      <c r="U36" s="11"/>
      <c r="V36" s="11"/>
      <c r="W36" s="11"/>
      <c r="X36" s="11"/>
      <c r="Y36" s="11"/>
      <c r="Z36" s="11"/>
      <c r="AA36" s="11"/>
      <c r="AB36" s="11"/>
    </row>
    <row r="37" ht="15.75" customHeight="1">
      <c r="A37" s="177" t="s">
        <v>200</v>
      </c>
      <c r="B37" s="178"/>
      <c r="C37" s="178"/>
      <c r="D37" s="178"/>
      <c r="E37" s="178"/>
      <c r="F37" s="178"/>
      <c r="G37" s="178"/>
      <c r="H37" s="178"/>
      <c r="I37" s="178"/>
      <c r="J37" s="178"/>
      <c r="K37" s="179"/>
      <c r="L37" s="11"/>
      <c r="M37" s="11"/>
      <c r="N37" s="11"/>
      <c r="O37" s="11"/>
      <c r="P37" s="11"/>
      <c r="Q37" s="11"/>
      <c r="R37" s="11"/>
      <c r="S37" s="11"/>
      <c r="T37" s="11"/>
      <c r="U37" s="11"/>
      <c r="V37" s="11"/>
      <c r="W37" s="11"/>
      <c r="X37" s="11"/>
      <c r="Y37" s="11"/>
      <c r="Z37" s="11"/>
      <c r="AA37" s="11"/>
      <c r="AB37" s="11"/>
    </row>
    <row r="38" ht="15.75" customHeight="1">
      <c r="A38" s="180" t="s">
        <v>201</v>
      </c>
      <c r="B38" s="8"/>
      <c r="C38" s="8"/>
      <c r="D38" s="8"/>
      <c r="E38" s="8"/>
      <c r="F38" s="8"/>
      <c r="G38" s="8"/>
      <c r="H38" s="8"/>
      <c r="I38" s="8"/>
      <c r="J38" s="8"/>
      <c r="K38" s="10"/>
      <c r="L38" s="11"/>
      <c r="M38" s="11"/>
      <c r="N38" s="11"/>
      <c r="O38" s="11"/>
      <c r="P38" s="11"/>
      <c r="Q38" s="11"/>
      <c r="R38" s="11"/>
      <c r="S38" s="11"/>
      <c r="T38" s="11"/>
      <c r="U38" s="11"/>
      <c r="V38" s="11"/>
      <c r="W38" s="11"/>
      <c r="X38" s="11"/>
      <c r="Y38" s="11"/>
      <c r="Z38" s="11"/>
      <c r="AA38" s="11"/>
      <c r="AB38" s="11"/>
    </row>
    <row r="39" ht="15.75" customHeight="1">
      <c r="A39" s="11"/>
      <c r="B39" s="11"/>
      <c r="C39" s="11"/>
      <c r="D39" s="11"/>
      <c r="E39" s="11"/>
      <c r="F39" s="11"/>
      <c r="G39" s="11"/>
      <c r="H39" s="11"/>
      <c r="I39" s="11"/>
      <c r="J39" s="181"/>
      <c r="K39" s="11"/>
      <c r="L39" s="11"/>
      <c r="M39" s="11"/>
      <c r="N39" s="11"/>
      <c r="O39" s="11"/>
      <c r="P39" s="11"/>
      <c r="Q39" s="11"/>
      <c r="R39" s="11"/>
      <c r="S39" s="11"/>
      <c r="T39" s="11"/>
      <c r="U39" s="11"/>
      <c r="V39" s="11"/>
      <c r="W39" s="11"/>
      <c r="X39" s="11"/>
      <c r="Y39" s="11"/>
      <c r="Z39" s="11"/>
      <c r="AA39" s="11"/>
      <c r="AB39" s="11"/>
    </row>
    <row r="40" ht="15.75" customHeight="1">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row>
    <row r="41" ht="15.75" customHeight="1">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row>
    <row r="42" ht="15.75" customHeight="1">
      <c r="A42" s="11"/>
      <c r="B42" s="11"/>
      <c r="C42" s="11"/>
      <c r="D42" s="11"/>
      <c r="E42" s="11"/>
      <c r="F42" s="11"/>
      <c r="G42" s="11"/>
      <c r="H42" s="11"/>
      <c r="I42" s="182"/>
      <c r="J42" s="11"/>
      <c r="K42" s="11"/>
      <c r="L42" s="11"/>
      <c r="M42" s="11"/>
      <c r="N42" s="11"/>
      <c r="O42" s="11"/>
      <c r="P42" s="11"/>
      <c r="Q42" s="11"/>
      <c r="R42" s="11"/>
      <c r="S42" s="11"/>
      <c r="T42" s="11"/>
      <c r="U42" s="11"/>
      <c r="V42" s="11"/>
      <c r="W42" s="11"/>
      <c r="X42" s="11"/>
      <c r="Y42" s="11"/>
      <c r="Z42" s="11"/>
      <c r="AA42" s="11"/>
      <c r="AB42" s="11"/>
    </row>
    <row r="43" ht="15.75" customHeight="1">
      <c r="A43" s="11"/>
      <c r="B43" s="11"/>
      <c r="C43" s="11"/>
      <c r="D43" s="11"/>
      <c r="E43" s="11"/>
      <c r="F43" s="11"/>
      <c r="G43" s="11"/>
      <c r="H43" s="119"/>
      <c r="I43" s="136"/>
      <c r="J43" s="119"/>
      <c r="K43" s="11"/>
      <c r="L43" s="11"/>
      <c r="M43" s="11"/>
      <c r="N43" s="11"/>
      <c r="O43" s="11"/>
      <c r="P43" s="11"/>
      <c r="Q43" s="11"/>
      <c r="R43" s="11"/>
      <c r="S43" s="11"/>
      <c r="T43" s="11"/>
      <c r="U43" s="11"/>
      <c r="V43" s="11"/>
      <c r="W43" s="11"/>
      <c r="X43" s="11"/>
      <c r="Y43" s="11"/>
      <c r="Z43" s="11"/>
      <c r="AA43" s="11"/>
      <c r="AB43" s="11"/>
    </row>
    <row r="44" ht="15.75" customHeight="1">
      <c r="A44" s="11"/>
      <c r="B44" s="11"/>
      <c r="C44" s="11"/>
      <c r="D44" s="11"/>
      <c r="E44" s="11"/>
      <c r="F44" s="11"/>
      <c r="G44" s="11"/>
      <c r="H44" s="136"/>
      <c r="I44" s="136"/>
      <c r="J44" s="136"/>
      <c r="K44" s="11"/>
      <c r="L44" s="11"/>
      <c r="M44" s="11"/>
      <c r="N44" s="11"/>
      <c r="O44" s="11"/>
      <c r="P44" s="11"/>
      <c r="Q44" s="11"/>
      <c r="R44" s="11"/>
      <c r="S44" s="11"/>
      <c r="T44" s="11"/>
      <c r="U44" s="11"/>
      <c r="V44" s="11"/>
      <c r="W44" s="11"/>
      <c r="X44" s="11"/>
      <c r="Y44" s="11"/>
      <c r="Z44" s="11"/>
      <c r="AA44" s="11"/>
      <c r="AB44" s="11"/>
    </row>
    <row r="45" ht="15.75" customHeight="1">
      <c r="A45" s="11"/>
      <c r="B45" s="11"/>
      <c r="C45" s="11"/>
      <c r="D45" s="11"/>
      <c r="E45" s="11"/>
      <c r="F45" s="11"/>
      <c r="G45" s="11"/>
      <c r="H45" s="119"/>
      <c r="I45" s="11"/>
      <c r="J45" s="119"/>
      <c r="K45" s="11"/>
      <c r="L45" s="11"/>
      <c r="M45" s="11"/>
      <c r="N45" s="11"/>
      <c r="O45" s="11"/>
      <c r="P45" s="11"/>
      <c r="Q45" s="11"/>
      <c r="R45" s="11"/>
      <c r="S45" s="11"/>
      <c r="T45" s="11"/>
      <c r="U45" s="11"/>
      <c r="V45" s="11"/>
      <c r="W45" s="11"/>
      <c r="X45" s="11"/>
      <c r="Y45" s="11"/>
      <c r="Z45" s="11"/>
      <c r="AA45" s="11"/>
      <c r="AB45" s="11"/>
    </row>
    <row r="46" ht="15.75" customHeight="1">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row>
    <row r="47" ht="15.75" customHeight="1">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row>
    <row r="48" ht="15.75" customHeight="1">
      <c r="A48" s="11"/>
      <c r="B48" s="11"/>
      <c r="C48" s="11"/>
      <c r="D48" s="11"/>
      <c r="E48" s="11"/>
      <c r="F48" s="11"/>
      <c r="G48" s="11"/>
      <c r="H48" s="11"/>
      <c r="I48" s="11"/>
      <c r="J48" s="119"/>
      <c r="K48" s="11"/>
      <c r="L48" s="11"/>
      <c r="M48" s="11"/>
      <c r="N48" s="11"/>
      <c r="O48" s="11"/>
      <c r="P48" s="11"/>
      <c r="Q48" s="11"/>
      <c r="R48" s="11"/>
      <c r="S48" s="11"/>
      <c r="T48" s="11"/>
      <c r="U48" s="11"/>
      <c r="V48" s="11"/>
      <c r="W48" s="11"/>
      <c r="X48" s="11"/>
      <c r="Y48" s="11"/>
      <c r="Z48" s="11"/>
      <c r="AA48" s="11"/>
      <c r="AB48" s="11"/>
    </row>
    <row r="49" ht="15.75" customHeight="1">
      <c r="A49" s="11"/>
      <c r="B49" s="11"/>
      <c r="C49" s="11"/>
      <c r="D49" s="11"/>
      <c r="E49" s="11"/>
      <c r="F49" s="11"/>
      <c r="G49" s="11"/>
      <c r="H49" s="11"/>
      <c r="I49" s="11"/>
      <c r="J49" s="119"/>
      <c r="K49" s="11"/>
      <c r="L49" s="11"/>
      <c r="M49" s="11"/>
      <c r="N49" s="11"/>
      <c r="O49" s="11"/>
      <c r="P49" s="11"/>
      <c r="Q49" s="11"/>
      <c r="R49" s="11"/>
      <c r="S49" s="11"/>
      <c r="T49" s="11"/>
      <c r="U49" s="11"/>
      <c r="V49" s="11"/>
      <c r="W49" s="11"/>
      <c r="X49" s="11"/>
      <c r="Y49" s="11"/>
      <c r="Z49" s="11"/>
      <c r="AA49" s="11"/>
      <c r="AB49" s="11"/>
    </row>
    <row r="50" ht="15.75" customHeight="1">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row>
    <row r="51" ht="15.75" customHeight="1">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row>
    <row r="52" ht="15.75" customHeight="1">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row>
    <row r="53" ht="15.75"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row>
    <row r="54" ht="15.7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row>
    <row r="55" ht="15.75"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row>
    <row r="56" ht="15.7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row>
    <row r="57" ht="15.75" customHeight="1">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row>
    <row r="58" ht="15.75" customHeight="1">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row>
    <row r="59" ht="15.75" customHeight="1">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row>
    <row r="60" ht="15.75" customHeight="1">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row>
    <row r="61" ht="15.75" customHeight="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row>
    <row r="62" ht="15.75" customHeight="1">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row>
    <row r="63" ht="15.75" customHeight="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row>
    <row r="64" ht="15.75"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row>
    <row r="65" ht="15.75" customHeight="1">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row>
    <row r="66" ht="15.75" customHeight="1">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row>
    <row r="67" ht="15.75" customHeight="1">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row>
    <row r="68" ht="15.75" customHeight="1">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row>
    <row r="69" ht="15.75" customHeight="1">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row>
    <row r="70" ht="15.75" customHeight="1">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row>
    <row r="71" ht="15.75" customHeight="1">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row>
    <row r="72" ht="15.75" customHeight="1">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row>
    <row r="73" ht="15.75" customHeight="1">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row>
    <row r="74" ht="15.75" customHeight="1">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row>
    <row r="75" ht="15.75" customHeight="1">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row>
    <row r="76" ht="15.75" customHeight="1">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row>
    <row r="77" ht="15.75" customHeight="1">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row>
    <row r="78" ht="15.75" customHeight="1">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row>
    <row r="79" ht="15.75" customHeight="1">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row>
    <row r="80" ht="15.75" customHeight="1">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row>
    <row r="81" ht="15.75" customHeight="1">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row>
    <row r="82" ht="15.75" customHeight="1">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row>
    <row r="83" ht="15.75" customHeight="1">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row>
    <row r="84" ht="15.75" customHeight="1">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row>
    <row r="85" ht="15.75" customHeight="1">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row>
    <row r="86" ht="15.75" customHeight="1">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row>
    <row r="87" ht="15.75" customHeight="1">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row>
    <row r="88" ht="15.75" customHeight="1">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row>
    <row r="89" ht="15.75" customHeight="1">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row>
    <row r="90" ht="15.75" customHeight="1">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row>
    <row r="91" ht="15.75" customHeight="1">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row>
    <row r="92" ht="15.75" customHeight="1">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row>
    <row r="93" ht="15.75" customHeight="1">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row>
    <row r="94" ht="15.75" customHeight="1">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row>
    <row r="95" ht="15.75" customHeight="1">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row>
    <row r="96" ht="15.75" customHeight="1">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row>
    <row r="97" ht="15.75" customHeight="1">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row>
    <row r="98" ht="15.75" customHeight="1">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row>
    <row r="99" ht="15.75" customHeight="1">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row>
    <row r="100" ht="15.75" customHeight="1">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row>
    <row r="101" ht="15.75" customHeight="1">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row>
    <row r="102" ht="15.75" customHeight="1">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row>
    <row r="103" ht="15.75" customHeight="1">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row>
    <row r="104" ht="15.75" customHeight="1">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row>
    <row r="105" ht="15.75" customHeight="1">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row>
    <row r="106" ht="15.75" customHeight="1">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row>
    <row r="107" ht="15.75" customHeight="1">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row>
    <row r="108" ht="15.75" customHeight="1">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row>
    <row r="109" ht="15.75" customHeight="1">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row>
    <row r="110" ht="15.75" customHeight="1">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row>
    <row r="111" ht="15.75" customHeight="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row>
    <row r="112" ht="15.75" customHeight="1">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row>
    <row r="113" ht="15.75" customHeight="1">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row>
    <row r="114" ht="15.75" customHeight="1">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row>
    <row r="115" ht="15.75" customHeight="1">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row>
    <row r="116" ht="15.75" customHeight="1">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row>
    <row r="117" ht="15.75" customHeight="1">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row>
    <row r="118" ht="15.75" customHeight="1">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row>
    <row r="119" ht="15.75" customHeight="1">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row>
    <row r="120" ht="15.75" customHeight="1">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row>
    <row r="121" ht="15.75" customHeight="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row>
    <row r="122" ht="15.75" customHeight="1">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row>
    <row r="123" ht="15.75" customHeight="1">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row>
    <row r="124" ht="15.75" customHeight="1">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row>
    <row r="125" ht="15.75" customHeight="1">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row>
    <row r="126" ht="15.75" customHeight="1">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row>
    <row r="127" ht="15.75" customHeight="1">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row>
    <row r="128" ht="15.75" customHeight="1">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row>
    <row r="129" ht="15.75" customHeight="1">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row>
    <row r="130" ht="15.75" customHeight="1">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row>
    <row r="131" ht="15.75" customHeight="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row>
    <row r="132" ht="15.75" customHeight="1">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row>
    <row r="133" ht="15.75" customHeight="1">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row>
    <row r="134" ht="15.75" customHeight="1">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row>
    <row r="135" ht="15.75" customHeight="1">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row>
    <row r="136" ht="15.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row>
    <row r="137" ht="15.75" customHeight="1">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row>
    <row r="138" ht="15.75" customHeight="1">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row>
    <row r="139" ht="15.75" customHeight="1">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row>
    <row r="140" ht="15.75" customHeight="1">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row>
    <row r="141" ht="15.75" customHeight="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row>
    <row r="142" ht="15.75" customHeight="1">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row>
    <row r="143" ht="15.75" customHeight="1">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row>
    <row r="144" ht="15.75" customHeight="1">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row>
    <row r="145" ht="15.75" customHeight="1">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row>
    <row r="146" ht="15.75" customHeight="1">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row>
    <row r="147" ht="15.75" customHeight="1">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row>
    <row r="148" ht="15.75" customHeight="1">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row>
    <row r="149" ht="15.75" customHeight="1">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row>
    <row r="150" ht="15.75" customHeight="1">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row>
    <row r="151" ht="15.75" customHeight="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row>
    <row r="152" ht="15.75" customHeight="1">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row>
    <row r="153" ht="15.75" customHeight="1">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row>
    <row r="154" ht="15.75" customHeight="1">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row>
    <row r="155" ht="15.75" customHeight="1">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row>
    <row r="156" ht="15.75" customHeight="1">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row>
    <row r="157" ht="15.75" customHeight="1">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row>
    <row r="158" ht="15.75" customHeight="1">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row>
    <row r="159" ht="15.75" customHeight="1">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row>
    <row r="160" ht="15.75" customHeight="1">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row>
    <row r="161" ht="15.75" customHeight="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row>
    <row r="162" ht="15.75" customHeight="1">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row>
    <row r="163" ht="15.75" customHeight="1">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row>
    <row r="164" ht="15.75" customHeight="1">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row>
    <row r="165" ht="15.75" customHeight="1">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row>
    <row r="166" ht="15.75" customHeight="1">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row>
    <row r="167" ht="15.75" customHeight="1">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row>
    <row r="168" ht="15.75" customHeight="1">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row>
    <row r="169" ht="15.75" customHeight="1">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row>
    <row r="170" ht="15.75" customHeight="1">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row>
    <row r="171" ht="15.75" customHeight="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row>
    <row r="172" ht="15.75" customHeight="1">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row>
    <row r="173" ht="15.75" customHeight="1">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row>
    <row r="174" ht="15.75" customHeight="1">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row>
    <row r="175" ht="15.75" customHeight="1">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row>
    <row r="176" ht="15.75" customHeight="1">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row>
    <row r="177" ht="15.75" customHeight="1">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row>
    <row r="178" ht="15.75" customHeight="1">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row>
    <row r="179" ht="15.75" customHeight="1">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row>
    <row r="180" ht="15.75" customHeight="1">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row>
    <row r="181" ht="15.75" customHeight="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row>
    <row r="182" ht="15.75" customHeight="1">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row>
    <row r="183" ht="15.75" customHeight="1">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row>
    <row r="184" ht="15.75" customHeight="1">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row>
    <row r="185" ht="15.75" customHeight="1">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row>
    <row r="186" ht="15.75" customHeight="1">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row>
    <row r="187" ht="15.75" customHeight="1">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row>
    <row r="188" ht="15.75" customHeight="1">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row>
    <row r="189" ht="15.75" customHeight="1">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row>
    <row r="190" ht="15.75" customHeight="1">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row>
    <row r="191" ht="15.75" customHeight="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row>
    <row r="192" ht="15.75" customHeight="1">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row>
    <row r="193" ht="15.75" customHeight="1">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row>
    <row r="194" ht="15.75" customHeight="1">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row>
    <row r="195" ht="15.75" customHeight="1">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row>
    <row r="196" ht="15.75" customHeight="1">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row>
    <row r="197" ht="15.75" customHeight="1">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row>
    <row r="198" ht="15.75" customHeight="1">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row>
    <row r="199" ht="15.75" customHeight="1">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row>
    <row r="200" ht="15.75" customHeight="1">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row>
    <row r="201" ht="15.75" customHeight="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row>
    <row r="202" ht="15.75" customHeight="1">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row>
    <row r="203" ht="15.75" customHeight="1">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row>
    <row r="204" ht="15.75" customHeight="1">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row>
    <row r="205" ht="15.75" customHeight="1">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row>
    <row r="206" ht="15.75" customHeight="1">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row>
    <row r="207" ht="15.75" customHeight="1">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row>
    <row r="208" ht="15.75" customHeight="1">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row>
    <row r="209" ht="15.75" customHeight="1">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row>
    <row r="210" ht="15.75" customHeight="1">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row>
    <row r="211" ht="15.75" customHeight="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row>
    <row r="212" ht="15.75" customHeight="1">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row>
    <row r="213" ht="15.75" customHeight="1">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row>
    <row r="214" ht="15.75" customHeight="1">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11"/>
    </row>
    <row r="215" ht="15.75" customHeight="1">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row>
    <row r="216" ht="15.75" customHeight="1">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row>
    <row r="217" ht="15.75" customHeight="1">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row>
    <row r="218" ht="15.75" customHeight="1">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row>
    <row r="219" ht="15.75" customHeight="1">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row>
    <row r="220" ht="15.75" customHeight="1">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row>
    <row r="221" ht="15.75" customHeight="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row>
    <row r="222" ht="15.75" customHeight="1">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row>
    <row r="223" ht="15.75" customHeight="1">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row>
    <row r="224" ht="15.75" customHeight="1">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row>
    <row r="225" ht="15.75" customHeight="1">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row>
    <row r="226" ht="15.75" customHeight="1">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row>
    <row r="227" ht="15.75" customHeight="1">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row>
    <row r="228" ht="15.75" customHeight="1">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row>
    <row r="229" ht="15.75" customHeight="1">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row>
    <row r="230" ht="15.75" customHeight="1">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c r="AB230" s="11"/>
    </row>
    <row r="231" ht="15.75" customHeight="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row>
    <row r="232" ht="15.75" customHeight="1">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row>
    <row r="233" ht="15.75" customHeight="1">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row>
    <row r="234" ht="15.75" customHeight="1">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c r="AB234" s="11"/>
    </row>
    <row r="235" ht="15.75" customHeight="1">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row>
    <row r="236" ht="15.75" customHeight="1">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row>
    <row r="237" ht="15.75" customHeight="1">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row>
    <row r="238" ht="15.75" customHeight="1">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row>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A1:K1"/>
    <mergeCell ref="M1:O1"/>
    <mergeCell ref="Q1:S1"/>
    <mergeCell ref="M2:O2"/>
    <mergeCell ref="M5:O5"/>
    <mergeCell ref="M10:O10"/>
    <mergeCell ref="M12:O12"/>
    <mergeCell ref="A32:K32"/>
    <mergeCell ref="A33:K33"/>
    <mergeCell ref="A34:K34"/>
    <mergeCell ref="A35:K35"/>
    <mergeCell ref="A36:K36"/>
    <mergeCell ref="A37:K37"/>
    <mergeCell ref="A38:K38"/>
    <mergeCell ref="A14:G14"/>
    <mergeCell ref="A16:H16"/>
    <mergeCell ref="M16:O16"/>
    <mergeCell ref="M18:O18"/>
    <mergeCell ref="M21:O21"/>
    <mergeCell ref="A30:K30"/>
    <mergeCell ref="A31:K31"/>
  </mergeCells>
  <dataValidations>
    <dataValidation type="decimal" allowBlank="1" sqref="R5">
      <formula1>1.0</formula1>
      <formula2>$R$4-$R$11</formula2>
    </dataValidation>
    <dataValidation type="decimal" operator="greaterThanOrEqual" allowBlank="1" sqref="R17:R21">
      <formula1>0.0</formula1>
    </dataValidation>
  </dataValidations>
  <printOptions/>
  <pageMargins bottom="0.75" footer="0.0" header="0.0" left="0.7" right="0.7" top="0.75"/>
  <pageSetup orientation="portrait"/>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pane ySplit="2.0" topLeftCell="A3" activePane="bottomLeft" state="frozen"/>
      <selection activeCell="B4" sqref="B4" pane="bottomLeft"/>
    </sheetView>
  </sheetViews>
  <sheetFormatPr customHeight="1" defaultColWidth="12.63" defaultRowHeight="15.0" outlineLevelRow="1"/>
  <cols>
    <col customWidth="1" min="1" max="1" width="20.13"/>
    <col customWidth="1" min="2" max="2" width="29.75"/>
    <col customWidth="1" min="3" max="3" width="20.5"/>
    <col customWidth="1" min="4" max="4" width="25.38"/>
    <col customWidth="1" min="5" max="5" width="21.25"/>
    <col customWidth="1" min="6" max="6" width="3.13"/>
    <col customWidth="1" min="7" max="7" width="29.88"/>
    <col customWidth="1" min="8" max="8" width="9.13"/>
    <col customWidth="1" min="9" max="9" width="13.38"/>
    <col customWidth="1" min="10" max="10" width="3.13"/>
    <col customWidth="1" min="11" max="11" width="18.63"/>
    <col customWidth="1" min="12" max="12" width="13.25"/>
    <col customWidth="1" min="13" max="13" width="15.13"/>
    <col customWidth="1" min="14" max="14" width="38.0"/>
    <col customWidth="1" min="15" max="15" width="6.25"/>
    <col customWidth="1" min="16" max="16" width="14.88"/>
    <col customWidth="1" min="17" max="20" width="28.88"/>
  </cols>
  <sheetData>
    <row r="1" ht="21.0" customHeight="1">
      <c r="A1" s="3" t="s">
        <v>10</v>
      </c>
      <c r="B1" s="5"/>
      <c r="C1" s="5"/>
      <c r="D1" s="5"/>
      <c r="E1" s="9"/>
      <c r="F1" s="11"/>
      <c r="G1" s="3" t="s">
        <v>9</v>
      </c>
      <c r="H1" s="5"/>
      <c r="I1" s="9"/>
      <c r="J1" s="11"/>
      <c r="K1" s="3" t="s">
        <v>11</v>
      </c>
      <c r="L1" s="5"/>
      <c r="M1" s="5"/>
      <c r="N1" s="9"/>
      <c r="O1" s="11"/>
      <c r="P1" s="17" t="s">
        <v>8</v>
      </c>
      <c r="Q1" s="11"/>
      <c r="R1" s="11"/>
      <c r="S1" s="11"/>
      <c r="T1" s="11"/>
    </row>
    <row r="2" ht="21.75" customHeight="1">
      <c r="A2" s="27" t="s">
        <v>28</v>
      </c>
      <c r="B2" s="27" t="s">
        <v>16</v>
      </c>
      <c r="C2" s="27" t="s">
        <v>30</v>
      </c>
      <c r="D2" s="28" t="s">
        <v>34</v>
      </c>
      <c r="E2" s="27" t="s">
        <v>36</v>
      </c>
      <c r="F2" s="11"/>
      <c r="G2" s="25" t="s">
        <v>38</v>
      </c>
      <c r="H2" s="5"/>
      <c r="I2" s="9"/>
      <c r="J2" s="11"/>
      <c r="K2" s="27" t="s">
        <v>29</v>
      </c>
      <c r="L2" s="27" t="s">
        <v>32</v>
      </c>
      <c r="M2" s="27" t="s">
        <v>33</v>
      </c>
      <c r="N2" s="27" t="s">
        <v>43</v>
      </c>
      <c r="O2" s="11"/>
      <c r="P2" s="32" t="s">
        <v>35</v>
      </c>
      <c r="Q2" s="11"/>
      <c r="R2" s="11"/>
      <c r="S2" s="11"/>
      <c r="T2" s="11"/>
    </row>
    <row r="3" ht="28.5" customHeight="1">
      <c r="A3" s="13" t="s">
        <v>45</v>
      </c>
      <c r="B3" s="41" t="s">
        <v>46</v>
      </c>
      <c r="C3" s="49">
        <f t="shared" ref="C3:C5" si="1">L3</f>
        <v>32</v>
      </c>
      <c r="D3" s="59">
        <f t="shared" ref="D3:D5" si="2">CEILING(C3/512,1)</f>
        <v>1</v>
      </c>
      <c r="E3" s="49">
        <f t="shared" ref="E3:E5" si="3">D3*$L$6</f>
        <v>1024</v>
      </c>
      <c r="F3" s="11"/>
      <c r="G3" s="13" t="s">
        <v>54</v>
      </c>
      <c r="H3" s="63">
        <v>2.0</v>
      </c>
      <c r="I3" s="13" t="s">
        <v>56</v>
      </c>
      <c r="J3" s="11"/>
      <c r="K3" s="32" t="s">
        <v>57</v>
      </c>
      <c r="L3" s="63">
        <v>32.0</v>
      </c>
      <c r="M3" s="13" t="s">
        <v>58</v>
      </c>
      <c r="N3" s="41" t="s">
        <v>59</v>
      </c>
      <c r="O3" s="11"/>
      <c r="P3" s="68" t="s">
        <v>60</v>
      </c>
      <c r="Q3" s="11"/>
      <c r="R3" s="11"/>
      <c r="S3" s="11"/>
      <c r="T3" s="11"/>
    </row>
    <row r="4" ht="28.5" customHeight="1">
      <c r="A4" s="13" t="s">
        <v>61</v>
      </c>
      <c r="B4" s="41" t="s">
        <v>62</v>
      </c>
      <c r="C4" s="49">
        <f t="shared" si="1"/>
        <v>128</v>
      </c>
      <c r="D4" s="59">
        <f t="shared" si="2"/>
        <v>1</v>
      </c>
      <c r="E4" s="49">
        <f t="shared" si="3"/>
        <v>1024</v>
      </c>
      <c r="F4" s="11"/>
      <c r="G4" s="13" t="s">
        <v>54</v>
      </c>
      <c r="H4" s="59">
        <f>H3*60</f>
        <v>120</v>
      </c>
      <c r="I4" s="13" t="s">
        <v>63</v>
      </c>
      <c r="J4" s="11"/>
      <c r="K4" s="32" t="s">
        <v>64</v>
      </c>
      <c r="L4" s="63">
        <v>128.0</v>
      </c>
      <c r="M4" s="13" t="s">
        <v>58</v>
      </c>
      <c r="N4" s="41" t="s">
        <v>65</v>
      </c>
      <c r="O4" s="11"/>
      <c r="P4" s="11"/>
      <c r="Q4" s="11"/>
      <c r="R4" s="11"/>
      <c r="S4" s="11"/>
      <c r="T4" s="11"/>
    </row>
    <row r="5" ht="28.5" customHeight="1">
      <c r="A5" s="13" t="s">
        <v>66</v>
      </c>
      <c r="B5" s="41" t="s">
        <v>67</v>
      </c>
      <c r="C5" s="49">
        <f t="shared" si="1"/>
        <v>279</v>
      </c>
      <c r="D5" s="59">
        <f t="shared" si="2"/>
        <v>1</v>
      </c>
      <c r="E5" s="49">
        <f t="shared" si="3"/>
        <v>1024</v>
      </c>
      <c r="F5" s="11"/>
      <c r="G5" s="13" t="s">
        <v>70</v>
      </c>
      <c r="H5" s="63">
        <v>25.0</v>
      </c>
      <c r="I5" s="13" t="s">
        <v>71</v>
      </c>
      <c r="J5" s="11"/>
      <c r="K5" s="32" t="s">
        <v>72</v>
      </c>
      <c r="L5" s="63">
        <f>128+128+23</f>
        <v>279</v>
      </c>
      <c r="M5" s="13" t="s">
        <v>58</v>
      </c>
      <c r="N5" s="41" t="s">
        <v>77</v>
      </c>
      <c r="O5" s="11"/>
      <c r="P5" s="11"/>
      <c r="Q5" s="11"/>
      <c r="R5" s="11"/>
      <c r="S5" s="11"/>
      <c r="T5" s="11"/>
    </row>
    <row r="6" ht="29.25" customHeight="1">
      <c r="A6" s="11"/>
      <c r="B6" s="11"/>
      <c r="C6" s="73"/>
      <c r="D6" s="73"/>
      <c r="E6" s="73"/>
      <c r="F6" s="11"/>
      <c r="G6" s="13" t="s">
        <v>78</v>
      </c>
      <c r="H6" s="74">
        <v>0.2</v>
      </c>
      <c r="I6" s="13"/>
      <c r="J6" s="11"/>
      <c r="K6" s="32" t="s">
        <v>79</v>
      </c>
      <c r="L6" s="63">
        <v>1024.0</v>
      </c>
      <c r="M6" s="13" t="s">
        <v>81</v>
      </c>
      <c r="N6" s="41" t="s">
        <v>82</v>
      </c>
      <c r="O6" s="11"/>
      <c r="P6" s="11"/>
      <c r="Q6" s="11"/>
      <c r="R6" s="11"/>
      <c r="S6" s="11"/>
      <c r="T6" s="11"/>
    </row>
    <row r="7">
      <c r="A7" s="76" t="s">
        <v>86</v>
      </c>
      <c r="B7" s="77"/>
      <c r="C7" s="77"/>
      <c r="D7" s="77"/>
      <c r="E7" s="78"/>
      <c r="F7" s="11"/>
      <c r="G7" s="32" t="s">
        <v>90</v>
      </c>
      <c r="H7" s="39">
        <v>40.0</v>
      </c>
      <c r="I7" s="13" t="s">
        <v>92</v>
      </c>
      <c r="J7" s="11"/>
      <c r="K7" s="11"/>
      <c r="L7" s="73"/>
      <c r="M7" s="11"/>
      <c r="N7" s="11"/>
      <c r="O7" s="11"/>
      <c r="P7" s="11"/>
      <c r="Q7" s="11"/>
      <c r="R7" s="11"/>
      <c r="S7" s="11"/>
      <c r="T7" s="11"/>
    </row>
    <row r="8">
      <c r="A8" s="80" t="s">
        <v>93</v>
      </c>
      <c r="E8" s="81"/>
      <c r="F8" s="11"/>
      <c r="G8" s="25" t="s">
        <v>96</v>
      </c>
      <c r="H8" s="5"/>
      <c r="I8" s="9"/>
      <c r="J8" s="11"/>
      <c r="K8" s="11"/>
      <c r="L8" s="73"/>
      <c r="M8" s="11"/>
      <c r="N8" s="11"/>
      <c r="O8" s="11"/>
      <c r="P8" s="11"/>
      <c r="Q8" s="11"/>
      <c r="R8" s="11"/>
      <c r="S8" s="11"/>
      <c r="T8" s="11"/>
    </row>
    <row r="9" ht="58.5" customHeight="1">
      <c r="A9" s="83" t="s">
        <v>98</v>
      </c>
      <c r="B9" s="8"/>
      <c r="C9" s="8"/>
      <c r="D9" s="8"/>
      <c r="E9" s="10"/>
      <c r="F9" s="11"/>
      <c r="G9" s="13" t="s">
        <v>99</v>
      </c>
      <c r="H9" s="49">
        <f>H5*1000*H4</f>
        <v>3000000</v>
      </c>
      <c r="I9" s="13" t="s">
        <v>103</v>
      </c>
      <c r="J9" s="11"/>
      <c r="K9" s="11"/>
      <c r="L9" s="73"/>
      <c r="M9" s="11"/>
      <c r="N9" s="11"/>
      <c r="O9" s="11"/>
      <c r="P9" s="11"/>
      <c r="Q9" s="11"/>
      <c r="R9" s="11"/>
      <c r="S9" s="11"/>
      <c r="T9" s="11"/>
    </row>
    <row r="10">
      <c r="A10" s="85" t="s">
        <v>104</v>
      </c>
      <c r="B10" s="86"/>
      <c r="C10" s="86"/>
      <c r="D10" s="86"/>
      <c r="E10" s="88"/>
      <c r="F10" s="11"/>
      <c r="G10" s="13" t="s">
        <v>106</v>
      </c>
      <c r="H10" s="49">
        <f>H9/(1+H6)</f>
        <v>2500000</v>
      </c>
      <c r="I10" s="13" t="s">
        <v>103</v>
      </c>
      <c r="J10" s="11"/>
      <c r="K10" s="11"/>
      <c r="L10" s="73"/>
      <c r="M10" s="11"/>
      <c r="N10" s="11"/>
      <c r="O10" s="11"/>
      <c r="P10" s="11"/>
      <c r="Q10" s="11"/>
      <c r="R10" s="11"/>
      <c r="S10" s="11"/>
      <c r="T10" s="11"/>
    </row>
    <row r="11">
      <c r="A11" s="11"/>
      <c r="B11" s="11"/>
      <c r="C11" s="11"/>
      <c r="D11" s="11"/>
      <c r="E11" s="11"/>
      <c r="F11" s="11"/>
      <c r="G11" s="91" t="s">
        <v>110</v>
      </c>
      <c r="H11" s="92">
        <f>FLOOR(H10/(E5*8),1)</f>
        <v>305</v>
      </c>
      <c r="I11" s="93" t="s">
        <v>92</v>
      </c>
      <c r="J11" s="11"/>
      <c r="K11" s="11"/>
      <c r="L11" s="73"/>
      <c r="M11" s="11"/>
      <c r="N11" s="11"/>
      <c r="O11" s="11"/>
      <c r="P11" s="11"/>
      <c r="Q11" s="11"/>
      <c r="R11" s="11"/>
      <c r="S11" s="11"/>
      <c r="T11" s="11"/>
    </row>
    <row r="12">
      <c r="A12" s="11"/>
      <c r="B12" s="11"/>
      <c r="C12" s="11"/>
      <c r="D12" s="11"/>
      <c r="E12" s="11"/>
      <c r="F12" s="11"/>
      <c r="G12" s="32" t="s">
        <v>116</v>
      </c>
      <c r="H12" s="49">
        <f>E5*8 * H7 * (1+H6)</f>
        <v>393216</v>
      </c>
      <c r="I12" s="13" t="s">
        <v>103</v>
      </c>
      <c r="J12" s="11"/>
      <c r="K12" s="11"/>
      <c r="L12" s="73"/>
      <c r="M12" s="11"/>
      <c r="N12" s="11"/>
      <c r="O12" s="11"/>
      <c r="P12" s="11"/>
      <c r="Q12" s="11"/>
      <c r="R12" s="11"/>
      <c r="S12" s="11"/>
      <c r="T12" s="11"/>
    </row>
    <row r="13">
      <c r="A13" s="11"/>
      <c r="B13" s="11"/>
      <c r="C13" s="11"/>
      <c r="D13" s="11"/>
      <c r="E13" s="11"/>
      <c r="F13" s="11"/>
      <c r="G13" s="32" t="s">
        <v>120</v>
      </c>
      <c r="H13" s="101">
        <f>E5*8 * H7 * (1+H6) / (H5*1000)</f>
        <v>15.72864</v>
      </c>
      <c r="I13" s="13" t="s">
        <v>123</v>
      </c>
      <c r="J13" s="11"/>
      <c r="K13" s="11"/>
      <c r="L13" s="73"/>
      <c r="M13" s="11"/>
      <c r="N13" s="11"/>
      <c r="O13" s="11"/>
      <c r="P13" s="11"/>
      <c r="Q13" s="11"/>
      <c r="R13" s="11"/>
      <c r="S13" s="11"/>
      <c r="T13" s="11"/>
    </row>
    <row r="14">
      <c r="A14" s="11"/>
      <c r="B14" s="11"/>
      <c r="C14" s="11"/>
      <c r="D14" s="11"/>
      <c r="E14" s="11"/>
      <c r="F14" s="11"/>
      <c r="G14" s="32" t="s">
        <v>126</v>
      </c>
      <c r="H14" s="105">
        <f>E5*8 * H7 * (1+H6) / (H4) / 1000</f>
        <v>3.2768</v>
      </c>
      <c r="I14" s="13" t="s">
        <v>71</v>
      </c>
      <c r="J14" s="11"/>
      <c r="K14" s="11"/>
      <c r="L14" s="73"/>
      <c r="M14" s="11"/>
      <c r="N14" s="11"/>
      <c r="O14" s="11"/>
      <c r="P14" s="11"/>
      <c r="Q14" s="11"/>
      <c r="R14" s="11"/>
      <c r="S14" s="11"/>
      <c r="T14" s="11"/>
    </row>
    <row r="15">
      <c r="A15" s="11"/>
      <c r="B15" s="11"/>
      <c r="C15" s="11"/>
      <c r="D15" s="11"/>
      <c r="E15" s="11"/>
      <c r="F15" s="11"/>
      <c r="G15" s="11"/>
      <c r="H15" s="108"/>
      <c r="I15" s="11"/>
      <c r="J15" s="11"/>
      <c r="K15" s="11"/>
      <c r="L15" s="11"/>
      <c r="M15" s="11"/>
      <c r="N15" s="11"/>
      <c r="O15" s="11"/>
      <c r="P15" s="11"/>
      <c r="Q15" s="11"/>
      <c r="R15" s="11"/>
      <c r="S15" s="11"/>
      <c r="T15" s="11"/>
    </row>
    <row r="16">
      <c r="A16" s="11"/>
      <c r="B16" s="11"/>
      <c r="C16" s="11"/>
      <c r="D16" s="11"/>
      <c r="E16" s="11"/>
      <c r="F16" s="11"/>
      <c r="G16" s="11"/>
      <c r="H16" s="110"/>
      <c r="I16" s="11"/>
      <c r="J16" s="11"/>
      <c r="K16" s="11"/>
      <c r="L16" s="11"/>
      <c r="M16" s="11"/>
      <c r="N16" s="11"/>
      <c r="O16" s="11"/>
      <c r="P16" s="11"/>
      <c r="Q16" s="11"/>
      <c r="R16" s="11"/>
      <c r="S16" s="11"/>
      <c r="T16" s="11"/>
    </row>
    <row r="17">
      <c r="A17" s="11"/>
      <c r="B17" s="11"/>
      <c r="C17" s="11"/>
      <c r="D17" s="11"/>
      <c r="E17" s="11"/>
      <c r="F17" s="11"/>
      <c r="G17" s="11"/>
      <c r="H17" s="11"/>
      <c r="I17" s="11"/>
      <c r="J17" s="11"/>
      <c r="K17" s="11"/>
      <c r="L17" s="11"/>
      <c r="M17" s="11"/>
      <c r="N17" s="11"/>
      <c r="O17" s="11"/>
      <c r="P17" s="11"/>
      <c r="Q17" s="11"/>
      <c r="R17" s="11"/>
      <c r="S17" s="11"/>
      <c r="T17" s="11"/>
    </row>
    <row r="18">
      <c r="A18" s="11"/>
      <c r="B18" s="11"/>
      <c r="C18" s="11"/>
      <c r="D18" s="11"/>
      <c r="E18" s="11"/>
      <c r="F18" s="11"/>
      <c r="G18" s="11"/>
      <c r="H18" s="11"/>
      <c r="I18" s="11"/>
      <c r="J18" s="11"/>
      <c r="K18" s="11"/>
      <c r="L18" s="11"/>
      <c r="M18" s="11"/>
      <c r="N18" s="11"/>
      <c r="O18" s="11"/>
      <c r="P18" s="11"/>
      <c r="Q18" s="11"/>
      <c r="R18" s="11"/>
      <c r="S18" s="11"/>
      <c r="T18" s="11"/>
    </row>
    <row r="19">
      <c r="A19" s="11"/>
      <c r="B19" s="11"/>
      <c r="C19" s="11"/>
      <c r="D19" s="11"/>
      <c r="E19" s="11"/>
      <c r="F19" s="11"/>
      <c r="G19" s="11"/>
      <c r="H19" s="11"/>
      <c r="I19" s="11"/>
      <c r="J19" s="11"/>
      <c r="K19" s="11"/>
      <c r="L19" s="11"/>
      <c r="M19" s="11"/>
      <c r="N19" s="11"/>
      <c r="O19" s="11"/>
      <c r="P19" s="11"/>
      <c r="Q19" s="11"/>
      <c r="R19" s="11"/>
      <c r="S19" s="11"/>
      <c r="T19" s="11"/>
    </row>
    <row r="20">
      <c r="A20" s="11"/>
      <c r="B20" s="11"/>
      <c r="C20" s="11"/>
      <c r="D20" s="11"/>
      <c r="E20" s="11"/>
      <c r="F20" s="11"/>
      <c r="G20" s="11"/>
      <c r="H20" s="11"/>
      <c r="I20" s="11"/>
      <c r="J20" s="11"/>
      <c r="K20" s="11"/>
      <c r="L20" s="11"/>
      <c r="M20" s="11"/>
      <c r="N20" s="11"/>
      <c r="O20" s="11"/>
      <c r="P20" s="11"/>
      <c r="Q20" s="11"/>
      <c r="R20" s="11"/>
      <c r="S20" s="11"/>
      <c r="T20" s="11"/>
    </row>
    <row r="21" ht="15.75" customHeight="1">
      <c r="A21" s="11"/>
      <c r="B21" s="11"/>
      <c r="C21" s="11"/>
      <c r="D21" s="11"/>
      <c r="E21" s="11"/>
      <c r="F21" s="11"/>
      <c r="G21" s="11"/>
      <c r="H21" s="11"/>
      <c r="I21" s="11"/>
      <c r="J21" s="11"/>
      <c r="K21" s="11"/>
      <c r="L21" s="11"/>
      <c r="M21" s="11"/>
      <c r="N21" s="11"/>
      <c r="O21" s="11"/>
      <c r="P21" s="11"/>
      <c r="Q21" s="11"/>
      <c r="R21" s="11"/>
      <c r="S21" s="11"/>
      <c r="T21" s="11"/>
    </row>
    <row r="22" ht="15.75" customHeight="1">
      <c r="A22" s="11"/>
      <c r="B22" s="11"/>
      <c r="C22" s="11"/>
      <c r="D22" s="11"/>
      <c r="E22" s="11"/>
      <c r="F22" s="11"/>
      <c r="G22" s="11"/>
      <c r="H22" s="11"/>
      <c r="I22" s="11"/>
      <c r="J22" s="11"/>
      <c r="K22" s="11"/>
      <c r="L22" s="11"/>
      <c r="M22" s="11"/>
      <c r="N22" s="11"/>
      <c r="O22" s="11"/>
      <c r="P22" s="11"/>
      <c r="Q22" s="11"/>
      <c r="R22" s="11"/>
      <c r="S22" s="11"/>
      <c r="T22" s="11"/>
    </row>
    <row r="23" ht="15.75" customHeight="1">
      <c r="A23" s="11"/>
      <c r="B23" s="11"/>
      <c r="C23" s="11"/>
      <c r="D23" s="11"/>
      <c r="E23" s="11"/>
      <c r="F23" s="11"/>
      <c r="G23" s="11"/>
      <c r="H23" s="11"/>
      <c r="I23" s="11"/>
      <c r="J23" s="11"/>
      <c r="K23" s="11"/>
      <c r="L23" s="11"/>
      <c r="M23" s="11"/>
      <c r="N23" s="11"/>
      <c r="O23" s="11"/>
      <c r="P23" s="11"/>
      <c r="Q23" s="11"/>
      <c r="R23" s="11"/>
      <c r="S23" s="11"/>
      <c r="T23" s="11"/>
    </row>
    <row r="24" ht="15.75" customHeight="1">
      <c r="A24" s="11"/>
      <c r="B24" s="11"/>
      <c r="C24" s="11"/>
      <c r="D24" s="11"/>
      <c r="E24" s="11"/>
      <c r="F24" s="11"/>
      <c r="G24" s="11"/>
      <c r="H24" s="11"/>
      <c r="I24" s="11"/>
      <c r="J24" s="11"/>
      <c r="K24" s="11"/>
      <c r="L24" s="11"/>
      <c r="M24" s="11"/>
      <c r="N24" s="11"/>
      <c r="O24" s="11"/>
      <c r="P24" s="11"/>
      <c r="Q24" s="11"/>
      <c r="R24" s="11"/>
      <c r="S24" s="11"/>
      <c r="T24" s="11"/>
    </row>
    <row r="25" ht="15.75" customHeight="1">
      <c r="A25" s="11"/>
      <c r="B25" s="11"/>
      <c r="C25" s="11"/>
      <c r="D25" s="11"/>
      <c r="E25" s="11"/>
      <c r="F25" s="11"/>
      <c r="G25" s="11"/>
      <c r="H25" s="11"/>
      <c r="I25" s="11"/>
      <c r="J25" s="11"/>
      <c r="K25" s="11"/>
      <c r="L25" s="11"/>
      <c r="M25" s="11"/>
      <c r="N25" s="11"/>
      <c r="O25" s="11"/>
      <c r="P25" s="11"/>
      <c r="Q25" s="11"/>
      <c r="R25" s="11"/>
      <c r="S25" s="11"/>
      <c r="T25" s="11"/>
    </row>
    <row r="26" ht="15.75" customHeight="1">
      <c r="A26" s="11"/>
      <c r="B26" s="11"/>
      <c r="C26" s="11"/>
      <c r="D26" s="11"/>
      <c r="E26" s="11"/>
      <c r="F26" s="11"/>
      <c r="G26" s="11"/>
      <c r="H26" s="11"/>
      <c r="I26" s="11"/>
      <c r="J26" s="11"/>
      <c r="K26" s="11"/>
      <c r="L26" s="11"/>
      <c r="M26" s="11"/>
      <c r="N26" s="11"/>
      <c r="O26" s="11"/>
      <c r="P26" s="119"/>
      <c r="Q26" s="11"/>
      <c r="R26" s="11"/>
      <c r="S26" s="11"/>
      <c r="T26" s="11"/>
    </row>
    <row r="27" ht="15.75" customHeight="1">
      <c r="A27" s="11"/>
      <c r="B27" s="11"/>
      <c r="C27" s="11"/>
      <c r="D27" s="11"/>
      <c r="E27" s="11"/>
      <c r="F27" s="11"/>
      <c r="G27" s="11"/>
      <c r="H27" s="11"/>
      <c r="I27" s="11"/>
      <c r="J27" s="11"/>
      <c r="K27" s="11"/>
      <c r="L27" s="11"/>
      <c r="M27" s="11"/>
      <c r="N27" s="11"/>
      <c r="O27" s="11"/>
      <c r="P27" s="11"/>
      <c r="Q27" s="11"/>
      <c r="R27" s="11"/>
      <c r="S27" s="11"/>
      <c r="T27" s="11"/>
    </row>
    <row r="28" ht="15.75" customHeight="1">
      <c r="A28" s="11"/>
      <c r="B28" s="11"/>
      <c r="C28" s="11"/>
      <c r="D28" s="11"/>
      <c r="E28" s="11"/>
      <c r="F28" s="11"/>
      <c r="G28" s="11"/>
      <c r="H28" s="11"/>
      <c r="I28" s="11"/>
      <c r="J28" s="11"/>
      <c r="K28" s="11"/>
      <c r="L28" s="11"/>
      <c r="M28" s="11"/>
      <c r="N28" s="11"/>
      <c r="O28" s="11"/>
      <c r="P28" s="11"/>
      <c r="Q28" s="11"/>
      <c r="R28" s="11"/>
      <c r="S28" s="11"/>
      <c r="T28" s="11"/>
    </row>
    <row r="29" ht="15.75" customHeight="1">
      <c r="A29" s="11"/>
      <c r="B29" s="11"/>
      <c r="C29" s="11"/>
      <c r="D29" s="11"/>
      <c r="E29" s="11"/>
      <c r="F29" s="11"/>
      <c r="G29" s="11"/>
      <c r="H29" s="11"/>
      <c r="I29" s="11"/>
      <c r="J29" s="11"/>
      <c r="K29" s="11"/>
      <c r="L29" s="11"/>
      <c r="M29" s="11"/>
      <c r="N29" s="11"/>
      <c r="O29" s="11"/>
      <c r="P29" s="11"/>
      <c r="Q29" s="11"/>
      <c r="R29" s="11"/>
      <c r="S29" s="11"/>
      <c r="T29" s="11"/>
    </row>
    <row r="30" ht="15.75" customHeight="1">
      <c r="A30" s="11"/>
      <c r="B30" s="11"/>
      <c r="C30" s="11"/>
      <c r="D30" s="11"/>
      <c r="E30" s="11"/>
      <c r="F30" s="11"/>
      <c r="G30" s="11"/>
      <c r="H30" s="11"/>
      <c r="I30" s="11"/>
      <c r="J30" s="11"/>
      <c r="K30" s="11"/>
      <c r="L30" s="11"/>
      <c r="M30" s="11"/>
      <c r="N30" s="11"/>
      <c r="O30" s="11"/>
      <c r="P30" s="11"/>
      <c r="Q30" s="11"/>
      <c r="R30" s="11"/>
      <c r="S30" s="11"/>
      <c r="T30" s="11"/>
    </row>
    <row r="31" ht="15.75" customHeight="1">
      <c r="A31" s="11"/>
      <c r="B31" s="11"/>
      <c r="C31" s="11"/>
      <c r="D31" s="11"/>
      <c r="E31" s="11"/>
      <c r="F31" s="11"/>
      <c r="G31" s="11"/>
      <c r="H31" s="11"/>
      <c r="I31" s="11"/>
      <c r="J31" s="11"/>
      <c r="K31" s="11"/>
      <c r="L31" s="11"/>
      <c r="M31" s="11"/>
      <c r="N31" s="11"/>
      <c r="O31" s="11"/>
      <c r="P31" s="11"/>
      <c r="Q31" s="11"/>
      <c r="R31" s="11"/>
      <c r="S31" s="11"/>
      <c r="T31" s="11"/>
    </row>
    <row r="32" ht="15.75" customHeight="1">
      <c r="A32" s="11"/>
      <c r="B32" s="11"/>
      <c r="C32" s="11"/>
      <c r="D32" s="11"/>
      <c r="E32" s="11"/>
      <c r="F32" s="11"/>
      <c r="G32" s="11"/>
      <c r="H32" s="11"/>
      <c r="I32" s="11"/>
      <c r="J32" s="11"/>
      <c r="K32" s="11"/>
      <c r="L32" s="11"/>
      <c r="M32" s="11"/>
      <c r="N32" s="11"/>
      <c r="O32" s="11"/>
      <c r="P32" s="11"/>
      <c r="Q32" s="11"/>
      <c r="R32" s="11"/>
      <c r="S32" s="11"/>
      <c r="T32" s="11"/>
    </row>
    <row r="33" ht="15.75" customHeight="1">
      <c r="A33" s="11"/>
      <c r="B33" s="11"/>
      <c r="C33" s="11"/>
      <c r="D33" s="11"/>
      <c r="E33" s="11"/>
      <c r="F33" s="11"/>
      <c r="G33" s="11"/>
      <c r="H33" s="11"/>
      <c r="I33" s="11"/>
      <c r="J33" s="11"/>
      <c r="K33" s="11"/>
      <c r="L33" s="11"/>
      <c r="M33" s="11"/>
      <c r="N33" s="11"/>
      <c r="O33" s="11"/>
      <c r="P33" s="11"/>
      <c r="Q33" s="11"/>
      <c r="R33" s="11"/>
      <c r="S33" s="11"/>
      <c r="T33" s="11"/>
    </row>
    <row r="34" ht="15.75" customHeight="1">
      <c r="A34" s="11"/>
      <c r="B34" s="11"/>
      <c r="C34" s="11"/>
      <c r="D34" s="11"/>
      <c r="E34" s="11"/>
      <c r="F34" s="11"/>
      <c r="G34" s="11"/>
      <c r="H34" s="11"/>
      <c r="I34" s="11"/>
      <c r="J34" s="11"/>
      <c r="K34" s="11"/>
      <c r="L34" s="11"/>
      <c r="M34" s="11"/>
      <c r="N34" s="11"/>
      <c r="O34" s="11"/>
      <c r="P34" s="11"/>
      <c r="Q34" s="11"/>
      <c r="R34" s="11"/>
      <c r="S34" s="11"/>
      <c r="T34" s="11"/>
    </row>
    <row r="35" ht="15.75" customHeight="1">
      <c r="A35" s="11"/>
      <c r="B35" s="11"/>
      <c r="C35" s="11"/>
      <c r="D35" s="11"/>
      <c r="E35" s="11"/>
      <c r="F35" s="11"/>
      <c r="G35" s="11"/>
      <c r="H35" s="11"/>
      <c r="I35" s="11"/>
      <c r="J35" s="11"/>
      <c r="K35" s="11"/>
      <c r="L35" s="11"/>
      <c r="M35" s="11"/>
      <c r="N35" s="11"/>
      <c r="O35" s="11"/>
      <c r="P35" s="11"/>
      <c r="Q35" s="11"/>
      <c r="R35" s="11"/>
      <c r="S35" s="11"/>
      <c r="T35" s="11"/>
    </row>
    <row r="36" ht="15.75" customHeight="1">
      <c r="A36" s="11"/>
      <c r="B36" s="11"/>
      <c r="C36" s="11"/>
      <c r="D36" s="11"/>
      <c r="E36" s="11"/>
      <c r="F36" s="11"/>
      <c r="G36" s="11"/>
      <c r="H36" s="11"/>
      <c r="I36" s="11"/>
      <c r="J36" s="11"/>
      <c r="K36" s="11"/>
      <c r="L36" s="11"/>
      <c r="M36" s="11"/>
      <c r="N36" s="11"/>
      <c r="O36" s="11"/>
      <c r="P36" s="11"/>
      <c r="Q36" s="11"/>
      <c r="R36" s="11"/>
      <c r="S36" s="11"/>
      <c r="T36" s="11"/>
    </row>
    <row r="37" ht="15.75" customHeight="1">
      <c r="A37" s="11"/>
      <c r="B37" s="11"/>
      <c r="C37" s="11"/>
      <c r="D37" s="11"/>
      <c r="E37" s="11"/>
      <c r="F37" s="11"/>
      <c r="G37" s="11"/>
      <c r="H37" s="11"/>
      <c r="I37" s="11"/>
      <c r="J37" s="11"/>
      <c r="K37" s="11"/>
      <c r="L37" s="11"/>
      <c r="M37" s="11"/>
      <c r="N37" s="11"/>
      <c r="O37" s="11"/>
      <c r="P37" s="11"/>
      <c r="Q37" s="11"/>
      <c r="R37" s="11"/>
      <c r="S37" s="11"/>
      <c r="T37" s="11"/>
    </row>
    <row r="38" ht="15.75" customHeight="1">
      <c r="A38" s="11"/>
      <c r="B38" s="11"/>
      <c r="C38" s="11"/>
      <c r="D38" s="11"/>
      <c r="E38" s="11"/>
      <c r="F38" s="11"/>
      <c r="G38" s="11"/>
      <c r="H38" s="11"/>
      <c r="I38" s="11"/>
      <c r="J38" s="11"/>
      <c r="K38" s="11"/>
      <c r="L38" s="11"/>
      <c r="M38" s="11"/>
      <c r="N38" s="11"/>
      <c r="O38" s="11"/>
      <c r="P38" s="11"/>
      <c r="Q38" s="11"/>
      <c r="R38" s="11"/>
      <c r="S38" s="11"/>
      <c r="T38" s="11"/>
    </row>
    <row r="39" ht="15.75" customHeight="1">
      <c r="A39" s="11"/>
      <c r="B39" s="11"/>
      <c r="C39" s="11"/>
      <c r="D39" s="11"/>
      <c r="E39" s="11"/>
      <c r="F39" s="11"/>
      <c r="G39" s="11"/>
      <c r="H39" s="11"/>
      <c r="I39" s="11"/>
      <c r="J39" s="11"/>
      <c r="K39" s="11"/>
      <c r="L39" s="11"/>
      <c r="M39" s="11"/>
      <c r="N39" s="11"/>
      <c r="O39" s="11"/>
      <c r="P39" s="11"/>
      <c r="Q39" s="11"/>
      <c r="R39" s="11"/>
      <c r="S39" s="11"/>
      <c r="T39" s="11"/>
    </row>
    <row r="40" ht="15.75" customHeight="1">
      <c r="A40" s="11"/>
      <c r="B40" s="11"/>
      <c r="C40" s="11"/>
      <c r="D40" s="11"/>
      <c r="E40" s="11"/>
      <c r="F40" s="11"/>
      <c r="G40" s="11"/>
      <c r="H40" s="11"/>
      <c r="I40" s="11"/>
      <c r="J40" s="11"/>
      <c r="K40" s="11"/>
      <c r="L40" s="11"/>
      <c r="M40" s="11"/>
      <c r="N40" s="11"/>
      <c r="O40" s="11"/>
      <c r="P40" s="11"/>
      <c r="Q40" s="11"/>
      <c r="R40" s="11"/>
      <c r="S40" s="11"/>
      <c r="T40" s="11"/>
    </row>
    <row r="41" ht="15.75" customHeight="1">
      <c r="A41" s="11"/>
      <c r="B41" s="11"/>
      <c r="C41" s="11"/>
      <c r="D41" s="11"/>
      <c r="E41" s="11"/>
      <c r="F41" s="11"/>
      <c r="G41" s="11"/>
      <c r="H41" s="11"/>
      <c r="I41" s="11"/>
      <c r="J41" s="11"/>
      <c r="K41" s="11"/>
      <c r="L41" s="11"/>
      <c r="M41" s="11"/>
      <c r="N41" s="11"/>
      <c r="O41" s="11"/>
      <c r="P41" s="11"/>
      <c r="Q41" s="11"/>
      <c r="R41" s="11"/>
      <c r="S41" s="11"/>
      <c r="T41" s="11"/>
    </row>
    <row r="42" ht="15.75" customHeight="1">
      <c r="A42" s="11"/>
      <c r="B42" s="11"/>
      <c r="C42" s="11"/>
      <c r="D42" s="11"/>
      <c r="E42" s="11"/>
      <c r="F42" s="11"/>
      <c r="G42" s="11"/>
      <c r="H42" s="11"/>
      <c r="I42" s="11"/>
      <c r="J42" s="11"/>
      <c r="K42" s="11"/>
      <c r="L42" s="11"/>
      <c r="M42" s="11"/>
      <c r="N42" s="11"/>
      <c r="O42" s="11"/>
      <c r="P42" s="11"/>
      <c r="Q42" s="11"/>
      <c r="R42" s="11"/>
      <c r="S42" s="11"/>
      <c r="T42" s="11"/>
    </row>
    <row r="43" ht="15.75" customHeight="1">
      <c r="A43" s="11"/>
      <c r="B43" s="11"/>
      <c r="C43" s="11"/>
      <c r="D43" s="11"/>
      <c r="E43" s="11"/>
      <c r="F43" s="11"/>
      <c r="G43" s="11"/>
      <c r="H43" s="11"/>
      <c r="I43" s="11"/>
      <c r="J43" s="11"/>
      <c r="K43" s="11"/>
      <c r="L43" s="11"/>
      <c r="M43" s="11"/>
      <c r="N43" s="11"/>
      <c r="O43" s="11"/>
      <c r="P43" s="11"/>
      <c r="Q43" s="11"/>
      <c r="R43" s="11"/>
      <c r="S43" s="11"/>
      <c r="T43" s="11"/>
    </row>
    <row r="44" ht="15.75" customHeight="1">
      <c r="A44" s="11"/>
      <c r="B44" s="11"/>
      <c r="C44" s="11"/>
      <c r="D44" s="11"/>
      <c r="E44" s="11"/>
      <c r="F44" s="11"/>
      <c r="G44" s="11"/>
      <c r="H44" s="11"/>
      <c r="I44" s="11"/>
      <c r="J44" s="11"/>
      <c r="K44" s="11"/>
      <c r="L44" s="11"/>
      <c r="M44" s="11"/>
      <c r="N44" s="11"/>
      <c r="O44" s="11"/>
      <c r="P44" s="11"/>
      <c r="Q44" s="11"/>
      <c r="R44" s="11"/>
      <c r="S44" s="11"/>
      <c r="T44" s="11"/>
    </row>
    <row r="45" ht="15.75" customHeight="1">
      <c r="A45" s="11"/>
      <c r="B45" s="11"/>
      <c r="C45" s="11"/>
      <c r="D45" s="11"/>
      <c r="E45" s="11"/>
      <c r="F45" s="11"/>
      <c r="G45" s="11"/>
      <c r="H45" s="11"/>
      <c r="I45" s="11"/>
      <c r="J45" s="11"/>
      <c r="K45" s="11"/>
      <c r="L45" s="11"/>
      <c r="M45" s="11"/>
      <c r="N45" s="11"/>
      <c r="O45" s="11"/>
      <c r="P45" s="11"/>
      <c r="Q45" s="11"/>
      <c r="R45" s="11"/>
      <c r="S45" s="11"/>
      <c r="T45" s="11"/>
    </row>
    <row r="46" ht="15.75" customHeight="1">
      <c r="A46" s="11"/>
      <c r="B46" s="11"/>
      <c r="C46" s="11"/>
      <c r="D46" s="11"/>
      <c r="E46" s="11"/>
      <c r="F46" s="11"/>
      <c r="G46" s="11"/>
      <c r="H46" s="11"/>
      <c r="I46" s="11"/>
      <c r="J46" s="11"/>
      <c r="K46" s="11"/>
      <c r="L46" s="11"/>
      <c r="M46" s="11"/>
      <c r="N46" s="11"/>
      <c r="O46" s="11"/>
      <c r="P46" s="11"/>
      <c r="Q46" s="11"/>
      <c r="R46" s="11"/>
      <c r="S46" s="11"/>
      <c r="T46" s="11"/>
    </row>
    <row r="47" ht="15.75" customHeight="1">
      <c r="A47" s="11"/>
      <c r="B47" s="11"/>
      <c r="C47" s="11"/>
      <c r="D47" s="11"/>
      <c r="E47" s="11"/>
      <c r="F47" s="11"/>
      <c r="G47" s="11"/>
      <c r="H47" s="11"/>
      <c r="I47" s="11"/>
      <c r="J47" s="11"/>
      <c r="K47" s="11"/>
      <c r="L47" s="11"/>
      <c r="M47" s="11"/>
      <c r="N47" s="11"/>
      <c r="O47" s="11"/>
      <c r="P47" s="11"/>
      <c r="Q47" s="11"/>
      <c r="R47" s="11"/>
      <c r="S47" s="11"/>
      <c r="T47" s="11"/>
    </row>
    <row r="48" ht="15.75" customHeight="1">
      <c r="A48" s="11"/>
      <c r="B48" s="11"/>
      <c r="C48" s="11"/>
      <c r="D48" s="11"/>
      <c r="E48" s="11"/>
      <c r="F48" s="11"/>
      <c r="G48" s="11"/>
      <c r="H48" s="11"/>
      <c r="I48" s="11"/>
      <c r="J48" s="11"/>
      <c r="K48" s="11"/>
      <c r="L48" s="11"/>
      <c r="M48" s="11"/>
      <c r="N48" s="11"/>
      <c r="O48" s="11"/>
      <c r="P48" s="11"/>
      <c r="Q48" s="11"/>
      <c r="R48" s="11"/>
      <c r="S48" s="11"/>
      <c r="T48" s="11"/>
    </row>
    <row r="49" ht="15.75" customHeight="1">
      <c r="A49" s="11"/>
      <c r="B49" s="11"/>
      <c r="C49" s="11"/>
      <c r="D49" s="11"/>
      <c r="E49" s="11"/>
      <c r="F49" s="11"/>
      <c r="G49" s="11"/>
      <c r="H49" s="11"/>
      <c r="I49" s="11"/>
      <c r="J49" s="11"/>
      <c r="K49" s="11"/>
      <c r="L49" s="11"/>
      <c r="M49" s="11"/>
      <c r="N49" s="11"/>
      <c r="O49" s="11"/>
      <c r="P49" s="11"/>
      <c r="Q49" s="11"/>
      <c r="R49" s="11"/>
      <c r="S49" s="11"/>
      <c r="T49" s="11"/>
    </row>
    <row r="50" ht="15.75" customHeight="1">
      <c r="A50" s="11"/>
      <c r="B50" s="11"/>
      <c r="C50" s="11"/>
      <c r="D50" s="11"/>
      <c r="E50" s="11"/>
      <c r="F50" s="11"/>
      <c r="G50" s="11"/>
      <c r="H50" s="11"/>
      <c r="I50" s="11"/>
      <c r="J50" s="11"/>
      <c r="K50" s="11"/>
      <c r="L50" s="11"/>
      <c r="M50" s="11"/>
      <c r="N50" s="11"/>
      <c r="O50" s="11"/>
      <c r="P50" s="11"/>
      <c r="Q50" s="11"/>
      <c r="R50" s="11"/>
      <c r="S50" s="11"/>
      <c r="T50" s="11"/>
    </row>
    <row r="51" ht="15.75" customHeight="1">
      <c r="A51" s="11"/>
      <c r="B51" s="11"/>
      <c r="C51" s="11"/>
      <c r="D51" s="11"/>
      <c r="E51" s="11"/>
      <c r="F51" s="11"/>
      <c r="G51" s="11"/>
      <c r="H51" s="11"/>
      <c r="I51" s="11"/>
      <c r="J51" s="11"/>
      <c r="K51" s="11"/>
      <c r="L51" s="11"/>
      <c r="M51" s="11"/>
      <c r="N51" s="11"/>
      <c r="O51" s="11"/>
      <c r="P51" s="11"/>
      <c r="Q51" s="11"/>
      <c r="R51" s="11"/>
      <c r="S51" s="11"/>
      <c r="T51" s="11"/>
    </row>
    <row r="52" ht="15.75" customHeight="1">
      <c r="A52" s="11"/>
      <c r="B52" s="11"/>
      <c r="C52" s="11"/>
      <c r="D52" s="11"/>
      <c r="E52" s="11"/>
      <c r="F52" s="11"/>
      <c r="G52" s="11"/>
      <c r="H52" s="11"/>
      <c r="I52" s="11"/>
      <c r="J52" s="11"/>
      <c r="K52" s="11"/>
      <c r="L52" s="11"/>
      <c r="M52" s="11"/>
      <c r="N52" s="11"/>
      <c r="O52" s="11"/>
      <c r="P52" s="11"/>
      <c r="Q52" s="11"/>
      <c r="R52" s="11"/>
      <c r="S52" s="11"/>
      <c r="T52" s="11"/>
    </row>
    <row r="53" ht="15.75" customHeight="1">
      <c r="A53" s="11"/>
      <c r="B53" s="11"/>
      <c r="C53" s="11"/>
      <c r="D53" s="11"/>
      <c r="E53" s="11"/>
      <c r="F53" s="11"/>
      <c r="G53" s="11"/>
      <c r="H53" s="11"/>
      <c r="I53" s="11"/>
      <c r="J53" s="11"/>
      <c r="K53" s="11"/>
      <c r="L53" s="11"/>
      <c r="M53" s="11"/>
      <c r="N53" s="11"/>
      <c r="O53" s="11"/>
      <c r="P53" s="11"/>
      <c r="Q53" s="11"/>
      <c r="R53" s="11"/>
      <c r="S53" s="11"/>
      <c r="T53" s="11"/>
    </row>
    <row r="54" ht="15.75" customHeight="1">
      <c r="A54" s="11"/>
      <c r="B54" s="11"/>
      <c r="C54" s="11"/>
      <c r="D54" s="11"/>
      <c r="E54" s="11"/>
      <c r="F54" s="11"/>
      <c r="G54" s="11"/>
      <c r="H54" s="11"/>
      <c r="I54" s="11"/>
      <c r="J54" s="11"/>
      <c r="K54" s="11"/>
      <c r="L54" s="11"/>
      <c r="M54" s="11"/>
      <c r="N54" s="11"/>
      <c r="O54" s="11"/>
      <c r="P54" s="11"/>
      <c r="Q54" s="11"/>
      <c r="R54" s="11"/>
      <c r="S54" s="11"/>
      <c r="T54" s="11"/>
    </row>
    <row r="55" ht="15.75" customHeight="1">
      <c r="A55" s="11"/>
      <c r="B55" s="11"/>
      <c r="C55" s="11"/>
      <c r="D55" s="11"/>
      <c r="E55" s="11"/>
      <c r="F55" s="11"/>
      <c r="G55" s="11"/>
      <c r="H55" s="11"/>
      <c r="I55" s="11"/>
      <c r="J55" s="11"/>
      <c r="K55" s="11"/>
      <c r="L55" s="11"/>
      <c r="M55" s="11"/>
      <c r="N55" s="11"/>
      <c r="O55" s="11"/>
      <c r="P55" s="11"/>
      <c r="Q55" s="11"/>
      <c r="R55" s="11"/>
      <c r="S55" s="11"/>
      <c r="T55" s="11"/>
    </row>
    <row r="56" ht="15.75" customHeight="1">
      <c r="A56" s="11"/>
      <c r="B56" s="11"/>
      <c r="C56" s="11"/>
      <c r="D56" s="11"/>
      <c r="E56" s="11"/>
      <c r="F56" s="11"/>
      <c r="G56" s="11"/>
      <c r="H56" s="11"/>
      <c r="I56" s="11"/>
      <c r="J56" s="11"/>
      <c r="K56" s="11"/>
      <c r="L56" s="11"/>
      <c r="M56" s="11"/>
      <c r="N56" s="11"/>
      <c r="O56" s="11"/>
      <c r="P56" s="11"/>
      <c r="Q56" s="11"/>
      <c r="R56" s="11"/>
      <c r="S56" s="11"/>
      <c r="T56" s="11"/>
    </row>
    <row r="57" ht="15.75" customHeight="1">
      <c r="A57" s="11"/>
      <c r="B57" s="11"/>
      <c r="C57" s="11"/>
      <c r="D57" s="11"/>
      <c r="E57" s="11"/>
      <c r="F57" s="11"/>
      <c r="G57" s="11"/>
      <c r="H57" s="11"/>
      <c r="I57" s="11"/>
      <c r="J57" s="11"/>
      <c r="K57" s="11"/>
      <c r="L57" s="11"/>
      <c r="M57" s="11"/>
      <c r="N57" s="11"/>
      <c r="O57" s="11"/>
      <c r="P57" s="11"/>
      <c r="Q57" s="11"/>
      <c r="R57" s="11"/>
      <c r="S57" s="11"/>
      <c r="T57" s="11"/>
    </row>
    <row r="58" ht="15.75" customHeight="1">
      <c r="A58" s="11"/>
      <c r="B58" s="11"/>
      <c r="C58" s="11"/>
      <c r="D58" s="11"/>
      <c r="E58" s="11"/>
      <c r="F58" s="11"/>
      <c r="G58" s="11"/>
      <c r="H58" s="11"/>
      <c r="I58" s="11"/>
      <c r="J58" s="11"/>
      <c r="K58" s="11"/>
      <c r="L58" s="11"/>
      <c r="M58" s="11"/>
      <c r="N58" s="11"/>
      <c r="O58" s="11"/>
      <c r="P58" s="11"/>
      <c r="Q58" s="11"/>
      <c r="R58" s="11"/>
      <c r="S58" s="11"/>
      <c r="T58" s="11"/>
    </row>
    <row r="59" ht="15.75" customHeight="1">
      <c r="A59" s="11"/>
      <c r="B59" s="11"/>
      <c r="C59" s="11"/>
      <c r="D59" s="11"/>
      <c r="E59" s="11"/>
      <c r="F59" s="11"/>
      <c r="G59" s="11"/>
      <c r="H59" s="11"/>
      <c r="I59" s="11"/>
      <c r="J59" s="11"/>
      <c r="K59" s="11"/>
      <c r="L59" s="11"/>
      <c r="M59" s="11"/>
      <c r="N59" s="11"/>
      <c r="O59" s="11"/>
      <c r="P59" s="11"/>
      <c r="Q59" s="11"/>
      <c r="R59" s="11"/>
      <c r="S59" s="11"/>
      <c r="T59" s="11"/>
    </row>
    <row r="60" ht="15.75" customHeight="1">
      <c r="A60" s="11"/>
      <c r="B60" s="11"/>
      <c r="C60" s="11"/>
      <c r="D60" s="11"/>
      <c r="E60" s="11"/>
      <c r="F60" s="11"/>
      <c r="G60" s="11"/>
      <c r="H60" s="11"/>
      <c r="I60" s="11"/>
      <c r="J60" s="11"/>
      <c r="K60" s="11"/>
      <c r="L60" s="11"/>
      <c r="M60" s="11"/>
      <c r="N60" s="11"/>
      <c r="O60" s="11"/>
      <c r="P60" s="11"/>
      <c r="Q60" s="11"/>
      <c r="R60" s="11"/>
      <c r="S60" s="11"/>
      <c r="T60" s="11"/>
    </row>
    <row r="61" ht="15.75" customHeight="1">
      <c r="A61" s="11"/>
      <c r="B61" s="11"/>
      <c r="C61" s="11"/>
      <c r="D61" s="11"/>
      <c r="E61" s="11"/>
      <c r="F61" s="11"/>
      <c r="G61" s="11"/>
      <c r="H61" s="11"/>
      <c r="I61" s="11"/>
      <c r="J61" s="11"/>
      <c r="K61" s="11"/>
      <c r="L61" s="11"/>
      <c r="M61" s="11"/>
      <c r="N61" s="11"/>
      <c r="O61" s="11"/>
      <c r="P61" s="11"/>
      <c r="Q61" s="11"/>
      <c r="R61" s="11"/>
      <c r="S61" s="11"/>
      <c r="T61" s="11"/>
    </row>
    <row r="62" ht="15.75" customHeight="1">
      <c r="A62" s="11"/>
      <c r="B62" s="11"/>
      <c r="C62" s="11"/>
      <c r="D62" s="11"/>
      <c r="E62" s="11"/>
      <c r="F62" s="11"/>
      <c r="G62" s="11"/>
      <c r="H62" s="11"/>
      <c r="I62" s="11"/>
      <c r="J62" s="11"/>
      <c r="K62" s="11"/>
      <c r="L62" s="11"/>
      <c r="M62" s="11"/>
      <c r="N62" s="11"/>
      <c r="O62" s="11"/>
      <c r="P62" s="11"/>
      <c r="Q62" s="11"/>
      <c r="R62" s="11"/>
      <c r="S62" s="11"/>
      <c r="T62" s="11"/>
    </row>
    <row r="63" ht="15.75" customHeight="1">
      <c r="A63" s="11"/>
      <c r="B63" s="11"/>
      <c r="C63" s="11"/>
      <c r="D63" s="11"/>
      <c r="E63" s="11"/>
      <c r="F63" s="11"/>
      <c r="G63" s="11"/>
      <c r="H63" s="11"/>
      <c r="I63" s="11"/>
      <c r="J63" s="11"/>
      <c r="K63" s="11"/>
      <c r="L63" s="11"/>
      <c r="M63" s="11"/>
      <c r="N63" s="11"/>
      <c r="O63" s="11"/>
      <c r="P63" s="11"/>
      <c r="Q63" s="11"/>
      <c r="R63" s="11"/>
      <c r="S63" s="11"/>
      <c r="T63" s="11"/>
    </row>
    <row r="64" ht="15.75" customHeight="1">
      <c r="A64" s="11"/>
      <c r="B64" s="11"/>
      <c r="C64" s="11"/>
      <c r="D64" s="11"/>
      <c r="E64" s="11"/>
      <c r="F64" s="11"/>
      <c r="G64" s="11"/>
      <c r="H64" s="11"/>
      <c r="I64" s="11"/>
      <c r="J64" s="11"/>
      <c r="K64" s="11"/>
      <c r="L64" s="11"/>
      <c r="M64" s="11"/>
      <c r="N64" s="11"/>
      <c r="O64" s="11"/>
      <c r="P64" s="11"/>
      <c r="Q64" s="11"/>
      <c r="R64" s="11"/>
      <c r="S64" s="11"/>
      <c r="T64" s="11"/>
    </row>
    <row r="65" ht="15.75" customHeight="1">
      <c r="A65" s="11"/>
      <c r="B65" s="11"/>
      <c r="C65" s="11"/>
      <c r="D65" s="11"/>
      <c r="E65" s="11"/>
      <c r="F65" s="11"/>
      <c r="G65" s="11"/>
      <c r="H65" s="11"/>
      <c r="I65" s="11"/>
      <c r="J65" s="11"/>
      <c r="K65" s="11"/>
      <c r="L65" s="11"/>
      <c r="M65" s="11"/>
      <c r="N65" s="11"/>
      <c r="O65" s="11"/>
      <c r="P65" s="11"/>
      <c r="Q65" s="11"/>
      <c r="R65" s="11"/>
      <c r="S65" s="11"/>
      <c r="T65" s="11"/>
    </row>
    <row r="66" ht="15.75" customHeight="1">
      <c r="A66" s="11"/>
      <c r="B66" s="11"/>
      <c r="C66" s="11"/>
      <c r="D66" s="11"/>
      <c r="E66" s="11"/>
      <c r="F66" s="11"/>
      <c r="G66" s="11"/>
      <c r="H66" s="11"/>
      <c r="I66" s="11"/>
      <c r="J66" s="11"/>
      <c r="K66" s="11"/>
      <c r="L66" s="11"/>
      <c r="M66" s="11"/>
      <c r="N66" s="11"/>
      <c r="O66" s="11"/>
      <c r="P66" s="11"/>
      <c r="Q66" s="11"/>
      <c r="R66" s="11"/>
      <c r="S66" s="11"/>
      <c r="T66" s="11"/>
    </row>
    <row r="67" ht="15.75" customHeight="1">
      <c r="A67" s="11"/>
      <c r="B67" s="11"/>
      <c r="C67" s="11"/>
      <c r="D67" s="11"/>
      <c r="E67" s="11"/>
      <c r="F67" s="11"/>
      <c r="G67" s="11"/>
      <c r="H67" s="11"/>
      <c r="I67" s="11"/>
      <c r="J67" s="11"/>
      <c r="K67" s="11"/>
      <c r="L67" s="11"/>
      <c r="M67" s="11"/>
      <c r="N67" s="11"/>
      <c r="O67" s="11"/>
      <c r="P67" s="11"/>
      <c r="Q67" s="11"/>
      <c r="R67" s="11"/>
      <c r="S67" s="11"/>
      <c r="T67" s="11"/>
    </row>
    <row r="68" ht="15.75" customHeight="1">
      <c r="A68" s="11"/>
      <c r="B68" s="11"/>
      <c r="C68" s="11"/>
      <c r="D68" s="11"/>
      <c r="E68" s="11"/>
      <c r="F68" s="11"/>
      <c r="G68" s="11"/>
      <c r="H68" s="11"/>
      <c r="I68" s="11"/>
      <c r="J68" s="11"/>
      <c r="K68" s="11"/>
      <c r="L68" s="11"/>
      <c r="M68" s="11"/>
      <c r="N68" s="11"/>
      <c r="O68" s="11"/>
      <c r="P68" s="11"/>
      <c r="Q68" s="11"/>
      <c r="R68" s="11"/>
      <c r="S68" s="11"/>
      <c r="T68" s="11"/>
    </row>
    <row r="69" ht="15.75" customHeight="1">
      <c r="A69" s="11"/>
      <c r="B69" s="11"/>
      <c r="C69" s="11"/>
      <c r="D69" s="11"/>
      <c r="E69" s="11"/>
      <c r="F69" s="11"/>
      <c r="G69" s="11"/>
      <c r="H69" s="11"/>
      <c r="I69" s="11"/>
      <c r="J69" s="11"/>
      <c r="K69" s="11"/>
      <c r="L69" s="11"/>
      <c r="M69" s="11"/>
      <c r="N69" s="11"/>
      <c r="O69" s="11"/>
      <c r="P69" s="11"/>
      <c r="Q69" s="11"/>
      <c r="R69" s="11"/>
      <c r="S69" s="11"/>
      <c r="T69" s="11"/>
    </row>
    <row r="70" ht="15.75" customHeight="1">
      <c r="A70" s="11"/>
      <c r="B70" s="11"/>
      <c r="C70" s="11"/>
      <c r="D70" s="11"/>
      <c r="E70" s="11"/>
      <c r="F70" s="11"/>
      <c r="G70" s="11"/>
      <c r="H70" s="11"/>
      <c r="I70" s="11"/>
      <c r="J70" s="11"/>
      <c r="K70" s="11"/>
      <c r="L70" s="11"/>
      <c r="M70" s="11"/>
      <c r="N70" s="11"/>
      <c r="O70" s="11"/>
      <c r="P70" s="11"/>
      <c r="Q70" s="11"/>
      <c r="R70" s="11"/>
      <c r="S70" s="11"/>
      <c r="T70" s="11"/>
    </row>
    <row r="71" ht="15.75" customHeight="1">
      <c r="A71" s="11"/>
      <c r="B71" s="11"/>
      <c r="C71" s="11"/>
      <c r="D71" s="11"/>
      <c r="E71" s="11"/>
      <c r="F71" s="11"/>
      <c r="G71" s="11"/>
      <c r="H71" s="11"/>
      <c r="I71" s="11"/>
      <c r="J71" s="11"/>
      <c r="K71" s="11"/>
      <c r="L71" s="11"/>
      <c r="M71" s="11"/>
      <c r="N71" s="11"/>
      <c r="O71" s="11"/>
      <c r="P71" s="11"/>
      <c r="Q71" s="11"/>
      <c r="R71" s="11"/>
      <c r="S71" s="11"/>
      <c r="T71" s="11"/>
    </row>
    <row r="72" ht="15.75" customHeight="1">
      <c r="A72" s="11"/>
      <c r="B72" s="11"/>
      <c r="C72" s="11"/>
      <c r="D72" s="11"/>
      <c r="E72" s="11"/>
      <c r="F72" s="11"/>
      <c r="G72" s="11"/>
      <c r="H72" s="11"/>
      <c r="I72" s="11"/>
      <c r="J72" s="11"/>
      <c r="K72" s="11"/>
      <c r="L72" s="11"/>
      <c r="M72" s="11"/>
      <c r="N72" s="11"/>
      <c r="O72" s="11"/>
      <c r="P72" s="11"/>
      <c r="Q72" s="11"/>
      <c r="R72" s="11"/>
      <c r="S72" s="11"/>
      <c r="T72" s="11"/>
    </row>
    <row r="73" ht="15.75" customHeight="1">
      <c r="A73" s="11"/>
      <c r="B73" s="11"/>
      <c r="C73" s="11"/>
      <c r="D73" s="11"/>
      <c r="E73" s="11"/>
      <c r="F73" s="11"/>
      <c r="G73" s="11"/>
      <c r="H73" s="11"/>
      <c r="I73" s="11"/>
      <c r="J73" s="11"/>
      <c r="K73" s="11"/>
      <c r="L73" s="11"/>
      <c r="M73" s="11"/>
      <c r="N73" s="11"/>
      <c r="O73" s="11"/>
      <c r="P73" s="11"/>
      <c r="Q73" s="11"/>
      <c r="R73" s="11"/>
      <c r="S73" s="11"/>
      <c r="T73" s="11"/>
    </row>
    <row r="74" ht="15.75" customHeight="1">
      <c r="A74" s="11"/>
      <c r="B74" s="11"/>
      <c r="C74" s="11"/>
      <c r="D74" s="11"/>
      <c r="E74" s="11"/>
      <c r="F74" s="11"/>
      <c r="G74" s="11"/>
      <c r="H74" s="11"/>
      <c r="I74" s="11"/>
      <c r="J74" s="11"/>
      <c r="K74" s="11"/>
      <c r="L74" s="11"/>
      <c r="M74" s="11"/>
      <c r="N74" s="11"/>
      <c r="O74" s="11"/>
      <c r="P74" s="11"/>
      <c r="Q74" s="11"/>
      <c r="R74" s="11"/>
      <c r="S74" s="11"/>
      <c r="T74" s="11"/>
    </row>
    <row r="75" ht="15.75" customHeight="1">
      <c r="A75" s="11"/>
      <c r="B75" s="11"/>
      <c r="C75" s="11"/>
      <c r="D75" s="11"/>
      <c r="E75" s="11"/>
      <c r="F75" s="11"/>
      <c r="G75" s="11"/>
      <c r="H75" s="11"/>
      <c r="I75" s="11"/>
      <c r="J75" s="11"/>
      <c r="K75" s="11"/>
      <c r="L75" s="11"/>
      <c r="M75" s="11"/>
      <c r="N75" s="11"/>
      <c r="O75" s="11"/>
      <c r="P75" s="11"/>
      <c r="Q75" s="11"/>
      <c r="R75" s="11"/>
      <c r="S75" s="11"/>
      <c r="T75" s="11"/>
    </row>
    <row r="76" ht="15.75" customHeight="1">
      <c r="A76" s="11"/>
      <c r="B76" s="11"/>
      <c r="C76" s="11"/>
      <c r="D76" s="11"/>
      <c r="E76" s="11"/>
      <c r="F76" s="11"/>
      <c r="G76" s="11"/>
      <c r="H76" s="11"/>
      <c r="I76" s="11"/>
      <c r="J76" s="11"/>
      <c r="K76" s="11"/>
      <c r="L76" s="11"/>
      <c r="M76" s="11"/>
      <c r="N76" s="11"/>
      <c r="O76" s="11"/>
      <c r="P76" s="11"/>
      <c r="Q76" s="11"/>
      <c r="R76" s="11"/>
      <c r="S76" s="11"/>
      <c r="T76" s="11"/>
    </row>
    <row r="77" ht="15.75" customHeight="1">
      <c r="A77" s="11"/>
      <c r="B77" s="11"/>
      <c r="C77" s="11"/>
      <c r="D77" s="11"/>
      <c r="E77" s="11"/>
      <c r="F77" s="11"/>
      <c r="G77" s="11"/>
      <c r="H77" s="11"/>
      <c r="I77" s="11"/>
      <c r="J77" s="11"/>
      <c r="K77" s="11"/>
      <c r="L77" s="11"/>
      <c r="M77" s="11"/>
      <c r="N77" s="11"/>
      <c r="O77" s="11"/>
      <c r="P77" s="11"/>
      <c r="Q77" s="11"/>
      <c r="R77" s="11"/>
      <c r="S77" s="11"/>
      <c r="T77" s="11"/>
    </row>
    <row r="78" ht="15.75" customHeight="1">
      <c r="A78" s="11"/>
      <c r="B78" s="11"/>
      <c r="C78" s="11"/>
      <c r="D78" s="11"/>
      <c r="E78" s="11"/>
      <c r="F78" s="11"/>
      <c r="G78" s="11"/>
      <c r="H78" s="11"/>
      <c r="I78" s="11"/>
      <c r="J78" s="11"/>
      <c r="K78" s="11"/>
      <c r="L78" s="11"/>
      <c r="M78" s="11"/>
      <c r="N78" s="11"/>
      <c r="O78" s="11"/>
      <c r="P78" s="11"/>
      <c r="Q78" s="11"/>
      <c r="R78" s="11"/>
      <c r="S78" s="11"/>
      <c r="T78" s="11"/>
    </row>
    <row r="79" ht="15.75" customHeight="1">
      <c r="A79" s="11"/>
      <c r="B79" s="11"/>
      <c r="C79" s="11"/>
      <c r="D79" s="11"/>
      <c r="E79" s="11"/>
      <c r="F79" s="11"/>
      <c r="G79" s="11"/>
      <c r="H79" s="11"/>
      <c r="I79" s="11"/>
      <c r="J79" s="11"/>
      <c r="K79" s="11"/>
      <c r="L79" s="11"/>
      <c r="M79" s="11"/>
      <c r="N79" s="11"/>
      <c r="O79" s="11"/>
      <c r="P79" s="11"/>
      <c r="Q79" s="11"/>
      <c r="R79" s="11"/>
      <c r="S79" s="11"/>
      <c r="T79" s="11"/>
    </row>
    <row r="80" ht="15.75" customHeight="1">
      <c r="A80" s="11"/>
      <c r="B80" s="11"/>
      <c r="C80" s="11"/>
      <c r="D80" s="11"/>
      <c r="E80" s="11"/>
      <c r="F80" s="11"/>
      <c r="G80" s="11"/>
      <c r="H80" s="11"/>
      <c r="I80" s="11"/>
      <c r="J80" s="11"/>
      <c r="K80" s="11"/>
      <c r="L80" s="11"/>
      <c r="M80" s="11"/>
      <c r="N80" s="11"/>
      <c r="O80" s="11"/>
      <c r="P80" s="11"/>
      <c r="Q80" s="11"/>
      <c r="R80" s="11"/>
      <c r="S80" s="11"/>
      <c r="T80" s="11"/>
    </row>
    <row r="81" ht="15.75" customHeight="1">
      <c r="A81" s="11"/>
      <c r="B81" s="11"/>
      <c r="C81" s="11"/>
      <c r="D81" s="11"/>
      <c r="E81" s="11"/>
      <c r="F81" s="11"/>
      <c r="G81" s="11"/>
      <c r="H81" s="11"/>
      <c r="I81" s="11"/>
      <c r="J81" s="11"/>
      <c r="K81" s="11"/>
      <c r="L81" s="11"/>
      <c r="M81" s="11"/>
      <c r="N81" s="11"/>
      <c r="O81" s="11"/>
      <c r="P81" s="11"/>
      <c r="Q81" s="11"/>
      <c r="R81" s="11"/>
      <c r="S81" s="11"/>
      <c r="T81" s="11"/>
    </row>
    <row r="82" ht="15.75" customHeight="1">
      <c r="A82" s="11"/>
      <c r="B82" s="11"/>
      <c r="C82" s="11"/>
      <c r="D82" s="11"/>
      <c r="E82" s="11"/>
      <c r="F82" s="11"/>
      <c r="G82" s="11"/>
      <c r="H82" s="11"/>
      <c r="I82" s="11"/>
      <c r="J82" s="11"/>
      <c r="K82" s="11"/>
      <c r="L82" s="11"/>
      <c r="M82" s="11"/>
      <c r="N82" s="11"/>
      <c r="O82" s="11"/>
      <c r="P82" s="11"/>
      <c r="Q82" s="11"/>
      <c r="R82" s="11"/>
      <c r="S82" s="11"/>
      <c r="T82" s="11"/>
    </row>
    <row r="83" ht="15.75" customHeight="1">
      <c r="A83" s="11"/>
      <c r="B83" s="11"/>
      <c r="C83" s="11"/>
      <c r="D83" s="11"/>
      <c r="E83" s="11"/>
      <c r="F83" s="11"/>
      <c r="G83" s="11"/>
      <c r="H83" s="11"/>
      <c r="I83" s="11"/>
      <c r="J83" s="11"/>
      <c r="K83" s="11"/>
      <c r="L83" s="11"/>
      <c r="M83" s="11"/>
      <c r="N83" s="11"/>
      <c r="O83" s="11"/>
      <c r="P83" s="11"/>
      <c r="Q83" s="11"/>
      <c r="R83" s="11"/>
      <c r="S83" s="11"/>
      <c r="T83" s="11"/>
    </row>
    <row r="84" ht="15.75" customHeight="1">
      <c r="A84" s="11"/>
      <c r="B84" s="11"/>
      <c r="C84" s="11"/>
      <c r="D84" s="11"/>
      <c r="E84" s="11"/>
      <c r="F84" s="11"/>
      <c r="G84" s="11"/>
      <c r="H84" s="11"/>
      <c r="I84" s="11"/>
      <c r="J84" s="11"/>
      <c r="K84" s="11"/>
      <c r="L84" s="11"/>
      <c r="M84" s="11"/>
      <c r="N84" s="11"/>
      <c r="O84" s="11"/>
      <c r="P84" s="11"/>
      <c r="Q84" s="11"/>
      <c r="R84" s="11"/>
      <c r="S84" s="11"/>
      <c r="T84" s="11"/>
    </row>
    <row r="85" ht="15.75" customHeight="1">
      <c r="A85" s="11"/>
      <c r="B85" s="11"/>
      <c r="C85" s="11"/>
      <c r="D85" s="11"/>
      <c r="E85" s="11"/>
      <c r="F85" s="11"/>
      <c r="G85" s="11"/>
      <c r="H85" s="11"/>
      <c r="I85" s="11"/>
      <c r="J85" s="11"/>
      <c r="K85" s="11"/>
      <c r="L85" s="11"/>
      <c r="M85" s="11"/>
      <c r="N85" s="11"/>
      <c r="O85" s="11"/>
      <c r="P85" s="11"/>
      <c r="Q85" s="11"/>
      <c r="R85" s="11"/>
      <c r="S85" s="11"/>
      <c r="T85" s="11"/>
    </row>
    <row r="86" ht="15.75" customHeight="1">
      <c r="A86" s="11"/>
      <c r="B86" s="11"/>
      <c r="C86" s="11"/>
      <c r="D86" s="11"/>
      <c r="E86" s="11"/>
      <c r="F86" s="11"/>
      <c r="G86" s="11"/>
      <c r="H86" s="11"/>
      <c r="I86" s="11"/>
      <c r="J86" s="11"/>
      <c r="K86" s="11"/>
      <c r="L86" s="11"/>
      <c r="M86" s="11"/>
      <c r="N86" s="11"/>
      <c r="O86" s="11"/>
      <c r="P86" s="11"/>
      <c r="Q86" s="11"/>
      <c r="R86" s="11"/>
      <c r="S86" s="11"/>
      <c r="T86" s="11"/>
    </row>
    <row r="87" ht="15.75" customHeight="1">
      <c r="A87" s="11"/>
      <c r="B87" s="11"/>
      <c r="C87" s="11"/>
      <c r="D87" s="11"/>
      <c r="E87" s="11"/>
      <c r="F87" s="11"/>
      <c r="G87" s="11"/>
      <c r="H87" s="11"/>
      <c r="I87" s="11"/>
      <c r="J87" s="11"/>
      <c r="K87" s="11"/>
      <c r="L87" s="11"/>
      <c r="M87" s="11"/>
      <c r="N87" s="11"/>
      <c r="O87" s="11"/>
      <c r="P87" s="11"/>
      <c r="Q87" s="11"/>
      <c r="R87" s="11"/>
      <c r="S87" s="11"/>
      <c r="T87" s="11"/>
    </row>
    <row r="88" ht="15.75" customHeight="1">
      <c r="A88" s="11"/>
      <c r="B88" s="11"/>
      <c r="C88" s="11"/>
      <c r="D88" s="11"/>
      <c r="E88" s="11"/>
      <c r="F88" s="11"/>
      <c r="G88" s="11"/>
      <c r="H88" s="11"/>
      <c r="I88" s="11"/>
      <c r="J88" s="11"/>
      <c r="K88" s="11"/>
      <c r="L88" s="11"/>
      <c r="M88" s="11"/>
      <c r="N88" s="11"/>
      <c r="O88" s="11"/>
      <c r="P88" s="11"/>
      <c r="Q88" s="11"/>
      <c r="R88" s="11"/>
      <c r="S88" s="11"/>
      <c r="T88" s="11"/>
    </row>
    <row r="89" ht="15.75" customHeight="1">
      <c r="A89" s="11"/>
      <c r="B89" s="11"/>
      <c r="C89" s="11"/>
      <c r="D89" s="11"/>
      <c r="E89" s="11"/>
      <c r="F89" s="11"/>
      <c r="G89" s="11"/>
      <c r="H89" s="11"/>
      <c r="I89" s="11"/>
      <c r="J89" s="11"/>
      <c r="K89" s="11"/>
      <c r="L89" s="11"/>
      <c r="M89" s="11"/>
      <c r="N89" s="11"/>
      <c r="O89" s="11"/>
      <c r="P89" s="11"/>
      <c r="Q89" s="11"/>
      <c r="R89" s="11"/>
      <c r="S89" s="11"/>
      <c r="T89" s="11"/>
    </row>
    <row r="90" ht="15.75" customHeight="1">
      <c r="A90" s="11"/>
      <c r="B90" s="11"/>
      <c r="C90" s="11"/>
      <c r="D90" s="11"/>
      <c r="E90" s="11"/>
      <c r="F90" s="11"/>
      <c r="G90" s="11"/>
      <c r="H90" s="11"/>
      <c r="I90" s="11"/>
      <c r="J90" s="11"/>
      <c r="K90" s="11"/>
      <c r="L90" s="11"/>
      <c r="M90" s="11"/>
      <c r="N90" s="11"/>
      <c r="O90" s="11"/>
      <c r="P90" s="11"/>
      <c r="Q90" s="11"/>
      <c r="R90" s="11"/>
      <c r="S90" s="11"/>
      <c r="T90" s="11"/>
    </row>
    <row r="91" ht="15.75" customHeight="1">
      <c r="A91" s="11"/>
      <c r="B91" s="11"/>
      <c r="C91" s="11"/>
      <c r="D91" s="11"/>
      <c r="E91" s="11"/>
      <c r="F91" s="11"/>
      <c r="G91" s="11"/>
      <c r="H91" s="11"/>
      <c r="I91" s="11"/>
      <c r="J91" s="11"/>
      <c r="K91" s="11"/>
      <c r="L91" s="11"/>
      <c r="M91" s="11"/>
      <c r="N91" s="11"/>
      <c r="O91" s="11"/>
      <c r="P91" s="11"/>
      <c r="Q91" s="11"/>
      <c r="R91" s="11"/>
      <c r="S91" s="11"/>
      <c r="T91" s="11"/>
    </row>
    <row r="92" ht="15.75" customHeight="1">
      <c r="A92" s="11"/>
      <c r="B92" s="11"/>
      <c r="C92" s="11"/>
      <c r="D92" s="11"/>
      <c r="E92" s="11"/>
      <c r="F92" s="11"/>
      <c r="G92" s="11"/>
      <c r="H92" s="11"/>
      <c r="I92" s="11"/>
      <c r="J92" s="11"/>
      <c r="K92" s="11"/>
      <c r="L92" s="11"/>
      <c r="M92" s="11"/>
      <c r="N92" s="11"/>
      <c r="O92" s="11"/>
      <c r="P92" s="11"/>
      <c r="Q92" s="11"/>
      <c r="R92" s="11"/>
      <c r="S92" s="11"/>
      <c r="T92" s="11"/>
    </row>
    <row r="93" ht="15.75" customHeight="1">
      <c r="A93" s="11"/>
      <c r="B93" s="11"/>
      <c r="C93" s="11"/>
      <c r="D93" s="11"/>
      <c r="E93" s="11"/>
      <c r="F93" s="11"/>
      <c r="G93" s="11"/>
      <c r="H93" s="11"/>
      <c r="I93" s="11"/>
      <c r="J93" s="11"/>
      <c r="K93" s="11"/>
      <c r="L93" s="11"/>
      <c r="M93" s="11"/>
      <c r="N93" s="11"/>
      <c r="O93" s="11"/>
      <c r="P93" s="11"/>
      <c r="Q93" s="11"/>
      <c r="R93" s="11"/>
      <c r="S93" s="11"/>
      <c r="T93" s="11"/>
    </row>
    <row r="94" ht="15.75" customHeight="1">
      <c r="A94" s="11"/>
      <c r="B94" s="11"/>
      <c r="C94" s="11"/>
      <c r="D94" s="11"/>
      <c r="E94" s="11"/>
      <c r="F94" s="11"/>
      <c r="G94" s="11"/>
      <c r="H94" s="11"/>
      <c r="I94" s="11"/>
      <c r="J94" s="11"/>
      <c r="K94" s="11"/>
      <c r="L94" s="11"/>
      <c r="M94" s="11"/>
      <c r="N94" s="11"/>
      <c r="O94" s="11"/>
      <c r="P94" s="11"/>
      <c r="Q94" s="11"/>
      <c r="R94" s="11"/>
      <c r="S94" s="11"/>
      <c r="T94" s="11"/>
    </row>
    <row r="95" ht="15.75" customHeight="1">
      <c r="A95" s="11"/>
      <c r="B95" s="11"/>
      <c r="C95" s="11"/>
      <c r="D95" s="11"/>
      <c r="E95" s="11"/>
      <c r="F95" s="11"/>
      <c r="G95" s="11"/>
      <c r="H95" s="11"/>
      <c r="I95" s="11"/>
      <c r="J95" s="11"/>
      <c r="K95" s="11"/>
      <c r="L95" s="11"/>
      <c r="M95" s="11"/>
      <c r="N95" s="11"/>
      <c r="O95" s="11"/>
      <c r="P95" s="11"/>
      <c r="Q95" s="11"/>
      <c r="R95" s="11"/>
      <c r="S95" s="11"/>
      <c r="T95" s="11"/>
    </row>
    <row r="96" ht="15.75" customHeight="1">
      <c r="A96" s="11"/>
      <c r="B96" s="11"/>
      <c r="C96" s="11"/>
      <c r="D96" s="11"/>
      <c r="E96" s="11"/>
      <c r="F96" s="11"/>
      <c r="G96" s="11"/>
      <c r="H96" s="11"/>
      <c r="I96" s="11"/>
      <c r="J96" s="11"/>
      <c r="K96" s="11"/>
      <c r="L96" s="11"/>
      <c r="M96" s="11"/>
      <c r="N96" s="11"/>
      <c r="O96" s="11"/>
      <c r="P96" s="11"/>
      <c r="Q96" s="11"/>
      <c r="R96" s="11"/>
      <c r="S96" s="11"/>
      <c r="T96" s="11"/>
    </row>
    <row r="97" ht="15.75" customHeight="1">
      <c r="A97" s="11"/>
      <c r="B97" s="11"/>
      <c r="C97" s="11"/>
      <c r="D97" s="11"/>
      <c r="E97" s="11"/>
      <c r="F97" s="11"/>
      <c r="G97" s="11"/>
      <c r="H97" s="11"/>
      <c r="I97" s="11"/>
      <c r="J97" s="11"/>
      <c r="K97" s="11"/>
      <c r="L97" s="11"/>
      <c r="M97" s="11"/>
      <c r="N97" s="11"/>
      <c r="O97" s="11"/>
      <c r="P97" s="11"/>
      <c r="Q97" s="11"/>
      <c r="R97" s="11"/>
      <c r="S97" s="11"/>
      <c r="T97" s="11"/>
    </row>
    <row r="98" ht="15.75" customHeight="1">
      <c r="A98" s="11"/>
      <c r="B98" s="11"/>
      <c r="C98" s="11"/>
      <c r="D98" s="11"/>
      <c r="E98" s="11"/>
      <c r="F98" s="11"/>
      <c r="G98" s="11"/>
      <c r="H98" s="11"/>
      <c r="I98" s="11"/>
      <c r="J98" s="11"/>
      <c r="K98" s="11"/>
      <c r="L98" s="11"/>
      <c r="M98" s="11"/>
      <c r="N98" s="11"/>
      <c r="O98" s="11"/>
      <c r="P98" s="11"/>
      <c r="Q98" s="11"/>
      <c r="R98" s="11"/>
      <c r="S98" s="11"/>
      <c r="T98" s="11"/>
    </row>
    <row r="99" ht="15.75" customHeight="1">
      <c r="A99" s="11"/>
      <c r="B99" s="11"/>
      <c r="C99" s="11"/>
      <c r="D99" s="11"/>
      <c r="E99" s="11"/>
      <c r="F99" s="11"/>
      <c r="G99" s="11"/>
      <c r="H99" s="11"/>
      <c r="I99" s="11"/>
      <c r="J99" s="11"/>
      <c r="K99" s="11"/>
      <c r="L99" s="11"/>
      <c r="M99" s="11"/>
      <c r="N99" s="11"/>
      <c r="O99" s="11"/>
      <c r="P99" s="11"/>
      <c r="Q99" s="11"/>
      <c r="R99" s="11"/>
      <c r="S99" s="11"/>
      <c r="T99" s="11"/>
    </row>
    <row r="100" ht="15.75" customHeight="1">
      <c r="A100" s="11"/>
      <c r="B100" s="11"/>
      <c r="C100" s="11"/>
      <c r="D100" s="11"/>
      <c r="E100" s="11"/>
      <c r="F100" s="11"/>
      <c r="G100" s="11"/>
      <c r="H100" s="11"/>
      <c r="I100" s="11"/>
      <c r="J100" s="11"/>
      <c r="K100" s="11"/>
      <c r="L100" s="11"/>
      <c r="M100" s="11"/>
      <c r="N100" s="11"/>
      <c r="O100" s="11"/>
      <c r="P100" s="11"/>
      <c r="Q100" s="11"/>
      <c r="R100" s="11"/>
      <c r="S100" s="11"/>
      <c r="T100" s="11"/>
    </row>
    <row r="101" ht="15.75" customHeight="1">
      <c r="A101" s="11"/>
      <c r="B101" s="11"/>
      <c r="C101" s="11"/>
      <c r="D101" s="11"/>
      <c r="E101" s="11"/>
      <c r="F101" s="11"/>
      <c r="G101" s="11"/>
      <c r="H101" s="11"/>
      <c r="I101" s="11"/>
      <c r="J101" s="11"/>
      <c r="K101" s="11"/>
      <c r="L101" s="11"/>
      <c r="M101" s="11"/>
      <c r="N101" s="11"/>
      <c r="O101" s="11"/>
      <c r="P101" s="11"/>
      <c r="Q101" s="11"/>
      <c r="R101" s="11"/>
      <c r="S101" s="11"/>
      <c r="T101" s="11"/>
    </row>
    <row r="102" ht="15.75" customHeight="1">
      <c r="A102" s="11"/>
      <c r="B102" s="11"/>
      <c r="C102" s="11"/>
      <c r="D102" s="11"/>
      <c r="E102" s="11"/>
      <c r="F102" s="11"/>
      <c r="G102" s="11"/>
      <c r="H102" s="11"/>
      <c r="I102" s="11"/>
      <c r="J102" s="11"/>
      <c r="K102" s="11"/>
      <c r="L102" s="11"/>
      <c r="M102" s="11"/>
      <c r="N102" s="11"/>
      <c r="O102" s="11"/>
      <c r="P102" s="11"/>
      <c r="Q102" s="11"/>
      <c r="R102" s="11"/>
      <c r="S102" s="11"/>
      <c r="T102" s="11"/>
    </row>
    <row r="103" ht="15.75" customHeight="1">
      <c r="A103" s="11"/>
      <c r="B103" s="11"/>
      <c r="C103" s="11"/>
      <c r="D103" s="11"/>
      <c r="E103" s="11"/>
      <c r="F103" s="11"/>
      <c r="G103" s="11"/>
      <c r="H103" s="11"/>
      <c r="I103" s="11"/>
      <c r="J103" s="11"/>
      <c r="K103" s="11"/>
      <c r="L103" s="11"/>
      <c r="M103" s="11"/>
      <c r="N103" s="11"/>
      <c r="O103" s="11"/>
      <c r="P103" s="11"/>
      <c r="Q103" s="11"/>
      <c r="R103" s="11"/>
      <c r="S103" s="11"/>
      <c r="T103" s="11"/>
    </row>
    <row r="104" ht="15.75" customHeight="1">
      <c r="A104" s="11"/>
      <c r="B104" s="11"/>
      <c r="C104" s="11"/>
      <c r="D104" s="11"/>
      <c r="E104" s="11"/>
      <c r="F104" s="11"/>
      <c r="G104" s="11"/>
      <c r="H104" s="11"/>
      <c r="I104" s="11"/>
      <c r="J104" s="11"/>
      <c r="K104" s="11"/>
      <c r="L104" s="11"/>
      <c r="M104" s="11"/>
      <c r="N104" s="11"/>
      <c r="O104" s="11"/>
      <c r="P104" s="11"/>
      <c r="Q104" s="11"/>
      <c r="R104" s="11"/>
      <c r="S104" s="11"/>
      <c r="T104" s="11"/>
    </row>
    <row r="105" ht="15.75" customHeight="1">
      <c r="A105" s="11"/>
      <c r="B105" s="11"/>
      <c r="C105" s="11"/>
      <c r="D105" s="11"/>
      <c r="E105" s="11"/>
      <c r="F105" s="11"/>
      <c r="G105" s="11"/>
      <c r="H105" s="11"/>
      <c r="I105" s="11"/>
      <c r="J105" s="11"/>
      <c r="K105" s="11"/>
      <c r="L105" s="11"/>
      <c r="M105" s="11"/>
      <c r="N105" s="11"/>
      <c r="O105" s="11"/>
      <c r="P105" s="11"/>
      <c r="Q105" s="11"/>
      <c r="R105" s="11"/>
      <c r="S105" s="11"/>
      <c r="T105" s="11"/>
    </row>
    <row r="106" ht="15.75" customHeight="1">
      <c r="A106" s="11"/>
      <c r="B106" s="11"/>
      <c r="C106" s="11"/>
      <c r="D106" s="11"/>
      <c r="E106" s="11"/>
      <c r="F106" s="11"/>
      <c r="G106" s="11"/>
      <c r="H106" s="11"/>
      <c r="I106" s="11"/>
      <c r="J106" s="11"/>
      <c r="K106" s="11"/>
      <c r="L106" s="11"/>
      <c r="M106" s="11"/>
      <c r="N106" s="11"/>
      <c r="O106" s="11"/>
      <c r="P106" s="11"/>
      <c r="Q106" s="11"/>
      <c r="R106" s="11"/>
      <c r="S106" s="11"/>
      <c r="T106" s="11"/>
    </row>
    <row r="107" ht="15.75" customHeight="1">
      <c r="A107" s="11"/>
      <c r="B107" s="11"/>
      <c r="C107" s="11"/>
      <c r="D107" s="11"/>
      <c r="E107" s="11"/>
      <c r="F107" s="11"/>
      <c r="G107" s="11"/>
      <c r="H107" s="11"/>
      <c r="I107" s="11"/>
      <c r="J107" s="11"/>
      <c r="K107" s="11"/>
      <c r="L107" s="11"/>
      <c r="M107" s="11"/>
      <c r="N107" s="11"/>
      <c r="O107" s="11"/>
      <c r="P107" s="11"/>
      <c r="Q107" s="11"/>
      <c r="R107" s="11"/>
      <c r="S107" s="11"/>
      <c r="T107" s="11"/>
    </row>
    <row r="108" ht="15.75" customHeight="1">
      <c r="A108" s="11"/>
      <c r="B108" s="11"/>
      <c r="C108" s="11"/>
      <c r="D108" s="11"/>
      <c r="E108" s="11"/>
      <c r="F108" s="11"/>
      <c r="G108" s="11"/>
      <c r="H108" s="11"/>
      <c r="I108" s="11"/>
      <c r="J108" s="11"/>
      <c r="K108" s="11"/>
      <c r="L108" s="11"/>
      <c r="M108" s="11"/>
      <c r="N108" s="11"/>
      <c r="O108" s="11"/>
      <c r="P108" s="11"/>
      <c r="Q108" s="11"/>
      <c r="R108" s="11"/>
      <c r="S108" s="11"/>
      <c r="T108" s="11"/>
    </row>
    <row r="109" ht="15.75" customHeight="1">
      <c r="A109" s="11"/>
      <c r="B109" s="11"/>
      <c r="C109" s="11"/>
      <c r="D109" s="11"/>
      <c r="E109" s="11"/>
      <c r="F109" s="11"/>
      <c r="G109" s="11"/>
      <c r="H109" s="11"/>
      <c r="I109" s="11"/>
      <c r="J109" s="11"/>
      <c r="K109" s="11"/>
      <c r="L109" s="11"/>
      <c r="M109" s="11"/>
      <c r="N109" s="11"/>
      <c r="O109" s="11"/>
      <c r="P109" s="11"/>
      <c r="Q109" s="11"/>
      <c r="R109" s="11"/>
      <c r="S109" s="11"/>
      <c r="T109" s="11"/>
    </row>
    <row r="110" ht="15.75" customHeight="1">
      <c r="A110" s="11"/>
      <c r="B110" s="11"/>
      <c r="C110" s="11"/>
      <c r="D110" s="11"/>
      <c r="E110" s="11"/>
      <c r="F110" s="11"/>
      <c r="G110" s="11"/>
      <c r="H110" s="11"/>
      <c r="I110" s="11"/>
      <c r="J110" s="11"/>
      <c r="K110" s="11"/>
      <c r="L110" s="11"/>
      <c r="M110" s="11"/>
      <c r="N110" s="11"/>
      <c r="O110" s="11"/>
      <c r="P110" s="11"/>
      <c r="Q110" s="11"/>
      <c r="R110" s="11"/>
      <c r="S110" s="11"/>
      <c r="T110" s="11"/>
    </row>
    <row r="111" ht="15.75" customHeight="1">
      <c r="A111" s="11"/>
      <c r="B111" s="11"/>
      <c r="C111" s="11"/>
      <c r="D111" s="11"/>
      <c r="E111" s="11"/>
      <c r="F111" s="11"/>
      <c r="G111" s="11"/>
      <c r="H111" s="11"/>
      <c r="I111" s="11"/>
      <c r="J111" s="11"/>
      <c r="K111" s="11"/>
      <c r="L111" s="11"/>
      <c r="M111" s="11"/>
      <c r="N111" s="11"/>
      <c r="O111" s="11"/>
      <c r="P111" s="11"/>
      <c r="Q111" s="11"/>
      <c r="R111" s="11"/>
      <c r="S111" s="11"/>
      <c r="T111" s="11"/>
    </row>
    <row r="112" ht="15.75" customHeight="1">
      <c r="A112" s="11"/>
      <c r="B112" s="11"/>
      <c r="C112" s="11"/>
      <c r="D112" s="11"/>
      <c r="E112" s="11"/>
      <c r="F112" s="11"/>
      <c r="G112" s="11"/>
      <c r="H112" s="11"/>
      <c r="I112" s="11"/>
      <c r="J112" s="11"/>
      <c r="K112" s="11"/>
      <c r="L112" s="11"/>
      <c r="M112" s="11"/>
      <c r="N112" s="11"/>
      <c r="O112" s="11"/>
      <c r="P112" s="11"/>
      <c r="Q112" s="11"/>
      <c r="R112" s="11"/>
      <c r="S112" s="11"/>
      <c r="T112" s="11"/>
    </row>
    <row r="113" ht="15.75" customHeight="1">
      <c r="A113" s="11"/>
      <c r="B113" s="11"/>
      <c r="C113" s="11"/>
      <c r="D113" s="11"/>
      <c r="E113" s="11"/>
      <c r="F113" s="11"/>
      <c r="G113" s="11"/>
      <c r="H113" s="11"/>
      <c r="I113" s="11"/>
      <c r="J113" s="11"/>
      <c r="K113" s="11"/>
      <c r="L113" s="11"/>
      <c r="M113" s="11"/>
      <c r="N113" s="11"/>
      <c r="O113" s="11"/>
      <c r="P113" s="11"/>
      <c r="Q113" s="11"/>
      <c r="R113" s="11"/>
      <c r="S113" s="11"/>
      <c r="T113" s="11"/>
    </row>
    <row r="114" ht="15.75" customHeight="1">
      <c r="A114" s="11"/>
      <c r="B114" s="11"/>
      <c r="C114" s="11"/>
      <c r="D114" s="11"/>
      <c r="E114" s="11"/>
      <c r="F114" s="11"/>
      <c r="G114" s="11"/>
      <c r="H114" s="11"/>
      <c r="I114" s="11"/>
      <c r="J114" s="11"/>
      <c r="K114" s="11"/>
      <c r="L114" s="11"/>
      <c r="M114" s="11"/>
      <c r="N114" s="11"/>
      <c r="O114" s="11"/>
      <c r="P114" s="11"/>
      <c r="Q114" s="11"/>
      <c r="R114" s="11"/>
      <c r="S114" s="11"/>
      <c r="T114" s="11"/>
    </row>
    <row r="115" ht="15.75" customHeight="1">
      <c r="A115" s="11"/>
      <c r="B115" s="11"/>
      <c r="C115" s="11"/>
      <c r="D115" s="11"/>
      <c r="E115" s="11"/>
      <c r="F115" s="11"/>
      <c r="G115" s="11"/>
      <c r="H115" s="11"/>
      <c r="I115" s="11"/>
      <c r="J115" s="11"/>
      <c r="K115" s="11"/>
      <c r="L115" s="11"/>
      <c r="M115" s="11"/>
      <c r="N115" s="11"/>
      <c r="O115" s="11"/>
      <c r="P115" s="11"/>
      <c r="Q115" s="11"/>
      <c r="R115" s="11"/>
      <c r="S115" s="11"/>
      <c r="T115" s="11"/>
    </row>
    <row r="116" ht="15.75" customHeight="1">
      <c r="A116" s="11"/>
      <c r="B116" s="11"/>
      <c r="C116" s="11"/>
      <c r="D116" s="11"/>
      <c r="E116" s="11"/>
      <c r="F116" s="11"/>
      <c r="G116" s="11"/>
      <c r="H116" s="11"/>
      <c r="I116" s="11"/>
      <c r="J116" s="11"/>
      <c r="K116" s="11"/>
      <c r="L116" s="11"/>
      <c r="M116" s="11"/>
      <c r="N116" s="11"/>
      <c r="O116" s="11"/>
      <c r="P116" s="11"/>
      <c r="Q116" s="11"/>
      <c r="R116" s="11"/>
      <c r="S116" s="11"/>
      <c r="T116" s="11"/>
    </row>
    <row r="117" ht="15.75" customHeight="1">
      <c r="A117" s="11"/>
      <c r="B117" s="11"/>
      <c r="C117" s="11"/>
      <c r="D117" s="11"/>
      <c r="E117" s="11"/>
      <c r="F117" s="11"/>
      <c r="G117" s="11"/>
      <c r="H117" s="11"/>
      <c r="I117" s="11"/>
      <c r="J117" s="11"/>
      <c r="K117" s="11"/>
      <c r="L117" s="11"/>
      <c r="M117" s="11"/>
      <c r="N117" s="11"/>
      <c r="O117" s="11"/>
      <c r="P117" s="11"/>
      <c r="Q117" s="11"/>
      <c r="R117" s="11"/>
      <c r="S117" s="11"/>
      <c r="T117" s="11"/>
    </row>
    <row r="118" ht="15.75" customHeight="1">
      <c r="A118" s="11"/>
      <c r="B118" s="11"/>
      <c r="C118" s="11"/>
      <c r="D118" s="11"/>
      <c r="E118" s="11"/>
      <c r="F118" s="11"/>
      <c r="G118" s="11"/>
      <c r="H118" s="11"/>
      <c r="I118" s="11"/>
      <c r="J118" s="11"/>
      <c r="K118" s="11"/>
      <c r="L118" s="11"/>
      <c r="M118" s="11"/>
      <c r="N118" s="11"/>
      <c r="O118" s="11"/>
      <c r="P118" s="11"/>
      <c r="Q118" s="11"/>
      <c r="R118" s="11"/>
      <c r="S118" s="11"/>
      <c r="T118" s="11"/>
    </row>
    <row r="119" ht="15.75" customHeight="1">
      <c r="A119" s="11"/>
      <c r="B119" s="11"/>
      <c r="C119" s="11"/>
      <c r="D119" s="11"/>
      <c r="E119" s="11"/>
      <c r="F119" s="11"/>
      <c r="G119" s="11"/>
      <c r="H119" s="11"/>
      <c r="I119" s="11"/>
      <c r="J119" s="11"/>
      <c r="K119" s="11"/>
      <c r="L119" s="11"/>
      <c r="M119" s="11"/>
      <c r="N119" s="11"/>
      <c r="O119" s="11"/>
      <c r="P119" s="11"/>
      <c r="Q119" s="11"/>
      <c r="R119" s="11"/>
      <c r="S119" s="11"/>
      <c r="T119" s="11"/>
    </row>
    <row r="120" ht="15.75" customHeight="1">
      <c r="A120" s="11"/>
      <c r="B120" s="11"/>
      <c r="C120" s="11"/>
      <c r="D120" s="11"/>
      <c r="E120" s="11"/>
      <c r="F120" s="11"/>
      <c r="G120" s="11"/>
      <c r="H120" s="11"/>
      <c r="I120" s="11"/>
      <c r="J120" s="11"/>
      <c r="K120" s="11"/>
      <c r="L120" s="11"/>
      <c r="M120" s="11"/>
      <c r="N120" s="11"/>
      <c r="O120" s="11"/>
      <c r="P120" s="11"/>
      <c r="Q120" s="11"/>
      <c r="R120" s="11"/>
      <c r="S120" s="11"/>
      <c r="T120" s="11"/>
    </row>
    <row r="121" ht="15.75" customHeight="1">
      <c r="A121" s="11"/>
      <c r="B121" s="11"/>
      <c r="C121" s="11"/>
      <c r="D121" s="11"/>
      <c r="E121" s="11"/>
      <c r="F121" s="11"/>
      <c r="G121" s="11"/>
      <c r="H121" s="11"/>
      <c r="I121" s="11"/>
      <c r="J121" s="11"/>
      <c r="K121" s="11"/>
      <c r="L121" s="11"/>
      <c r="M121" s="11"/>
      <c r="N121" s="11"/>
      <c r="O121" s="11"/>
      <c r="P121" s="11"/>
      <c r="Q121" s="11"/>
      <c r="R121" s="11"/>
      <c r="S121" s="11"/>
      <c r="T121" s="11"/>
    </row>
    <row r="122" ht="15.75" customHeight="1">
      <c r="A122" s="11"/>
      <c r="B122" s="11"/>
      <c r="C122" s="11"/>
      <c r="D122" s="11"/>
      <c r="E122" s="11"/>
      <c r="F122" s="11"/>
      <c r="G122" s="11"/>
      <c r="H122" s="11"/>
      <c r="I122" s="11"/>
      <c r="J122" s="11"/>
      <c r="K122" s="11"/>
      <c r="L122" s="11"/>
      <c r="M122" s="11"/>
      <c r="N122" s="11"/>
      <c r="O122" s="11"/>
      <c r="P122" s="11"/>
      <c r="Q122" s="11"/>
      <c r="R122" s="11"/>
      <c r="S122" s="11"/>
      <c r="T122" s="11"/>
    </row>
    <row r="123" ht="15.75" customHeight="1">
      <c r="A123" s="11"/>
      <c r="B123" s="11"/>
      <c r="C123" s="11"/>
      <c r="D123" s="11"/>
      <c r="E123" s="11"/>
      <c r="F123" s="11"/>
      <c r="G123" s="11"/>
      <c r="H123" s="11"/>
      <c r="I123" s="11"/>
      <c r="J123" s="11"/>
      <c r="K123" s="11"/>
      <c r="L123" s="11"/>
      <c r="M123" s="11"/>
      <c r="N123" s="11"/>
      <c r="O123" s="11"/>
      <c r="P123" s="11"/>
      <c r="Q123" s="11"/>
      <c r="R123" s="11"/>
      <c r="S123" s="11"/>
      <c r="T123" s="11"/>
    </row>
    <row r="124" ht="15.75" customHeight="1">
      <c r="A124" s="11"/>
      <c r="B124" s="11"/>
      <c r="C124" s="11"/>
      <c r="D124" s="11"/>
      <c r="E124" s="11"/>
      <c r="F124" s="11"/>
      <c r="G124" s="11"/>
      <c r="H124" s="11"/>
      <c r="I124" s="11"/>
      <c r="J124" s="11"/>
      <c r="K124" s="11"/>
      <c r="L124" s="11"/>
      <c r="M124" s="11"/>
      <c r="N124" s="11"/>
      <c r="O124" s="11"/>
      <c r="P124" s="11"/>
      <c r="Q124" s="11"/>
      <c r="R124" s="11"/>
      <c r="S124" s="11"/>
      <c r="T124" s="11"/>
    </row>
    <row r="125" ht="15.75" customHeight="1">
      <c r="A125" s="11"/>
      <c r="B125" s="11"/>
      <c r="C125" s="11"/>
      <c r="D125" s="11"/>
      <c r="E125" s="11"/>
      <c r="F125" s="11"/>
      <c r="G125" s="11"/>
      <c r="H125" s="11"/>
      <c r="I125" s="11"/>
      <c r="J125" s="11"/>
      <c r="K125" s="11"/>
      <c r="L125" s="11"/>
      <c r="M125" s="11"/>
      <c r="N125" s="11"/>
      <c r="O125" s="11"/>
      <c r="P125" s="11"/>
      <c r="Q125" s="11"/>
      <c r="R125" s="11"/>
      <c r="S125" s="11"/>
      <c r="T125" s="11"/>
    </row>
    <row r="126" ht="15.75" customHeight="1">
      <c r="A126" s="11"/>
      <c r="B126" s="11"/>
      <c r="C126" s="11"/>
      <c r="D126" s="11"/>
      <c r="E126" s="11"/>
      <c r="F126" s="11"/>
      <c r="G126" s="11"/>
      <c r="H126" s="11"/>
      <c r="I126" s="11"/>
      <c r="J126" s="11"/>
      <c r="K126" s="11"/>
      <c r="L126" s="11"/>
      <c r="M126" s="11"/>
      <c r="N126" s="11"/>
      <c r="O126" s="11"/>
      <c r="P126" s="11"/>
      <c r="Q126" s="11"/>
      <c r="R126" s="11"/>
      <c r="S126" s="11"/>
      <c r="T126" s="11"/>
    </row>
    <row r="127" ht="15.75" customHeight="1">
      <c r="A127" s="11"/>
      <c r="B127" s="11"/>
      <c r="C127" s="11"/>
      <c r="D127" s="11"/>
      <c r="E127" s="11"/>
      <c r="F127" s="11"/>
      <c r="G127" s="11"/>
      <c r="H127" s="11"/>
      <c r="I127" s="11"/>
      <c r="J127" s="11"/>
      <c r="K127" s="11"/>
      <c r="L127" s="11"/>
      <c r="M127" s="11"/>
      <c r="N127" s="11"/>
      <c r="O127" s="11"/>
      <c r="P127" s="11"/>
      <c r="Q127" s="11"/>
      <c r="R127" s="11"/>
      <c r="S127" s="11"/>
      <c r="T127" s="11"/>
    </row>
    <row r="128" ht="15.75" customHeight="1">
      <c r="A128" s="11"/>
      <c r="B128" s="11"/>
      <c r="C128" s="11"/>
      <c r="D128" s="11"/>
      <c r="E128" s="11"/>
      <c r="F128" s="11"/>
      <c r="G128" s="11"/>
      <c r="H128" s="11"/>
      <c r="I128" s="11"/>
      <c r="J128" s="11"/>
      <c r="K128" s="11"/>
      <c r="L128" s="11"/>
      <c r="M128" s="11"/>
      <c r="N128" s="11"/>
      <c r="O128" s="11"/>
      <c r="P128" s="11"/>
      <c r="Q128" s="11"/>
      <c r="R128" s="11"/>
      <c r="S128" s="11"/>
      <c r="T128" s="11"/>
    </row>
    <row r="129" ht="15.75" customHeight="1">
      <c r="A129" s="11"/>
      <c r="B129" s="11"/>
      <c r="C129" s="11"/>
      <c r="D129" s="11"/>
      <c r="E129" s="11"/>
      <c r="F129" s="11"/>
      <c r="G129" s="11"/>
      <c r="H129" s="11"/>
      <c r="I129" s="11"/>
      <c r="J129" s="11"/>
      <c r="K129" s="11"/>
      <c r="L129" s="11"/>
      <c r="M129" s="11"/>
      <c r="N129" s="11"/>
      <c r="O129" s="11"/>
      <c r="P129" s="11"/>
      <c r="Q129" s="11"/>
      <c r="R129" s="11"/>
      <c r="S129" s="11"/>
      <c r="T129" s="11"/>
    </row>
    <row r="130" ht="15.75" customHeight="1">
      <c r="A130" s="11"/>
      <c r="B130" s="11"/>
      <c r="C130" s="11"/>
      <c r="D130" s="11"/>
      <c r="E130" s="11"/>
      <c r="F130" s="11"/>
      <c r="G130" s="11"/>
      <c r="H130" s="11"/>
      <c r="I130" s="11"/>
      <c r="J130" s="11"/>
      <c r="K130" s="11"/>
      <c r="L130" s="11"/>
      <c r="M130" s="11"/>
      <c r="N130" s="11"/>
      <c r="O130" s="11"/>
      <c r="P130" s="11"/>
      <c r="Q130" s="11"/>
      <c r="R130" s="11"/>
      <c r="S130" s="11"/>
      <c r="T130" s="11"/>
    </row>
    <row r="131" ht="15.75" customHeight="1">
      <c r="A131" s="11"/>
      <c r="B131" s="11"/>
      <c r="C131" s="11"/>
      <c r="D131" s="11"/>
      <c r="E131" s="11"/>
      <c r="F131" s="11"/>
      <c r="G131" s="11"/>
      <c r="H131" s="11"/>
      <c r="I131" s="11"/>
      <c r="J131" s="11"/>
      <c r="K131" s="11"/>
      <c r="L131" s="11"/>
      <c r="M131" s="11"/>
      <c r="N131" s="11"/>
      <c r="O131" s="11"/>
      <c r="P131" s="11"/>
      <c r="Q131" s="11"/>
      <c r="R131" s="11"/>
      <c r="S131" s="11"/>
      <c r="T131" s="11"/>
    </row>
    <row r="132" ht="15.75" customHeight="1">
      <c r="A132" s="11"/>
      <c r="B132" s="11"/>
      <c r="C132" s="11"/>
      <c r="D132" s="11"/>
      <c r="E132" s="11"/>
      <c r="F132" s="11"/>
      <c r="G132" s="11"/>
      <c r="H132" s="11"/>
      <c r="I132" s="11"/>
      <c r="J132" s="11"/>
      <c r="K132" s="11"/>
      <c r="L132" s="11"/>
      <c r="M132" s="11"/>
      <c r="N132" s="11"/>
      <c r="O132" s="11"/>
      <c r="P132" s="11"/>
      <c r="Q132" s="11"/>
      <c r="R132" s="11"/>
      <c r="S132" s="11"/>
      <c r="T132" s="11"/>
    </row>
    <row r="133" ht="15.75" customHeight="1">
      <c r="A133" s="11"/>
      <c r="B133" s="11"/>
      <c r="C133" s="11"/>
      <c r="D133" s="11"/>
      <c r="E133" s="11"/>
      <c r="F133" s="11"/>
      <c r="G133" s="11"/>
      <c r="H133" s="11"/>
      <c r="I133" s="11"/>
      <c r="J133" s="11"/>
      <c r="K133" s="11"/>
      <c r="L133" s="11"/>
      <c r="M133" s="11"/>
      <c r="N133" s="11"/>
      <c r="O133" s="11"/>
      <c r="P133" s="11"/>
      <c r="Q133" s="11"/>
      <c r="R133" s="11"/>
      <c r="S133" s="11"/>
      <c r="T133" s="11"/>
    </row>
    <row r="134" ht="15.75" customHeight="1">
      <c r="A134" s="11"/>
      <c r="B134" s="11"/>
      <c r="C134" s="11"/>
      <c r="D134" s="11"/>
      <c r="E134" s="11"/>
      <c r="F134" s="11"/>
      <c r="G134" s="11"/>
      <c r="H134" s="11"/>
      <c r="I134" s="11"/>
      <c r="J134" s="11"/>
      <c r="K134" s="11"/>
      <c r="L134" s="11"/>
      <c r="M134" s="11"/>
      <c r="N134" s="11"/>
      <c r="O134" s="11"/>
      <c r="P134" s="11"/>
      <c r="Q134" s="11"/>
      <c r="R134" s="11"/>
      <c r="S134" s="11"/>
      <c r="T134" s="11"/>
    </row>
    <row r="135" ht="15.75" customHeight="1">
      <c r="A135" s="11"/>
      <c r="B135" s="11"/>
      <c r="C135" s="11"/>
      <c r="D135" s="11"/>
      <c r="E135" s="11"/>
      <c r="F135" s="11"/>
      <c r="G135" s="11"/>
      <c r="H135" s="11"/>
      <c r="I135" s="11"/>
      <c r="J135" s="11"/>
      <c r="K135" s="11"/>
      <c r="L135" s="11"/>
      <c r="M135" s="11"/>
      <c r="N135" s="11"/>
      <c r="O135" s="11"/>
      <c r="P135" s="11"/>
      <c r="Q135" s="11"/>
      <c r="R135" s="11"/>
      <c r="S135" s="11"/>
      <c r="T135" s="11"/>
    </row>
    <row r="136" ht="15.75" customHeight="1">
      <c r="A136" s="11"/>
      <c r="B136" s="11"/>
      <c r="C136" s="11"/>
      <c r="D136" s="11"/>
      <c r="E136" s="11"/>
      <c r="F136" s="11"/>
      <c r="G136" s="11"/>
      <c r="H136" s="11"/>
      <c r="I136" s="11"/>
      <c r="J136" s="11"/>
      <c r="K136" s="11"/>
      <c r="L136" s="11"/>
      <c r="M136" s="11"/>
      <c r="N136" s="11"/>
      <c r="O136" s="11"/>
      <c r="P136" s="11"/>
      <c r="Q136" s="11"/>
      <c r="R136" s="11"/>
      <c r="S136" s="11"/>
      <c r="T136" s="11"/>
    </row>
    <row r="137" ht="15.75" customHeight="1">
      <c r="A137" s="11"/>
      <c r="B137" s="11"/>
      <c r="C137" s="11"/>
      <c r="D137" s="11"/>
      <c r="E137" s="11"/>
      <c r="F137" s="11"/>
      <c r="G137" s="11"/>
      <c r="H137" s="11"/>
      <c r="I137" s="11"/>
      <c r="J137" s="11"/>
      <c r="K137" s="11"/>
      <c r="L137" s="11"/>
      <c r="M137" s="11"/>
      <c r="N137" s="11"/>
      <c r="O137" s="11"/>
      <c r="P137" s="11"/>
      <c r="Q137" s="11"/>
      <c r="R137" s="11"/>
      <c r="S137" s="11"/>
      <c r="T137" s="11"/>
    </row>
    <row r="138" ht="15.75" customHeight="1">
      <c r="A138" s="11"/>
      <c r="B138" s="11"/>
      <c r="C138" s="11"/>
      <c r="D138" s="11"/>
      <c r="E138" s="11"/>
      <c r="F138" s="11"/>
      <c r="G138" s="11"/>
      <c r="H138" s="11"/>
      <c r="I138" s="11"/>
      <c r="J138" s="11"/>
      <c r="K138" s="11"/>
      <c r="L138" s="11"/>
      <c r="M138" s="11"/>
      <c r="N138" s="11"/>
      <c r="O138" s="11"/>
      <c r="P138" s="11"/>
      <c r="Q138" s="11"/>
      <c r="R138" s="11"/>
      <c r="S138" s="11"/>
      <c r="T138" s="11"/>
    </row>
    <row r="139" ht="15.75" customHeight="1">
      <c r="A139" s="11"/>
      <c r="B139" s="11"/>
      <c r="C139" s="11"/>
      <c r="D139" s="11"/>
      <c r="E139" s="11"/>
      <c r="F139" s="11"/>
      <c r="G139" s="11"/>
      <c r="H139" s="11"/>
      <c r="I139" s="11"/>
      <c r="J139" s="11"/>
      <c r="K139" s="11"/>
      <c r="L139" s="11"/>
      <c r="M139" s="11"/>
      <c r="N139" s="11"/>
      <c r="O139" s="11"/>
      <c r="P139" s="11"/>
      <c r="Q139" s="11"/>
      <c r="R139" s="11"/>
      <c r="S139" s="11"/>
      <c r="T139" s="11"/>
    </row>
    <row r="140" ht="15.75" customHeight="1">
      <c r="A140" s="11"/>
      <c r="B140" s="11"/>
      <c r="C140" s="11"/>
      <c r="D140" s="11"/>
      <c r="E140" s="11"/>
      <c r="F140" s="11"/>
      <c r="G140" s="11"/>
      <c r="H140" s="11"/>
      <c r="I140" s="11"/>
      <c r="J140" s="11"/>
      <c r="K140" s="11"/>
      <c r="L140" s="11"/>
      <c r="M140" s="11"/>
      <c r="N140" s="11"/>
      <c r="O140" s="11"/>
      <c r="P140" s="11"/>
      <c r="Q140" s="11"/>
      <c r="R140" s="11"/>
      <c r="S140" s="11"/>
      <c r="T140" s="11"/>
    </row>
    <row r="141" ht="15.75" customHeight="1">
      <c r="A141" s="11"/>
      <c r="B141" s="11"/>
      <c r="C141" s="11"/>
      <c r="D141" s="11"/>
      <c r="E141" s="11"/>
      <c r="F141" s="11"/>
      <c r="G141" s="11"/>
      <c r="H141" s="11"/>
      <c r="I141" s="11"/>
      <c r="J141" s="11"/>
      <c r="K141" s="11"/>
      <c r="L141" s="11"/>
      <c r="M141" s="11"/>
      <c r="N141" s="11"/>
      <c r="O141" s="11"/>
      <c r="P141" s="11"/>
      <c r="Q141" s="11"/>
      <c r="R141" s="11"/>
      <c r="S141" s="11"/>
      <c r="T141" s="11"/>
    </row>
    <row r="142" ht="15.75" customHeight="1">
      <c r="A142" s="11"/>
      <c r="B142" s="11"/>
      <c r="C142" s="11"/>
      <c r="D142" s="11"/>
      <c r="E142" s="11"/>
      <c r="F142" s="11"/>
      <c r="G142" s="11"/>
      <c r="H142" s="11"/>
      <c r="I142" s="11"/>
      <c r="J142" s="11"/>
      <c r="K142" s="11"/>
      <c r="L142" s="11"/>
      <c r="M142" s="11"/>
      <c r="N142" s="11"/>
      <c r="O142" s="11"/>
      <c r="P142" s="11"/>
      <c r="Q142" s="11"/>
      <c r="R142" s="11"/>
      <c r="S142" s="11"/>
      <c r="T142" s="11"/>
    </row>
    <row r="143" ht="15.75" customHeight="1">
      <c r="A143" s="11"/>
      <c r="B143" s="11"/>
      <c r="C143" s="11"/>
      <c r="D143" s="11"/>
      <c r="E143" s="11"/>
      <c r="F143" s="11"/>
      <c r="G143" s="11"/>
      <c r="H143" s="11"/>
      <c r="I143" s="11"/>
      <c r="J143" s="11"/>
      <c r="K143" s="11"/>
      <c r="L143" s="11"/>
      <c r="M143" s="11"/>
      <c r="N143" s="11"/>
      <c r="O143" s="11"/>
      <c r="P143" s="11"/>
      <c r="Q143" s="11"/>
      <c r="R143" s="11"/>
      <c r="S143" s="11"/>
      <c r="T143" s="11"/>
    </row>
    <row r="144" ht="15.75" customHeight="1">
      <c r="A144" s="11"/>
      <c r="B144" s="11"/>
      <c r="C144" s="11"/>
      <c r="D144" s="11"/>
      <c r="E144" s="11"/>
      <c r="F144" s="11"/>
      <c r="G144" s="11"/>
      <c r="H144" s="11"/>
      <c r="I144" s="11"/>
      <c r="J144" s="11"/>
      <c r="K144" s="11"/>
      <c r="L144" s="11"/>
      <c r="M144" s="11"/>
      <c r="N144" s="11"/>
      <c r="O144" s="11"/>
      <c r="P144" s="11"/>
      <c r="Q144" s="11"/>
      <c r="R144" s="11"/>
      <c r="S144" s="11"/>
      <c r="T144" s="11"/>
    </row>
    <row r="145" ht="15.75" customHeight="1">
      <c r="A145" s="11"/>
      <c r="B145" s="11"/>
      <c r="C145" s="11"/>
      <c r="D145" s="11"/>
      <c r="E145" s="11"/>
      <c r="F145" s="11"/>
      <c r="G145" s="11"/>
      <c r="H145" s="11"/>
      <c r="I145" s="11"/>
      <c r="J145" s="11"/>
      <c r="K145" s="11"/>
      <c r="L145" s="11"/>
      <c r="M145" s="11"/>
      <c r="N145" s="11"/>
      <c r="O145" s="11"/>
      <c r="P145" s="11"/>
      <c r="Q145" s="11"/>
      <c r="R145" s="11"/>
      <c r="S145" s="11"/>
      <c r="T145" s="11"/>
    </row>
    <row r="146" ht="15.75" customHeight="1">
      <c r="A146" s="11"/>
      <c r="B146" s="11"/>
      <c r="C146" s="11"/>
      <c r="D146" s="11"/>
      <c r="E146" s="11"/>
      <c r="F146" s="11"/>
      <c r="G146" s="11"/>
      <c r="H146" s="11"/>
      <c r="I146" s="11"/>
      <c r="J146" s="11"/>
      <c r="K146" s="11"/>
      <c r="L146" s="11"/>
      <c r="M146" s="11"/>
      <c r="N146" s="11"/>
      <c r="O146" s="11"/>
      <c r="P146" s="11"/>
      <c r="Q146" s="11"/>
      <c r="R146" s="11"/>
      <c r="S146" s="11"/>
      <c r="T146" s="11"/>
    </row>
    <row r="147" ht="15.75" customHeight="1">
      <c r="A147" s="11"/>
      <c r="B147" s="11"/>
      <c r="C147" s="11"/>
      <c r="D147" s="11"/>
      <c r="E147" s="11"/>
      <c r="F147" s="11"/>
      <c r="G147" s="11"/>
      <c r="H147" s="11"/>
      <c r="I147" s="11"/>
      <c r="J147" s="11"/>
      <c r="K147" s="11"/>
      <c r="L147" s="11"/>
      <c r="M147" s="11"/>
      <c r="N147" s="11"/>
      <c r="O147" s="11"/>
      <c r="P147" s="11"/>
      <c r="Q147" s="11"/>
      <c r="R147" s="11"/>
      <c r="S147" s="11"/>
      <c r="T147" s="11"/>
    </row>
    <row r="148" ht="15.75" customHeight="1">
      <c r="A148" s="11"/>
      <c r="B148" s="11"/>
      <c r="C148" s="11"/>
      <c r="D148" s="11"/>
      <c r="E148" s="11"/>
      <c r="F148" s="11"/>
      <c r="G148" s="11"/>
      <c r="H148" s="11"/>
      <c r="I148" s="11"/>
      <c r="J148" s="11"/>
      <c r="K148" s="11"/>
      <c r="L148" s="11"/>
      <c r="M148" s="11"/>
      <c r="N148" s="11"/>
      <c r="O148" s="11"/>
      <c r="P148" s="11"/>
      <c r="Q148" s="11"/>
      <c r="R148" s="11"/>
      <c r="S148" s="11"/>
      <c r="T148" s="11"/>
    </row>
    <row r="149" ht="15.75" customHeight="1">
      <c r="A149" s="11"/>
      <c r="B149" s="11"/>
      <c r="C149" s="11"/>
      <c r="D149" s="11"/>
      <c r="E149" s="11"/>
      <c r="F149" s="11"/>
      <c r="G149" s="11"/>
      <c r="H149" s="11"/>
      <c r="I149" s="11"/>
      <c r="J149" s="11"/>
      <c r="K149" s="11"/>
      <c r="L149" s="11"/>
      <c r="M149" s="11"/>
      <c r="N149" s="11"/>
      <c r="O149" s="11"/>
      <c r="P149" s="11"/>
      <c r="Q149" s="11"/>
      <c r="R149" s="11"/>
      <c r="S149" s="11"/>
      <c r="T149" s="11"/>
    </row>
    <row r="150" ht="15.75" customHeight="1">
      <c r="A150" s="11"/>
      <c r="B150" s="11"/>
      <c r="C150" s="11"/>
      <c r="D150" s="11"/>
      <c r="E150" s="11"/>
      <c r="F150" s="11"/>
      <c r="G150" s="11"/>
      <c r="H150" s="11"/>
      <c r="I150" s="11"/>
      <c r="J150" s="11"/>
      <c r="K150" s="11"/>
      <c r="L150" s="11"/>
      <c r="M150" s="11"/>
      <c r="N150" s="11"/>
      <c r="O150" s="11"/>
      <c r="P150" s="11"/>
      <c r="Q150" s="11"/>
      <c r="R150" s="11"/>
      <c r="S150" s="11"/>
      <c r="T150" s="11"/>
    </row>
    <row r="151" ht="15.75" customHeight="1">
      <c r="A151" s="11"/>
      <c r="B151" s="11"/>
      <c r="C151" s="11"/>
      <c r="D151" s="11"/>
      <c r="E151" s="11"/>
      <c r="F151" s="11"/>
      <c r="G151" s="11"/>
      <c r="H151" s="11"/>
      <c r="I151" s="11"/>
      <c r="J151" s="11"/>
      <c r="K151" s="11"/>
      <c r="L151" s="11"/>
      <c r="M151" s="11"/>
      <c r="N151" s="11"/>
      <c r="O151" s="11"/>
      <c r="P151" s="11"/>
      <c r="Q151" s="11"/>
      <c r="R151" s="11"/>
      <c r="S151" s="11"/>
      <c r="T151" s="11"/>
    </row>
    <row r="152" ht="15.75" customHeight="1">
      <c r="A152" s="11"/>
      <c r="B152" s="11"/>
      <c r="C152" s="11"/>
      <c r="D152" s="11"/>
      <c r="E152" s="11"/>
      <c r="F152" s="11"/>
      <c r="G152" s="11"/>
      <c r="H152" s="11"/>
      <c r="I152" s="11"/>
      <c r="J152" s="11"/>
      <c r="K152" s="11"/>
      <c r="L152" s="11"/>
      <c r="M152" s="11"/>
      <c r="N152" s="11"/>
      <c r="O152" s="11"/>
      <c r="P152" s="11"/>
      <c r="Q152" s="11"/>
      <c r="R152" s="11"/>
      <c r="S152" s="11"/>
      <c r="T152" s="11"/>
    </row>
    <row r="153" ht="15.75" customHeight="1">
      <c r="A153" s="11"/>
      <c r="B153" s="11"/>
      <c r="C153" s="11"/>
      <c r="D153" s="11"/>
      <c r="E153" s="11"/>
      <c r="F153" s="11"/>
      <c r="G153" s="11"/>
      <c r="H153" s="11"/>
      <c r="I153" s="11"/>
      <c r="J153" s="11"/>
      <c r="K153" s="11"/>
      <c r="L153" s="11"/>
      <c r="M153" s="11"/>
      <c r="N153" s="11"/>
      <c r="O153" s="11"/>
      <c r="P153" s="11"/>
      <c r="Q153" s="11"/>
      <c r="R153" s="11"/>
      <c r="S153" s="11"/>
      <c r="T153" s="11"/>
    </row>
    <row r="154" ht="15.75" customHeight="1">
      <c r="A154" s="11"/>
      <c r="B154" s="11"/>
      <c r="C154" s="11"/>
      <c r="D154" s="11"/>
      <c r="E154" s="11"/>
      <c r="F154" s="11"/>
      <c r="G154" s="11"/>
      <c r="H154" s="11"/>
      <c r="I154" s="11"/>
      <c r="J154" s="11"/>
      <c r="K154" s="11"/>
      <c r="L154" s="11"/>
      <c r="M154" s="11"/>
      <c r="N154" s="11"/>
      <c r="O154" s="11"/>
      <c r="P154" s="11"/>
      <c r="Q154" s="11"/>
      <c r="R154" s="11"/>
      <c r="S154" s="11"/>
      <c r="T154" s="11"/>
    </row>
    <row r="155" ht="15.75" customHeight="1">
      <c r="A155" s="11"/>
      <c r="B155" s="11"/>
      <c r="C155" s="11"/>
      <c r="D155" s="11"/>
      <c r="E155" s="11"/>
      <c r="F155" s="11"/>
      <c r="G155" s="11"/>
      <c r="H155" s="11"/>
      <c r="I155" s="11"/>
      <c r="J155" s="11"/>
      <c r="K155" s="11"/>
      <c r="L155" s="11"/>
      <c r="M155" s="11"/>
      <c r="N155" s="11"/>
      <c r="O155" s="11"/>
      <c r="P155" s="11"/>
      <c r="Q155" s="11"/>
      <c r="R155" s="11"/>
      <c r="S155" s="11"/>
      <c r="T155" s="11"/>
    </row>
    <row r="156" ht="15.75" customHeight="1">
      <c r="A156" s="11"/>
      <c r="B156" s="11"/>
      <c r="C156" s="11"/>
      <c r="D156" s="11"/>
      <c r="E156" s="11"/>
      <c r="F156" s="11"/>
      <c r="G156" s="11"/>
      <c r="H156" s="11"/>
      <c r="I156" s="11"/>
      <c r="J156" s="11"/>
      <c r="K156" s="11"/>
      <c r="L156" s="11"/>
      <c r="M156" s="11"/>
      <c r="N156" s="11"/>
      <c r="O156" s="11"/>
      <c r="P156" s="11"/>
      <c r="Q156" s="11"/>
      <c r="R156" s="11"/>
      <c r="S156" s="11"/>
      <c r="T156" s="11"/>
    </row>
    <row r="157" ht="15.75" customHeight="1">
      <c r="A157" s="11"/>
      <c r="B157" s="11"/>
      <c r="C157" s="11"/>
      <c r="D157" s="11"/>
      <c r="E157" s="11"/>
      <c r="F157" s="11"/>
      <c r="G157" s="11"/>
      <c r="H157" s="11"/>
      <c r="I157" s="11"/>
      <c r="J157" s="11"/>
      <c r="K157" s="11"/>
      <c r="L157" s="11"/>
      <c r="M157" s="11"/>
      <c r="N157" s="11"/>
      <c r="O157" s="11"/>
      <c r="P157" s="11"/>
      <c r="Q157" s="11"/>
      <c r="R157" s="11"/>
      <c r="S157" s="11"/>
      <c r="T157" s="11"/>
    </row>
    <row r="158" ht="15.75" customHeight="1">
      <c r="A158" s="11"/>
      <c r="B158" s="11"/>
      <c r="C158" s="11"/>
      <c r="D158" s="11"/>
      <c r="E158" s="11"/>
      <c r="F158" s="11"/>
      <c r="G158" s="11"/>
      <c r="H158" s="11"/>
      <c r="I158" s="11"/>
      <c r="J158" s="11"/>
      <c r="K158" s="11"/>
      <c r="L158" s="11"/>
      <c r="M158" s="11"/>
      <c r="N158" s="11"/>
      <c r="O158" s="11"/>
      <c r="P158" s="11"/>
      <c r="Q158" s="11"/>
      <c r="R158" s="11"/>
      <c r="S158" s="11"/>
      <c r="T158" s="11"/>
    </row>
    <row r="159" ht="15.75" customHeight="1">
      <c r="A159" s="11"/>
      <c r="B159" s="11"/>
      <c r="C159" s="11"/>
      <c r="D159" s="11"/>
      <c r="E159" s="11"/>
      <c r="F159" s="11"/>
      <c r="G159" s="11"/>
      <c r="H159" s="11"/>
      <c r="I159" s="11"/>
      <c r="J159" s="11"/>
      <c r="K159" s="11"/>
      <c r="L159" s="11"/>
      <c r="M159" s="11"/>
      <c r="N159" s="11"/>
      <c r="O159" s="11"/>
      <c r="P159" s="11"/>
      <c r="Q159" s="11"/>
      <c r="R159" s="11"/>
      <c r="S159" s="11"/>
      <c r="T159" s="11"/>
    </row>
    <row r="160" ht="15.75" customHeight="1">
      <c r="A160" s="11"/>
      <c r="B160" s="11"/>
      <c r="C160" s="11"/>
      <c r="D160" s="11"/>
      <c r="E160" s="11"/>
      <c r="F160" s="11"/>
      <c r="G160" s="11"/>
      <c r="H160" s="11"/>
      <c r="I160" s="11"/>
      <c r="J160" s="11"/>
      <c r="K160" s="11"/>
      <c r="L160" s="11"/>
      <c r="M160" s="11"/>
      <c r="N160" s="11"/>
      <c r="O160" s="11"/>
      <c r="P160" s="11"/>
      <c r="Q160" s="11"/>
      <c r="R160" s="11"/>
      <c r="S160" s="11"/>
      <c r="T160" s="11"/>
    </row>
    <row r="161" ht="15.75" customHeight="1">
      <c r="A161" s="11"/>
      <c r="B161" s="11"/>
      <c r="C161" s="11"/>
      <c r="D161" s="11"/>
      <c r="E161" s="11"/>
      <c r="F161" s="11"/>
      <c r="G161" s="11"/>
      <c r="H161" s="11"/>
      <c r="I161" s="11"/>
      <c r="J161" s="11"/>
      <c r="K161" s="11"/>
      <c r="L161" s="11"/>
      <c r="M161" s="11"/>
      <c r="N161" s="11"/>
      <c r="O161" s="11"/>
      <c r="P161" s="11"/>
      <c r="Q161" s="11"/>
      <c r="R161" s="11"/>
      <c r="S161" s="11"/>
      <c r="T161" s="11"/>
    </row>
    <row r="162" ht="15.75" customHeight="1">
      <c r="A162" s="11"/>
      <c r="B162" s="11"/>
      <c r="C162" s="11"/>
      <c r="D162" s="11"/>
      <c r="E162" s="11"/>
      <c r="F162" s="11"/>
      <c r="G162" s="11"/>
      <c r="H162" s="11"/>
      <c r="I162" s="11"/>
      <c r="J162" s="11"/>
      <c r="K162" s="11"/>
      <c r="L162" s="11"/>
      <c r="M162" s="11"/>
      <c r="N162" s="11"/>
      <c r="O162" s="11"/>
      <c r="P162" s="11"/>
      <c r="Q162" s="11"/>
      <c r="R162" s="11"/>
      <c r="S162" s="11"/>
      <c r="T162" s="11"/>
    </row>
    <row r="163" ht="15.75" customHeight="1">
      <c r="A163" s="11"/>
      <c r="B163" s="11"/>
      <c r="C163" s="11"/>
      <c r="D163" s="11"/>
      <c r="E163" s="11"/>
      <c r="F163" s="11"/>
      <c r="G163" s="11"/>
      <c r="H163" s="11"/>
      <c r="I163" s="11"/>
      <c r="J163" s="11"/>
      <c r="K163" s="11"/>
      <c r="L163" s="11"/>
      <c r="M163" s="11"/>
      <c r="N163" s="11"/>
      <c r="O163" s="11"/>
      <c r="P163" s="11"/>
      <c r="Q163" s="11"/>
      <c r="R163" s="11"/>
      <c r="S163" s="11"/>
      <c r="T163" s="11"/>
    </row>
    <row r="164" ht="15.75" customHeight="1">
      <c r="A164" s="11"/>
      <c r="B164" s="11"/>
      <c r="C164" s="11"/>
      <c r="D164" s="11"/>
      <c r="E164" s="11"/>
      <c r="F164" s="11"/>
      <c r="G164" s="11"/>
      <c r="H164" s="11"/>
      <c r="I164" s="11"/>
      <c r="J164" s="11"/>
      <c r="K164" s="11"/>
      <c r="L164" s="11"/>
      <c r="M164" s="11"/>
      <c r="N164" s="11"/>
      <c r="O164" s="11"/>
      <c r="P164" s="11"/>
      <c r="Q164" s="11"/>
      <c r="R164" s="11"/>
      <c r="S164" s="11"/>
      <c r="T164" s="11"/>
    </row>
    <row r="165" ht="15.75" customHeight="1">
      <c r="A165" s="11"/>
      <c r="B165" s="11"/>
      <c r="C165" s="11"/>
      <c r="D165" s="11"/>
      <c r="E165" s="11"/>
      <c r="F165" s="11"/>
      <c r="G165" s="11"/>
      <c r="H165" s="11"/>
      <c r="I165" s="11"/>
      <c r="J165" s="11"/>
      <c r="K165" s="11"/>
      <c r="L165" s="11"/>
      <c r="M165" s="11"/>
      <c r="N165" s="11"/>
      <c r="O165" s="11"/>
      <c r="P165" s="11"/>
      <c r="Q165" s="11"/>
      <c r="R165" s="11"/>
      <c r="S165" s="11"/>
      <c r="T165" s="11"/>
    </row>
    <row r="166" ht="15.75" customHeight="1">
      <c r="A166" s="11"/>
      <c r="B166" s="11"/>
      <c r="C166" s="11"/>
      <c r="D166" s="11"/>
      <c r="E166" s="11"/>
      <c r="F166" s="11"/>
      <c r="G166" s="11"/>
      <c r="H166" s="11"/>
      <c r="I166" s="11"/>
      <c r="J166" s="11"/>
      <c r="K166" s="11"/>
      <c r="L166" s="11"/>
      <c r="M166" s="11"/>
      <c r="N166" s="11"/>
      <c r="O166" s="11"/>
      <c r="P166" s="11"/>
      <c r="Q166" s="11"/>
      <c r="R166" s="11"/>
      <c r="S166" s="11"/>
      <c r="T166" s="11"/>
    </row>
    <row r="167" ht="15.75" customHeight="1">
      <c r="A167" s="11"/>
      <c r="B167" s="11"/>
      <c r="C167" s="11"/>
      <c r="D167" s="11"/>
      <c r="E167" s="11"/>
      <c r="F167" s="11"/>
      <c r="G167" s="11"/>
      <c r="H167" s="11"/>
      <c r="I167" s="11"/>
      <c r="J167" s="11"/>
      <c r="K167" s="11"/>
      <c r="L167" s="11"/>
      <c r="M167" s="11"/>
      <c r="N167" s="11"/>
      <c r="O167" s="11"/>
      <c r="P167" s="11"/>
      <c r="Q167" s="11"/>
      <c r="R167" s="11"/>
      <c r="S167" s="11"/>
      <c r="T167" s="11"/>
    </row>
    <row r="168" ht="15.75" customHeight="1">
      <c r="A168" s="11"/>
      <c r="B168" s="11"/>
      <c r="C168" s="11"/>
      <c r="D168" s="11"/>
      <c r="E168" s="11"/>
      <c r="F168" s="11"/>
      <c r="G168" s="11"/>
      <c r="H168" s="11"/>
      <c r="I168" s="11"/>
      <c r="J168" s="11"/>
      <c r="K168" s="11"/>
      <c r="L168" s="11"/>
      <c r="M168" s="11"/>
      <c r="N168" s="11"/>
      <c r="O168" s="11"/>
      <c r="P168" s="11"/>
      <c r="Q168" s="11"/>
      <c r="R168" s="11"/>
      <c r="S168" s="11"/>
      <c r="T168" s="11"/>
    </row>
    <row r="169" ht="15.75" customHeight="1">
      <c r="A169" s="11"/>
      <c r="B169" s="11"/>
      <c r="C169" s="11"/>
      <c r="D169" s="11"/>
      <c r="E169" s="11"/>
      <c r="F169" s="11"/>
      <c r="G169" s="11"/>
      <c r="H169" s="11"/>
      <c r="I169" s="11"/>
      <c r="J169" s="11"/>
      <c r="K169" s="11"/>
      <c r="L169" s="11"/>
      <c r="M169" s="11"/>
      <c r="N169" s="11"/>
      <c r="O169" s="11"/>
      <c r="P169" s="11"/>
      <c r="Q169" s="11"/>
      <c r="R169" s="11"/>
      <c r="S169" s="11"/>
      <c r="T169" s="11"/>
    </row>
    <row r="170" ht="15.75" customHeight="1">
      <c r="A170" s="11"/>
      <c r="B170" s="11"/>
      <c r="C170" s="11"/>
      <c r="D170" s="11"/>
      <c r="E170" s="11"/>
      <c r="F170" s="11"/>
      <c r="G170" s="11"/>
      <c r="H170" s="11"/>
      <c r="I170" s="11"/>
      <c r="J170" s="11"/>
      <c r="K170" s="11"/>
      <c r="L170" s="11"/>
      <c r="M170" s="11"/>
      <c r="N170" s="11"/>
      <c r="O170" s="11"/>
      <c r="P170" s="11"/>
      <c r="Q170" s="11"/>
      <c r="R170" s="11"/>
      <c r="S170" s="11"/>
      <c r="T170" s="11"/>
    </row>
    <row r="171" ht="15.75" customHeight="1">
      <c r="A171" s="11"/>
      <c r="B171" s="11"/>
      <c r="C171" s="11"/>
      <c r="D171" s="11"/>
      <c r="E171" s="11"/>
      <c r="F171" s="11"/>
      <c r="G171" s="11"/>
      <c r="H171" s="11"/>
      <c r="I171" s="11"/>
      <c r="J171" s="11"/>
      <c r="K171" s="11"/>
      <c r="L171" s="11"/>
      <c r="M171" s="11"/>
      <c r="N171" s="11"/>
      <c r="O171" s="11"/>
      <c r="P171" s="11"/>
      <c r="Q171" s="11"/>
      <c r="R171" s="11"/>
      <c r="S171" s="11"/>
      <c r="T171" s="11"/>
    </row>
    <row r="172" ht="15.75" customHeight="1">
      <c r="A172" s="11"/>
      <c r="B172" s="11"/>
      <c r="C172" s="11"/>
      <c r="D172" s="11"/>
      <c r="E172" s="11"/>
      <c r="F172" s="11"/>
      <c r="G172" s="11"/>
      <c r="H172" s="11"/>
      <c r="I172" s="11"/>
      <c r="J172" s="11"/>
      <c r="K172" s="11"/>
      <c r="L172" s="11"/>
      <c r="M172" s="11"/>
      <c r="N172" s="11"/>
      <c r="O172" s="11"/>
      <c r="P172" s="11"/>
      <c r="Q172" s="11"/>
      <c r="R172" s="11"/>
      <c r="S172" s="11"/>
      <c r="T172" s="11"/>
    </row>
    <row r="173" ht="15.75" customHeight="1">
      <c r="A173" s="11"/>
      <c r="B173" s="11"/>
      <c r="C173" s="11"/>
      <c r="D173" s="11"/>
      <c r="E173" s="11"/>
      <c r="F173" s="11"/>
      <c r="G173" s="11"/>
      <c r="H173" s="11"/>
      <c r="I173" s="11"/>
      <c r="J173" s="11"/>
      <c r="K173" s="11"/>
      <c r="L173" s="11"/>
      <c r="M173" s="11"/>
      <c r="N173" s="11"/>
      <c r="O173" s="11"/>
      <c r="P173" s="11"/>
      <c r="Q173" s="11"/>
      <c r="R173" s="11"/>
      <c r="S173" s="11"/>
      <c r="T173" s="11"/>
    </row>
    <row r="174" ht="15.75" customHeight="1">
      <c r="A174" s="11"/>
      <c r="B174" s="11"/>
      <c r="C174" s="11"/>
      <c r="D174" s="11"/>
      <c r="E174" s="11"/>
      <c r="F174" s="11"/>
      <c r="G174" s="11"/>
      <c r="H174" s="11"/>
      <c r="I174" s="11"/>
      <c r="J174" s="11"/>
      <c r="K174" s="11"/>
      <c r="L174" s="11"/>
      <c r="M174" s="11"/>
      <c r="N174" s="11"/>
      <c r="O174" s="11"/>
      <c r="P174" s="11"/>
      <c r="Q174" s="11"/>
      <c r="R174" s="11"/>
      <c r="S174" s="11"/>
      <c r="T174" s="11"/>
    </row>
    <row r="175" ht="15.75" customHeight="1">
      <c r="A175" s="11"/>
      <c r="B175" s="11"/>
      <c r="C175" s="11"/>
      <c r="D175" s="11"/>
      <c r="E175" s="11"/>
      <c r="F175" s="11"/>
      <c r="G175" s="11"/>
      <c r="H175" s="11"/>
      <c r="I175" s="11"/>
      <c r="J175" s="11"/>
      <c r="K175" s="11"/>
      <c r="L175" s="11"/>
      <c r="M175" s="11"/>
      <c r="N175" s="11"/>
      <c r="O175" s="11"/>
      <c r="P175" s="11"/>
      <c r="Q175" s="11"/>
      <c r="R175" s="11"/>
      <c r="S175" s="11"/>
      <c r="T175" s="11"/>
    </row>
    <row r="176" ht="15.75" customHeight="1">
      <c r="A176" s="11"/>
      <c r="B176" s="11"/>
      <c r="C176" s="11"/>
      <c r="D176" s="11"/>
      <c r="E176" s="11"/>
      <c r="F176" s="11"/>
      <c r="G176" s="11"/>
      <c r="H176" s="11"/>
      <c r="I176" s="11"/>
      <c r="J176" s="11"/>
      <c r="K176" s="11"/>
      <c r="L176" s="11"/>
      <c r="M176" s="11"/>
      <c r="N176" s="11"/>
      <c r="O176" s="11"/>
      <c r="P176" s="11"/>
      <c r="Q176" s="11"/>
      <c r="R176" s="11"/>
      <c r="S176" s="11"/>
      <c r="T176" s="11"/>
    </row>
    <row r="177" ht="15.75" customHeight="1">
      <c r="A177" s="11"/>
      <c r="B177" s="11"/>
      <c r="C177" s="11"/>
      <c r="D177" s="11"/>
      <c r="E177" s="11"/>
      <c r="F177" s="11"/>
      <c r="G177" s="11"/>
      <c r="H177" s="11"/>
      <c r="I177" s="11"/>
      <c r="J177" s="11"/>
      <c r="K177" s="11"/>
      <c r="L177" s="11"/>
      <c r="M177" s="11"/>
      <c r="N177" s="11"/>
      <c r="O177" s="11"/>
      <c r="P177" s="11"/>
      <c r="Q177" s="11"/>
      <c r="R177" s="11"/>
      <c r="S177" s="11"/>
      <c r="T177" s="11"/>
    </row>
    <row r="178" ht="15.75" customHeight="1">
      <c r="A178" s="11"/>
      <c r="B178" s="11"/>
      <c r="C178" s="11"/>
      <c r="D178" s="11"/>
      <c r="E178" s="11"/>
      <c r="F178" s="11"/>
      <c r="G178" s="11"/>
      <c r="H178" s="11"/>
      <c r="I178" s="11"/>
      <c r="J178" s="11"/>
      <c r="K178" s="11"/>
      <c r="L178" s="11"/>
      <c r="M178" s="11"/>
      <c r="N178" s="11"/>
      <c r="O178" s="11"/>
      <c r="P178" s="11"/>
      <c r="Q178" s="11"/>
      <c r="R178" s="11"/>
      <c r="S178" s="11"/>
      <c r="T178" s="11"/>
    </row>
    <row r="179" ht="15.75" customHeight="1">
      <c r="A179" s="11"/>
      <c r="B179" s="11"/>
      <c r="C179" s="11"/>
      <c r="D179" s="11"/>
      <c r="E179" s="11"/>
      <c r="F179" s="11"/>
      <c r="G179" s="11"/>
      <c r="H179" s="11"/>
      <c r="I179" s="11"/>
      <c r="J179" s="11"/>
      <c r="K179" s="11"/>
      <c r="L179" s="11"/>
      <c r="M179" s="11"/>
      <c r="N179" s="11"/>
      <c r="O179" s="11"/>
      <c r="P179" s="11"/>
      <c r="Q179" s="11"/>
      <c r="R179" s="11"/>
      <c r="S179" s="11"/>
      <c r="T179" s="11"/>
    </row>
    <row r="180" ht="15.75" customHeight="1">
      <c r="A180" s="11"/>
      <c r="B180" s="11"/>
      <c r="C180" s="11"/>
      <c r="D180" s="11"/>
      <c r="E180" s="11"/>
      <c r="F180" s="11"/>
      <c r="G180" s="11"/>
      <c r="H180" s="11"/>
      <c r="I180" s="11"/>
      <c r="J180" s="11"/>
      <c r="K180" s="11"/>
      <c r="L180" s="11"/>
      <c r="M180" s="11"/>
      <c r="N180" s="11"/>
      <c r="O180" s="11"/>
      <c r="P180" s="11"/>
      <c r="Q180" s="11"/>
      <c r="R180" s="11"/>
      <c r="S180" s="11"/>
      <c r="T180" s="11"/>
    </row>
    <row r="181" ht="15.75" customHeight="1">
      <c r="A181" s="11"/>
      <c r="B181" s="11"/>
      <c r="C181" s="11"/>
      <c r="D181" s="11"/>
      <c r="E181" s="11"/>
      <c r="F181" s="11"/>
      <c r="G181" s="11"/>
      <c r="H181" s="11"/>
      <c r="I181" s="11"/>
      <c r="J181" s="11"/>
      <c r="K181" s="11"/>
      <c r="L181" s="11"/>
      <c r="M181" s="11"/>
      <c r="N181" s="11"/>
      <c r="O181" s="11"/>
      <c r="P181" s="11"/>
      <c r="Q181" s="11"/>
      <c r="R181" s="11"/>
      <c r="S181" s="11"/>
      <c r="T181" s="11"/>
    </row>
    <row r="182" ht="15.75" customHeight="1">
      <c r="A182" s="11"/>
      <c r="B182" s="11"/>
      <c r="C182" s="11"/>
      <c r="D182" s="11"/>
      <c r="E182" s="11"/>
      <c r="F182" s="11"/>
      <c r="G182" s="11"/>
      <c r="H182" s="11"/>
      <c r="I182" s="11"/>
      <c r="J182" s="11"/>
      <c r="K182" s="11"/>
      <c r="L182" s="11"/>
      <c r="M182" s="11"/>
      <c r="N182" s="11"/>
      <c r="O182" s="11"/>
      <c r="P182" s="11"/>
      <c r="Q182" s="11"/>
      <c r="R182" s="11"/>
      <c r="S182" s="11"/>
      <c r="T182" s="11"/>
    </row>
    <row r="183" ht="15.75" customHeight="1">
      <c r="A183" s="11"/>
      <c r="B183" s="11"/>
      <c r="C183" s="11"/>
      <c r="D183" s="11"/>
      <c r="E183" s="11"/>
      <c r="F183" s="11"/>
      <c r="G183" s="11"/>
      <c r="H183" s="11"/>
      <c r="I183" s="11"/>
      <c r="J183" s="11"/>
      <c r="K183" s="11"/>
      <c r="L183" s="11"/>
      <c r="M183" s="11"/>
      <c r="N183" s="11"/>
      <c r="O183" s="11"/>
      <c r="P183" s="11"/>
      <c r="Q183" s="11"/>
      <c r="R183" s="11"/>
      <c r="S183" s="11"/>
      <c r="T183" s="11"/>
    </row>
    <row r="184" ht="15.75" customHeight="1">
      <c r="A184" s="11"/>
      <c r="B184" s="11"/>
      <c r="C184" s="11"/>
      <c r="D184" s="11"/>
      <c r="E184" s="11"/>
      <c r="F184" s="11"/>
      <c r="G184" s="11"/>
      <c r="H184" s="11"/>
      <c r="I184" s="11"/>
      <c r="J184" s="11"/>
      <c r="K184" s="11"/>
      <c r="L184" s="11"/>
      <c r="M184" s="11"/>
      <c r="N184" s="11"/>
      <c r="O184" s="11"/>
      <c r="P184" s="11"/>
      <c r="Q184" s="11"/>
      <c r="R184" s="11"/>
      <c r="S184" s="11"/>
      <c r="T184" s="11"/>
    </row>
    <row r="185" ht="15.75" customHeight="1">
      <c r="A185" s="11"/>
      <c r="B185" s="11"/>
      <c r="C185" s="11"/>
      <c r="D185" s="11"/>
      <c r="E185" s="11"/>
      <c r="F185" s="11"/>
      <c r="G185" s="11"/>
      <c r="H185" s="11"/>
      <c r="I185" s="11"/>
      <c r="J185" s="11"/>
      <c r="K185" s="11"/>
      <c r="L185" s="11"/>
      <c r="M185" s="11"/>
      <c r="N185" s="11"/>
      <c r="O185" s="11"/>
      <c r="P185" s="11"/>
      <c r="Q185" s="11"/>
      <c r="R185" s="11"/>
      <c r="S185" s="11"/>
      <c r="T185" s="11"/>
    </row>
    <row r="186" ht="15.75" customHeight="1">
      <c r="A186" s="11"/>
      <c r="B186" s="11"/>
      <c r="C186" s="11"/>
      <c r="D186" s="11"/>
      <c r="E186" s="11"/>
      <c r="F186" s="11"/>
      <c r="G186" s="11"/>
      <c r="H186" s="11"/>
      <c r="I186" s="11"/>
      <c r="J186" s="11"/>
      <c r="K186" s="11"/>
      <c r="L186" s="11"/>
      <c r="M186" s="11"/>
      <c r="N186" s="11"/>
      <c r="O186" s="11"/>
      <c r="P186" s="11"/>
      <c r="Q186" s="11"/>
      <c r="R186" s="11"/>
      <c r="S186" s="11"/>
      <c r="T186" s="11"/>
    </row>
    <row r="187" ht="15.75" customHeight="1">
      <c r="A187" s="11"/>
      <c r="B187" s="11"/>
      <c r="C187" s="11"/>
      <c r="D187" s="11"/>
      <c r="E187" s="11"/>
      <c r="F187" s="11"/>
      <c r="G187" s="11"/>
      <c r="H187" s="11"/>
      <c r="I187" s="11"/>
      <c r="J187" s="11"/>
      <c r="K187" s="11"/>
      <c r="L187" s="11"/>
      <c r="M187" s="11"/>
      <c r="N187" s="11"/>
      <c r="O187" s="11"/>
      <c r="P187" s="11"/>
      <c r="Q187" s="11"/>
      <c r="R187" s="11"/>
      <c r="S187" s="11"/>
      <c r="T187" s="11"/>
    </row>
    <row r="188" ht="15.75" customHeight="1">
      <c r="A188" s="11"/>
      <c r="B188" s="11"/>
      <c r="C188" s="11"/>
      <c r="D188" s="11"/>
      <c r="E188" s="11"/>
      <c r="F188" s="11"/>
      <c r="G188" s="11"/>
      <c r="H188" s="11"/>
      <c r="I188" s="11"/>
      <c r="J188" s="11"/>
      <c r="K188" s="11"/>
      <c r="L188" s="11"/>
      <c r="M188" s="11"/>
      <c r="N188" s="11"/>
      <c r="O188" s="11"/>
      <c r="P188" s="11"/>
      <c r="Q188" s="11"/>
      <c r="R188" s="11"/>
      <c r="S188" s="11"/>
      <c r="T188" s="11"/>
    </row>
    <row r="189" ht="15.75" customHeight="1">
      <c r="A189" s="11"/>
      <c r="B189" s="11"/>
      <c r="C189" s="11"/>
      <c r="D189" s="11"/>
      <c r="E189" s="11"/>
      <c r="F189" s="11"/>
      <c r="G189" s="11"/>
      <c r="H189" s="11"/>
      <c r="I189" s="11"/>
      <c r="J189" s="11"/>
      <c r="K189" s="11"/>
      <c r="L189" s="11"/>
      <c r="M189" s="11"/>
      <c r="N189" s="11"/>
      <c r="O189" s="11"/>
      <c r="P189" s="11"/>
      <c r="Q189" s="11"/>
      <c r="R189" s="11"/>
      <c r="S189" s="11"/>
      <c r="T189" s="11"/>
    </row>
    <row r="190" ht="15.75" customHeight="1">
      <c r="A190" s="11"/>
      <c r="B190" s="11"/>
      <c r="C190" s="11"/>
      <c r="D190" s="11"/>
      <c r="E190" s="11"/>
      <c r="F190" s="11"/>
      <c r="G190" s="11"/>
      <c r="H190" s="11"/>
      <c r="I190" s="11"/>
      <c r="J190" s="11"/>
      <c r="K190" s="11"/>
      <c r="L190" s="11"/>
      <c r="M190" s="11"/>
      <c r="N190" s="11"/>
      <c r="O190" s="11"/>
      <c r="P190" s="11"/>
      <c r="Q190" s="11"/>
      <c r="R190" s="11"/>
      <c r="S190" s="11"/>
      <c r="T190" s="11"/>
    </row>
    <row r="191" ht="15.75" customHeight="1">
      <c r="A191" s="11"/>
      <c r="B191" s="11"/>
      <c r="C191" s="11"/>
      <c r="D191" s="11"/>
      <c r="E191" s="11"/>
      <c r="F191" s="11"/>
      <c r="G191" s="11"/>
      <c r="H191" s="11"/>
      <c r="I191" s="11"/>
      <c r="J191" s="11"/>
      <c r="K191" s="11"/>
      <c r="L191" s="11"/>
      <c r="M191" s="11"/>
      <c r="N191" s="11"/>
      <c r="O191" s="11"/>
      <c r="P191" s="11"/>
      <c r="Q191" s="11"/>
      <c r="R191" s="11"/>
      <c r="S191" s="11"/>
      <c r="T191" s="11"/>
    </row>
    <row r="192" ht="15.75" customHeight="1">
      <c r="A192" s="11"/>
      <c r="B192" s="11"/>
      <c r="C192" s="11"/>
      <c r="D192" s="11"/>
      <c r="E192" s="11"/>
      <c r="F192" s="11"/>
      <c r="G192" s="11"/>
      <c r="H192" s="11"/>
      <c r="I192" s="11"/>
      <c r="J192" s="11"/>
      <c r="K192" s="11"/>
      <c r="L192" s="11"/>
      <c r="M192" s="11"/>
      <c r="N192" s="11"/>
      <c r="O192" s="11"/>
      <c r="P192" s="11"/>
      <c r="Q192" s="11"/>
      <c r="R192" s="11"/>
      <c r="S192" s="11"/>
      <c r="T192" s="11"/>
    </row>
    <row r="193" ht="15.75" customHeight="1">
      <c r="A193" s="11"/>
      <c r="B193" s="11"/>
      <c r="C193" s="11"/>
      <c r="D193" s="11"/>
      <c r="E193" s="11"/>
      <c r="F193" s="11"/>
      <c r="G193" s="11"/>
      <c r="H193" s="11"/>
      <c r="I193" s="11"/>
      <c r="J193" s="11"/>
      <c r="K193" s="11"/>
      <c r="L193" s="11"/>
      <c r="M193" s="11"/>
      <c r="N193" s="11"/>
      <c r="O193" s="11"/>
      <c r="P193" s="11"/>
      <c r="Q193" s="11"/>
      <c r="R193" s="11"/>
      <c r="S193" s="11"/>
      <c r="T193" s="11"/>
    </row>
    <row r="194" ht="15.75" customHeight="1">
      <c r="A194" s="11"/>
      <c r="B194" s="11"/>
      <c r="C194" s="11"/>
      <c r="D194" s="11"/>
      <c r="E194" s="11"/>
      <c r="F194" s="11"/>
      <c r="G194" s="11"/>
      <c r="H194" s="11"/>
      <c r="I194" s="11"/>
      <c r="J194" s="11"/>
      <c r="K194" s="11"/>
      <c r="L194" s="11"/>
      <c r="M194" s="11"/>
      <c r="N194" s="11"/>
      <c r="O194" s="11"/>
      <c r="P194" s="11"/>
      <c r="Q194" s="11"/>
      <c r="R194" s="11"/>
      <c r="S194" s="11"/>
      <c r="T194" s="11"/>
    </row>
    <row r="195" ht="15.75" customHeight="1">
      <c r="A195" s="11"/>
      <c r="B195" s="11"/>
      <c r="C195" s="11"/>
      <c r="D195" s="11"/>
      <c r="E195" s="11"/>
      <c r="F195" s="11"/>
      <c r="G195" s="11"/>
      <c r="H195" s="11"/>
      <c r="I195" s="11"/>
      <c r="J195" s="11"/>
      <c r="K195" s="11"/>
      <c r="L195" s="11"/>
      <c r="M195" s="11"/>
      <c r="N195" s="11"/>
      <c r="O195" s="11"/>
      <c r="P195" s="11"/>
      <c r="Q195" s="11"/>
      <c r="R195" s="11"/>
      <c r="S195" s="11"/>
      <c r="T195" s="11"/>
    </row>
    <row r="196" ht="15.75" customHeight="1">
      <c r="A196" s="11"/>
      <c r="B196" s="11"/>
      <c r="C196" s="11"/>
      <c r="D196" s="11"/>
      <c r="E196" s="11"/>
      <c r="F196" s="11"/>
      <c r="G196" s="11"/>
      <c r="H196" s="11"/>
      <c r="I196" s="11"/>
      <c r="J196" s="11"/>
      <c r="K196" s="11"/>
      <c r="L196" s="11"/>
      <c r="M196" s="11"/>
      <c r="N196" s="11"/>
      <c r="O196" s="11"/>
      <c r="P196" s="11"/>
      <c r="Q196" s="11"/>
      <c r="R196" s="11"/>
      <c r="S196" s="11"/>
      <c r="T196" s="11"/>
    </row>
    <row r="197" ht="15.75" customHeight="1">
      <c r="A197" s="11"/>
      <c r="B197" s="11"/>
      <c r="C197" s="11"/>
      <c r="D197" s="11"/>
      <c r="E197" s="11"/>
      <c r="F197" s="11"/>
      <c r="G197" s="11"/>
      <c r="H197" s="11"/>
      <c r="I197" s="11"/>
      <c r="J197" s="11"/>
      <c r="K197" s="11"/>
      <c r="L197" s="11"/>
      <c r="M197" s="11"/>
      <c r="N197" s="11"/>
      <c r="O197" s="11"/>
      <c r="P197" s="11"/>
      <c r="Q197" s="11"/>
      <c r="R197" s="11"/>
      <c r="S197" s="11"/>
      <c r="T197" s="11"/>
    </row>
    <row r="198" ht="15.75" customHeight="1">
      <c r="A198" s="11"/>
      <c r="B198" s="11"/>
      <c r="C198" s="11"/>
      <c r="D198" s="11"/>
      <c r="E198" s="11"/>
      <c r="F198" s="11"/>
      <c r="G198" s="11"/>
      <c r="H198" s="11"/>
      <c r="I198" s="11"/>
      <c r="J198" s="11"/>
      <c r="K198" s="11"/>
      <c r="L198" s="11"/>
      <c r="M198" s="11"/>
      <c r="N198" s="11"/>
      <c r="O198" s="11"/>
      <c r="P198" s="11"/>
      <c r="Q198" s="11"/>
      <c r="R198" s="11"/>
      <c r="S198" s="11"/>
      <c r="T198" s="11"/>
    </row>
    <row r="199" ht="15.75" customHeight="1">
      <c r="A199" s="11"/>
      <c r="B199" s="11"/>
      <c r="C199" s="11"/>
      <c r="D199" s="11"/>
      <c r="E199" s="11"/>
      <c r="F199" s="11"/>
      <c r="G199" s="11"/>
      <c r="H199" s="11"/>
      <c r="I199" s="11"/>
      <c r="J199" s="11"/>
      <c r="K199" s="11"/>
      <c r="L199" s="11"/>
      <c r="M199" s="11"/>
      <c r="N199" s="11"/>
      <c r="O199" s="11"/>
      <c r="P199" s="11"/>
      <c r="Q199" s="11"/>
      <c r="R199" s="11"/>
      <c r="S199" s="11"/>
      <c r="T199" s="11"/>
    </row>
    <row r="200" ht="15.75" customHeight="1">
      <c r="A200" s="11"/>
      <c r="B200" s="11"/>
      <c r="C200" s="11"/>
      <c r="D200" s="11"/>
      <c r="E200" s="11"/>
      <c r="F200" s="11"/>
      <c r="G200" s="11"/>
      <c r="H200" s="11"/>
      <c r="I200" s="11"/>
      <c r="J200" s="11"/>
      <c r="K200" s="11"/>
      <c r="L200" s="11"/>
      <c r="M200" s="11"/>
      <c r="N200" s="11"/>
      <c r="O200" s="11"/>
      <c r="P200" s="11"/>
      <c r="Q200" s="11"/>
      <c r="R200" s="11"/>
      <c r="S200" s="11"/>
      <c r="T200" s="11"/>
    </row>
    <row r="201" ht="15.75" customHeight="1">
      <c r="A201" s="11"/>
      <c r="B201" s="11"/>
      <c r="C201" s="11"/>
      <c r="D201" s="11"/>
      <c r="E201" s="11"/>
      <c r="F201" s="11"/>
      <c r="G201" s="11"/>
      <c r="H201" s="11"/>
      <c r="I201" s="11"/>
      <c r="J201" s="11"/>
      <c r="K201" s="11"/>
      <c r="L201" s="11"/>
      <c r="M201" s="11"/>
      <c r="N201" s="11"/>
      <c r="O201" s="11"/>
      <c r="P201" s="11"/>
      <c r="Q201" s="11"/>
      <c r="R201" s="11"/>
      <c r="S201" s="11"/>
      <c r="T201" s="11"/>
    </row>
    <row r="202" ht="15.75" customHeight="1">
      <c r="A202" s="11"/>
      <c r="B202" s="11"/>
      <c r="C202" s="11"/>
      <c r="D202" s="11"/>
      <c r="E202" s="11"/>
      <c r="F202" s="11"/>
      <c r="G202" s="11"/>
      <c r="H202" s="11"/>
      <c r="I202" s="11"/>
      <c r="J202" s="11"/>
      <c r="K202" s="11"/>
      <c r="L202" s="11"/>
      <c r="M202" s="11"/>
      <c r="N202" s="11"/>
      <c r="O202" s="11"/>
      <c r="P202" s="11"/>
      <c r="Q202" s="11"/>
      <c r="R202" s="11"/>
      <c r="S202" s="11"/>
      <c r="T202" s="11"/>
    </row>
    <row r="203" ht="15.75" customHeight="1">
      <c r="A203" s="11"/>
      <c r="B203" s="11"/>
      <c r="C203" s="11"/>
      <c r="D203" s="11"/>
      <c r="E203" s="11"/>
      <c r="F203" s="11"/>
      <c r="G203" s="11"/>
      <c r="H203" s="11"/>
      <c r="I203" s="11"/>
      <c r="J203" s="11"/>
      <c r="K203" s="11"/>
      <c r="L203" s="11"/>
      <c r="M203" s="11"/>
      <c r="N203" s="11"/>
      <c r="O203" s="11"/>
      <c r="P203" s="11"/>
      <c r="Q203" s="11"/>
      <c r="R203" s="11"/>
      <c r="S203" s="11"/>
      <c r="T203" s="11"/>
    </row>
    <row r="204" ht="15.75" customHeight="1">
      <c r="A204" s="11"/>
      <c r="B204" s="11"/>
      <c r="C204" s="11"/>
      <c r="D204" s="11"/>
      <c r="E204" s="11"/>
      <c r="F204" s="11"/>
      <c r="G204" s="11"/>
      <c r="H204" s="11"/>
      <c r="I204" s="11"/>
      <c r="J204" s="11"/>
      <c r="K204" s="11"/>
      <c r="L204" s="11"/>
      <c r="M204" s="11"/>
      <c r="N204" s="11"/>
      <c r="O204" s="11"/>
      <c r="P204" s="11"/>
      <c r="Q204" s="11"/>
      <c r="R204" s="11"/>
      <c r="S204" s="11"/>
      <c r="T204" s="11"/>
    </row>
    <row r="205" ht="15.75" customHeight="1">
      <c r="A205" s="11"/>
      <c r="B205" s="11"/>
      <c r="C205" s="11"/>
      <c r="D205" s="11"/>
      <c r="E205" s="11"/>
      <c r="F205" s="11"/>
      <c r="G205" s="11"/>
      <c r="H205" s="11"/>
      <c r="I205" s="11"/>
      <c r="J205" s="11"/>
      <c r="K205" s="11"/>
      <c r="L205" s="11"/>
      <c r="M205" s="11"/>
      <c r="N205" s="11"/>
      <c r="O205" s="11"/>
      <c r="P205" s="11"/>
      <c r="Q205" s="11"/>
      <c r="R205" s="11"/>
      <c r="S205" s="11"/>
      <c r="T205" s="11"/>
    </row>
    <row r="206" ht="15.75" customHeight="1">
      <c r="A206" s="11"/>
      <c r="B206" s="11"/>
      <c r="C206" s="11"/>
      <c r="D206" s="11"/>
      <c r="E206" s="11"/>
      <c r="F206" s="11"/>
      <c r="G206" s="11"/>
      <c r="H206" s="11"/>
      <c r="I206" s="11"/>
      <c r="J206" s="11"/>
      <c r="K206" s="11"/>
      <c r="L206" s="11"/>
      <c r="M206" s="11"/>
      <c r="N206" s="11"/>
      <c r="O206" s="11"/>
      <c r="P206" s="11"/>
      <c r="Q206" s="11"/>
      <c r="R206" s="11"/>
      <c r="S206" s="11"/>
      <c r="T206" s="11"/>
    </row>
    <row r="207" ht="15.75" customHeight="1">
      <c r="A207" s="11"/>
      <c r="B207" s="11"/>
      <c r="C207" s="11"/>
      <c r="D207" s="11"/>
      <c r="E207" s="11"/>
      <c r="F207" s="11"/>
      <c r="G207" s="11"/>
      <c r="H207" s="11"/>
      <c r="I207" s="11"/>
      <c r="J207" s="11"/>
      <c r="K207" s="11"/>
      <c r="L207" s="11"/>
      <c r="M207" s="11"/>
      <c r="N207" s="11"/>
      <c r="O207" s="11"/>
      <c r="P207" s="11"/>
      <c r="Q207" s="11"/>
      <c r="R207" s="11"/>
      <c r="S207" s="11"/>
      <c r="T207" s="11"/>
    </row>
    <row r="208" ht="15.75" customHeight="1">
      <c r="A208" s="11"/>
      <c r="B208" s="11"/>
      <c r="C208" s="11"/>
      <c r="D208" s="11"/>
      <c r="E208" s="11"/>
      <c r="F208" s="11"/>
      <c r="G208" s="11"/>
      <c r="H208" s="11"/>
      <c r="I208" s="11"/>
      <c r="J208" s="11"/>
      <c r="K208" s="11"/>
      <c r="L208" s="11"/>
      <c r="M208" s="11"/>
      <c r="N208" s="11"/>
      <c r="O208" s="11"/>
      <c r="P208" s="11"/>
      <c r="Q208" s="11"/>
      <c r="R208" s="11"/>
      <c r="S208" s="11"/>
      <c r="T208" s="11"/>
    </row>
    <row r="209" ht="15.75" customHeight="1">
      <c r="A209" s="11"/>
      <c r="B209" s="11"/>
      <c r="C209" s="11"/>
      <c r="D209" s="11"/>
      <c r="E209" s="11"/>
      <c r="F209" s="11"/>
      <c r="G209" s="11"/>
      <c r="H209" s="11"/>
      <c r="I209" s="11"/>
      <c r="J209" s="11"/>
      <c r="K209" s="11"/>
      <c r="L209" s="11"/>
      <c r="M209" s="11"/>
      <c r="N209" s="11"/>
      <c r="O209" s="11"/>
      <c r="P209" s="11"/>
      <c r="Q209" s="11"/>
      <c r="R209" s="11"/>
      <c r="S209" s="11"/>
      <c r="T209" s="11"/>
    </row>
    <row r="210" ht="15.75" customHeight="1">
      <c r="A210" s="11"/>
      <c r="B210" s="11"/>
      <c r="C210" s="11"/>
      <c r="D210" s="11"/>
      <c r="E210" s="11"/>
      <c r="F210" s="11"/>
      <c r="G210" s="11"/>
      <c r="H210" s="11"/>
      <c r="I210" s="11"/>
      <c r="J210" s="11"/>
      <c r="K210" s="11"/>
      <c r="L210" s="11"/>
      <c r="M210" s="11"/>
      <c r="N210" s="11"/>
      <c r="O210" s="11"/>
      <c r="P210" s="11"/>
      <c r="Q210" s="11"/>
      <c r="R210" s="11"/>
      <c r="S210" s="11"/>
      <c r="T210" s="11"/>
    </row>
    <row r="211" ht="15.75" customHeight="1">
      <c r="A211" s="11"/>
      <c r="B211" s="11"/>
      <c r="C211" s="11"/>
      <c r="D211" s="11"/>
      <c r="E211" s="11"/>
      <c r="F211" s="11"/>
      <c r="G211" s="11"/>
      <c r="H211" s="11"/>
      <c r="I211" s="11"/>
      <c r="J211" s="11"/>
      <c r="K211" s="11"/>
      <c r="L211" s="11"/>
      <c r="M211" s="11"/>
      <c r="N211" s="11"/>
      <c r="O211" s="11"/>
      <c r="P211" s="11"/>
      <c r="Q211" s="11"/>
      <c r="R211" s="11"/>
      <c r="S211" s="11"/>
      <c r="T211" s="11"/>
    </row>
    <row r="212" ht="15.75" customHeight="1">
      <c r="A212" s="11"/>
      <c r="B212" s="11"/>
      <c r="C212" s="11"/>
      <c r="D212" s="11"/>
      <c r="E212" s="11"/>
      <c r="F212" s="11"/>
      <c r="G212" s="11"/>
      <c r="H212" s="11"/>
      <c r="I212" s="11"/>
      <c r="J212" s="11"/>
      <c r="K212" s="11"/>
      <c r="L212" s="11"/>
      <c r="M212" s="11"/>
      <c r="N212" s="11"/>
      <c r="O212" s="11"/>
      <c r="P212" s="11"/>
      <c r="Q212" s="11"/>
      <c r="R212" s="11"/>
      <c r="S212" s="11"/>
      <c r="T212" s="11"/>
    </row>
    <row r="213" ht="15.75" customHeight="1">
      <c r="A213" s="11"/>
      <c r="B213" s="11"/>
      <c r="C213" s="11"/>
      <c r="D213" s="11"/>
      <c r="E213" s="11"/>
      <c r="F213" s="11"/>
      <c r="G213" s="11"/>
      <c r="H213" s="11"/>
      <c r="I213" s="11"/>
      <c r="J213" s="11"/>
      <c r="K213" s="11"/>
      <c r="L213" s="11"/>
      <c r="M213" s="11"/>
      <c r="N213" s="11"/>
      <c r="O213" s="11"/>
      <c r="P213" s="11"/>
      <c r="Q213" s="11"/>
      <c r="R213" s="11"/>
      <c r="S213" s="11"/>
      <c r="T213" s="11"/>
    </row>
    <row r="214" ht="15.75" customHeight="1">
      <c r="A214" s="11"/>
      <c r="B214" s="11"/>
      <c r="C214" s="11"/>
      <c r="D214" s="11"/>
      <c r="E214" s="11"/>
      <c r="F214" s="11"/>
      <c r="G214" s="11"/>
      <c r="H214" s="11"/>
      <c r="I214" s="11"/>
      <c r="J214" s="11"/>
      <c r="K214" s="11"/>
      <c r="L214" s="11"/>
      <c r="M214" s="11"/>
      <c r="N214" s="11"/>
      <c r="O214" s="11"/>
      <c r="P214" s="11"/>
      <c r="Q214" s="11"/>
      <c r="R214" s="11"/>
      <c r="S214" s="11"/>
      <c r="T214" s="11"/>
    </row>
    <row r="215" ht="15.75" customHeight="1">
      <c r="A215" s="11"/>
      <c r="B215" s="11"/>
      <c r="C215" s="11"/>
      <c r="D215" s="11"/>
      <c r="E215" s="11"/>
      <c r="F215" s="11"/>
      <c r="G215" s="11"/>
      <c r="H215" s="11"/>
      <c r="I215" s="11"/>
      <c r="J215" s="11"/>
      <c r="K215" s="11"/>
      <c r="L215" s="11"/>
      <c r="M215" s="11"/>
      <c r="N215" s="11"/>
      <c r="O215" s="11"/>
      <c r="P215" s="11"/>
      <c r="Q215" s="11"/>
      <c r="R215" s="11"/>
      <c r="S215" s="11"/>
      <c r="T215" s="11"/>
    </row>
    <row r="216" ht="15.75" customHeight="1">
      <c r="A216" s="11"/>
      <c r="B216" s="11"/>
      <c r="C216" s="11"/>
      <c r="D216" s="11"/>
      <c r="E216" s="11"/>
      <c r="F216" s="11"/>
      <c r="G216" s="11"/>
      <c r="H216" s="11"/>
      <c r="I216" s="11"/>
      <c r="J216" s="11"/>
      <c r="K216" s="11"/>
      <c r="L216" s="11"/>
      <c r="M216" s="11"/>
      <c r="N216" s="11"/>
      <c r="O216" s="11"/>
      <c r="P216" s="11"/>
      <c r="Q216" s="11"/>
      <c r="R216" s="11"/>
      <c r="S216" s="11"/>
      <c r="T216" s="11"/>
    </row>
    <row r="217" ht="15.75" customHeight="1">
      <c r="A217" s="11"/>
      <c r="B217" s="11"/>
      <c r="C217" s="11"/>
      <c r="D217" s="11"/>
      <c r="E217" s="11"/>
      <c r="F217" s="11"/>
      <c r="G217" s="11"/>
      <c r="H217" s="11"/>
      <c r="I217" s="11"/>
      <c r="J217" s="11"/>
      <c r="K217" s="11"/>
      <c r="L217" s="11"/>
      <c r="M217" s="11"/>
      <c r="N217" s="11"/>
      <c r="O217" s="11"/>
      <c r="P217" s="11"/>
      <c r="Q217" s="11"/>
      <c r="R217" s="11"/>
      <c r="S217" s="11"/>
      <c r="T217" s="11"/>
    </row>
    <row r="218" ht="15.75" customHeight="1">
      <c r="A218" s="11"/>
      <c r="B218" s="11"/>
      <c r="C218" s="11"/>
      <c r="D218" s="11"/>
      <c r="E218" s="11"/>
      <c r="F218" s="11"/>
      <c r="G218" s="11"/>
      <c r="H218" s="11"/>
      <c r="I218" s="11"/>
      <c r="J218" s="11"/>
      <c r="K218" s="11"/>
      <c r="L218" s="11"/>
      <c r="M218" s="11"/>
      <c r="N218" s="11"/>
      <c r="O218" s="11"/>
      <c r="P218" s="11"/>
      <c r="Q218" s="11"/>
      <c r="R218" s="11"/>
      <c r="S218" s="11"/>
      <c r="T218" s="11"/>
    </row>
    <row r="219" ht="15.75" customHeight="1">
      <c r="A219" s="11"/>
      <c r="B219" s="11"/>
      <c r="C219" s="11"/>
      <c r="D219" s="11"/>
      <c r="E219" s="11"/>
      <c r="F219" s="11"/>
      <c r="G219" s="11"/>
      <c r="H219" s="11"/>
      <c r="I219" s="11"/>
      <c r="J219" s="11"/>
      <c r="K219" s="11"/>
      <c r="L219" s="11"/>
      <c r="M219" s="11"/>
      <c r="N219" s="11"/>
      <c r="O219" s="11"/>
      <c r="P219" s="11"/>
      <c r="Q219" s="11"/>
      <c r="R219" s="11"/>
      <c r="S219" s="11"/>
      <c r="T219" s="11"/>
    </row>
    <row r="220" ht="15.75" customHeight="1">
      <c r="A220" s="11"/>
      <c r="B220" s="11"/>
      <c r="C220" s="11"/>
      <c r="D220" s="11"/>
      <c r="E220" s="11"/>
      <c r="F220" s="11"/>
      <c r="G220" s="11"/>
      <c r="H220" s="11"/>
      <c r="I220" s="11"/>
      <c r="J220" s="11"/>
      <c r="K220" s="11"/>
      <c r="L220" s="11"/>
      <c r="M220" s="11"/>
      <c r="N220" s="11"/>
      <c r="O220" s="11"/>
      <c r="P220" s="11"/>
      <c r="Q220" s="11"/>
      <c r="R220" s="11"/>
      <c r="S220" s="11"/>
      <c r="T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A9:E9"/>
    <mergeCell ref="A10:E10"/>
    <mergeCell ref="A1:E1"/>
    <mergeCell ref="G1:I1"/>
    <mergeCell ref="K1:N1"/>
    <mergeCell ref="G2:I2"/>
    <mergeCell ref="A7:E7"/>
    <mergeCell ref="A8:E8"/>
    <mergeCell ref="G8:I8"/>
  </mergeCells>
  <conditionalFormatting sqref="G11:I11">
    <cfRule type="expression" dxfId="0" priority="1">
      <formula>$H$11&gt;=$H$6</formula>
    </cfRule>
  </conditionalFormatting>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1"/>
    <pageSetUpPr/>
  </sheetPr>
  <sheetViews>
    <sheetView showGridLines="0" workbookViewId="0"/>
  </sheetViews>
  <sheetFormatPr customHeight="1" defaultColWidth="12.63" defaultRowHeight="15.0" outlineLevelRow="1"/>
  <cols>
    <col customWidth="1" min="1" max="1" width="24.13"/>
    <col customWidth="1" min="2" max="2" width="19.25"/>
    <col customWidth="1" min="3" max="3" width="38.63"/>
    <col customWidth="1" min="4" max="4" width="12.0"/>
    <col customWidth="1" min="5" max="5" width="34.88"/>
    <col customWidth="1" min="6" max="6" width="18.13"/>
    <col customWidth="1" min="7" max="7" width="10.75"/>
    <col customWidth="1" min="8" max="8" width="39.5"/>
    <col customWidth="1" min="9" max="9" width="4.63"/>
    <col customWidth="1" min="10" max="10" width="18.5"/>
    <col customWidth="1" min="11" max="11" width="20.25"/>
    <col customWidth="1" min="12" max="12" width="8.5"/>
    <col customWidth="1" min="13" max="13" width="15.38"/>
    <col customWidth="1" min="14" max="14" width="3.25"/>
    <col customWidth="1" min="15" max="15" width="11.75"/>
    <col customWidth="1" min="16" max="16" width="8.75"/>
    <col customWidth="1" min="17" max="17" width="40.88"/>
    <col customWidth="1" min="18" max="18" width="41.38"/>
    <col customWidth="1" min="19" max="19" width="8.25"/>
    <col customWidth="1" min="20" max="20" width="1.88"/>
    <col customWidth="1" min="21" max="21" width="8.25"/>
    <col customWidth="1" min="22" max="22" width="1.88"/>
    <col customWidth="1" min="23" max="23" width="8.25"/>
    <col customWidth="1" min="24" max="27" width="7.63"/>
  </cols>
  <sheetData>
    <row r="1" ht="23.25" customHeight="1">
      <c r="A1" s="183" t="s">
        <v>202</v>
      </c>
      <c r="B1" s="61"/>
      <c r="C1" s="61"/>
      <c r="D1" s="61"/>
      <c r="E1" s="61"/>
      <c r="F1" s="61"/>
      <c r="G1" s="61"/>
      <c r="H1" s="62"/>
      <c r="I1" s="11"/>
      <c r="J1" s="11"/>
      <c r="K1" s="11"/>
      <c r="L1" s="11"/>
      <c r="M1" s="11"/>
      <c r="N1" s="11"/>
      <c r="O1" s="11"/>
      <c r="P1" s="11"/>
      <c r="Q1" s="11"/>
      <c r="R1" s="11"/>
      <c r="S1" s="11"/>
      <c r="T1" s="11"/>
      <c r="U1" s="11"/>
      <c r="V1" s="11"/>
      <c r="W1" s="11"/>
      <c r="X1" s="11"/>
      <c r="Y1" s="11"/>
      <c r="Z1" s="11"/>
      <c r="AA1" s="11"/>
    </row>
    <row r="2">
      <c r="A2" s="184" t="s">
        <v>203</v>
      </c>
      <c r="B2" s="61"/>
      <c r="C2" s="61"/>
      <c r="D2" s="61"/>
      <c r="E2" s="61"/>
      <c r="F2" s="61"/>
      <c r="G2" s="61"/>
      <c r="H2" s="62"/>
      <c r="I2" s="11"/>
      <c r="J2" s="11"/>
      <c r="K2" s="11"/>
      <c r="L2" s="11"/>
      <c r="M2" s="11"/>
      <c r="N2" s="11"/>
      <c r="O2" s="11"/>
      <c r="P2" s="11"/>
      <c r="Q2" s="11"/>
      <c r="R2" s="182"/>
      <c r="S2" s="11"/>
      <c r="T2" s="11"/>
      <c r="U2" s="11"/>
      <c r="V2" s="11"/>
      <c r="W2" s="11"/>
      <c r="X2" s="11"/>
      <c r="Y2" s="11"/>
      <c r="Z2" s="11"/>
      <c r="AA2" s="11"/>
    </row>
    <row r="3">
      <c r="A3" s="182"/>
      <c r="B3" s="182"/>
      <c r="C3" s="182"/>
      <c r="D3" s="182"/>
      <c r="E3" s="182"/>
      <c r="F3" s="182"/>
      <c r="G3" s="182"/>
      <c r="H3" s="182"/>
      <c r="I3" s="182"/>
      <c r="J3" s="182"/>
      <c r="K3" s="11"/>
      <c r="L3" s="182"/>
      <c r="M3" s="182"/>
      <c r="N3" s="182"/>
      <c r="O3" s="182"/>
      <c r="P3" s="11"/>
      <c r="Q3" s="11"/>
      <c r="R3" s="182"/>
      <c r="S3" s="11"/>
      <c r="T3" s="11"/>
      <c r="U3" s="11"/>
      <c r="V3" s="11"/>
      <c r="W3" s="11"/>
      <c r="X3" s="11"/>
      <c r="Y3" s="182"/>
      <c r="Z3" s="11"/>
      <c r="AA3" s="11"/>
    </row>
    <row r="4">
      <c r="A4" s="185" t="s">
        <v>205</v>
      </c>
      <c r="B4" s="61"/>
      <c r="C4" s="62"/>
      <c r="D4" s="182"/>
      <c r="E4" s="185" t="s">
        <v>206</v>
      </c>
      <c r="F4" s="61"/>
      <c r="G4" s="61"/>
      <c r="H4" s="62"/>
      <c r="I4" s="182"/>
      <c r="J4" s="187" t="s">
        <v>207</v>
      </c>
      <c r="K4" s="61"/>
      <c r="L4" s="61"/>
      <c r="M4" s="62"/>
      <c r="N4" s="11"/>
      <c r="O4" s="187" t="s">
        <v>208</v>
      </c>
      <c r="P4" s="61"/>
      <c r="Q4" s="62"/>
      <c r="R4" s="11"/>
      <c r="S4" s="11"/>
      <c r="T4" s="11"/>
      <c r="U4" s="11"/>
      <c r="V4" s="11"/>
      <c r="W4" s="11"/>
      <c r="X4" s="11"/>
      <c r="Y4" s="182"/>
      <c r="Z4" s="11"/>
      <c r="AA4" s="11"/>
    </row>
    <row r="5">
      <c r="A5" s="188" t="s">
        <v>29</v>
      </c>
      <c r="B5" s="188" t="s">
        <v>32</v>
      </c>
      <c r="C5" s="188" t="s">
        <v>209</v>
      </c>
      <c r="D5" s="182"/>
      <c r="E5" s="188" t="s">
        <v>210</v>
      </c>
      <c r="F5" s="188" t="s">
        <v>32</v>
      </c>
      <c r="G5" s="188" t="s">
        <v>33</v>
      </c>
      <c r="H5" s="188" t="s">
        <v>211</v>
      </c>
      <c r="I5" s="182"/>
      <c r="J5" s="190" t="s">
        <v>212</v>
      </c>
      <c r="K5" s="188" t="s">
        <v>213</v>
      </c>
      <c r="L5" s="188" t="s">
        <v>214</v>
      </c>
      <c r="M5" s="188" t="s">
        <v>215</v>
      </c>
      <c r="N5" s="11"/>
      <c r="O5" s="190" t="s">
        <v>216</v>
      </c>
      <c r="P5" s="190" t="s">
        <v>217</v>
      </c>
      <c r="Q5" s="188" t="s">
        <v>218</v>
      </c>
      <c r="R5" s="11"/>
      <c r="S5" s="11"/>
      <c r="T5" s="11"/>
      <c r="U5" s="11"/>
      <c r="V5" s="11"/>
      <c r="W5" s="11"/>
      <c r="X5" s="11"/>
      <c r="Y5" s="182"/>
      <c r="Z5" s="11"/>
      <c r="AA5" s="11"/>
    </row>
    <row r="6">
      <c r="A6" s="191" t="s">
        <v>219</v>
      </c>
      <c r="B6" s="194">
        <v>64000.0</v>
      </c>
      <c r="C6" s="195" t="s">
        <v>220</v>
      </c>
      <c r="D6" s="182"/>
      <c r="E6" s="191" t="s">
        <v>221</v>
      </c>
      <c r="F6" s="197">
        <f>MAX(F23:F742)</f>
        <v>8722.947557</v>
      </c>
      <c r="G6" s="191" t="s">
        <v>220</v>
      </c>
      <c r="H6" s="191" t="s">
        <v>224</v>
      </c>
      <c r="I6" s="182"/>
      <c r="J6" s="199" t="s">
        <v>225</v>
      </c>
      <c r="K6" s="200">
        <v>0.0</v>
      </c>
      <c r="L6" s="200">
        <v>30.0</v>
      </c>
      <c r="M6" s="201">
        <v>0.0</v>
      </c>
      <c r="N6" s="11"/>
      <c r="O6" s="199" t="s">
        <v>225</v>
      </c>
      <c r="P6" s="202"/>
      <c r="Q6" s="191" t="s">
        <v>233</v>
      </c>
      <c r="R6" s="11"/>
      <c r="S6" s="11"/>
      <c r="T6" s="11"/>
      <c r="U6" s="11"/>
      <c r="V6" s="11"/>
      <c r="W6" s="11"/>
      <c r="X6" s="11"/>
      <c r="Y6" s="182"/>
      <c r="Z6" s="11"/>
      <c r="AA6" s="11"/>
    </row>
    <row r="7">
      <c r="A7" s="191" t="s">
        <v>234</v>
      </c>
      <c r="B7" s="194">
        <v>8192.0</v>
      </c>
      <c r="C7" s="195" t="s">
        <v>235</v>
      </c>
      <c r="D7" s="182"/>
      <c r="E7" s="191" t="s">
        <v>236</v>
      </c>
      <c r="F7" s="204">
        <f>F6/$B$8</f>
        <v>0.156302816</v>
      </c>
      <c r="G7" s="191" t="s">
        <v>156</v>
      </c>
      <c r="H7" s="191" t="s">
        <v>242</v>
      </c>
      <c r="I7" s="182"/>
      <c r="J7" s="199" t="s">
        <v>243</v>
      </c>
      <c r="K7" s="191" t="s">
        <v>244</v>
      </c>
      <c r="L7" s="191" t="s">
        <v>244</v>
      </c>
      <c r="M7" s="201">
        <v>0.0</v>
      </c>
      <c r="N7" s="11"/>
      <c r="O7" s="199" t="s">
        <v>243</v>
      </c>
      <c r="P7" s="206"/>
      <c r="Q7" s="191" t="s">
        <v>245</v>
      </c>
      <c r="R7" s="11"/>
      <c r="S7" s="11"/>
      <c r="T7" s="11"/>
      <c r="U7" s="11"/>
      <c r="V7" s="11"/>
      <c r="W7" s="11"/>
      <c r="X7" s="11"/>
      <c r="Y7" s="182"/>
      <c r="Z7" s="11"/>
      <c r="AA7" s="11"/>
    </row>
    <row r="8">
      <c r="A8" s="191" t="s">
        <v>246</v>
      </c>
      <c r="B8" s="197">
        <f>B6-B7</f>
        <v>55808</v>
      </c>
      <c r="C8" s="195" t="s">
        <v>220</v>
      </c>
      <c r="D8" s="182"/>
      <c r="E8" s="191" t="s">
        <v>247</v>
      </c>
      <c r="F8" s="197">
        <f>F742</f>
        <v>8722.947557</v>
      </c>
      <c r="G8" s="191" t="s">
        <v>220</v>
      </c>
      <c r="H8" s="191" t="s">
        <v>248</v>
      </c>
      <c r="I8" s="182"/>
      <c r="J8" s="199" t="s">
        <v>249</v>
      </c>
      <c r="K8" s="200">
        <v>180.0</v>
      </c>
      <c r="L8" s="200">
        <v>300.0</v>
      </c>
      <c r="M8" s="200">
        <v>8.0</v>
      </c>
      <c r="N8" s="11"/>
      <c r="O8" s="199" t="s">
        <v>249</v>
      </c>
      <c r="P8" s="209"/>
      <c r="Q8" s="210" t="s">
        <v>250</v>
      </c>
      <c r="R8" s="11"/>
      <c r="S8" s="11"/>
      <c r="T8" s="11"/>
      <c r="U8" s="11"/>
      <c r="V8" s="11"/>
      <c r="W8" s="11"/>
      <c r="X8" s="11"/>
      <c r="Y8" s="182"/>
      <c r="Z8" s="11"/>
      <c r="AA8" s="11"/>
    </row>
    <row r="9">
      <c r="A9" s="191" t="s">
        <v>251</v>
      </c>
      <c r="B9" s="194">
        <v>25.0</v>
      </c>
      <c r="C9" s="195" t="s">
        <v>71</v>
      </c>
      <c r="D9" s="182"/>
      <c r="E9" s="191" t="s">
        <v>252</v>
      </c>
      <c r="F9" s="197">
        <f>SUM(D23:D742)</f>
        <v>8741.92512</v>
      </c>
      <c r="G9" s="191" t="s">
        <v>220</v>
      </c>
      <c r="H9" s="191" t="s">
        <v>253</v>
      </c>
      <c r="I9" s="182"/>
      <c r="J9" s="199" t="s">
        <v>254</v>
      </c>
      <c r="K9" s="200">
        <v>420.0</v>
      </c>
      <c r="L9" s="200">
        <v>540.0</v>
      </c>
      <c r="M9" s="200">
        <v>8.0</v>
      </c>
      <c r="N9" s="11"/>
      <c r="O9" s="199" t="s">
        <v>254</v>
      </c>
      <c r="P9" s="212"/>
      <c r="Q9" s="214" t="s">
        <v>256</v>
      </c>
      <c r="R9" s="11"/>
      <c r="S9" s="11"/>
      <c r="T9" s="11"/>
      <c r="U9" s="11"/>
      <c r="V9" s="11"/>
      <c r="W9" s="11"/>
      <c r="X9" s="11"/>
      <c r="Y9" s="182"/>
      <c r="Z9" s="11"/>
      <c r="AA9" s="11"/>
    </row>
    <row r="10">
      <c r="A10" s="191" t="s">
        <v>257</v>
      </c>
      <c r="B10" s="197">
        <f>B9*B15*60/8/1000</f>
        <v>0.75</v>
      </c>
      <c r="C10" s="195" t="s">
        <v>220</v>
      </c>
      <c r="D10" s="182"/>
      <c r="E10" s="191" t="s">
        <v>259</v>
      </c>
      <c r="F10" s="197">
        <f>SUM(E23:E742)</f>
        <v>18</v>
      </c>
      <c r="G10" s="191" t="s">
        <v>220</v>
      </c>
      <c r="H10" s="195" t="s">
        <v>261</v>
      </c>
      <c r="I10" s="182"/>
      <c r="J10" s="199" t="s">
        <v>263</v>
      </c>
      <c r="K10" s="200">
        <v>580.0</v>
      </c>
      <c r="L10" s="200">
        <v>720.0</v>
      </c>
      <c r="M10" s="200">
        <v>8.0</v>
      </c>
      <c r="N10" s="11"/>
      <c r="O10" s="199" t="s">
        <v>263</v>
      </c>
      <c r="P10" s="215"/>
      <c r="Q10" s="191" t="s">
        <v>264</v>
      </c>
      <c r="R10" s="11"/>
      <c r="S10" s="11"/>
      <c r="T10" s="11"/>
      <c r="U10" s="11"/>
      <c r="V10" s="11"/>
      <c r="W10" s="11"/>
      <c r="X10" s="11"/>
      <c r="Y10" s="182"/>
      <c r="Z10" s="11"/>
      <c r="AA10" s="11"/>
    </row>
    <row r="11">
      <c r="A11" s="195" t="s">
        <v>265</v>
      </c>
      <c r="B11" s="194">
        <v>0.9775626664</v>
      </c>
      <c r="C11" s="195" t="s">
        <v>266</v>
      </c>
      <c r="D11" s="182"/>
      <c r="E11" s="216" t="s">
        <v>267</v>
      </c>
      <c r="F11" s="217">
        <f>COUNTIF(B23:B742,"Downlink")</f>
        <v>24</v>
      </c>
      <c r="G11" s="216" t="s">
        <v>268</v>
      </c>
      <c r="H11" s="218" t="s">
        <v>269</v>
      </c>
      <c r="I11" s="182"/>
      <c r="J11" s="11"/>
      <c r="K11" s="182"/>
      <c r="L11" s="182"/>
      <c r="M11" s="182"/>
      <c r="N11" s="11"/>
      <c r="O11" s="199" t="s">
        <v>271</v>
      </c>
      <c r="P11" s="219"/>
      <c r="Q11" s="191" t="s">
        <v>272</v>
      </c>
      <c r="R11" s="11"/>
      <c r="S11" s="11"/>
      <c r="T11" s="11"/>
      <c r="U11" s="11"/>
      <c r="V11" s="11"/>
      <c r="W11" s="11"/>
      <c r="X11" s="11"/>
      <c r="Y11" s="182"/>
      <c r="Z11" s="11"/>
      <c r="AA11" s="11"/>
    </row>
    <row r="12" ht="14.25" customHeight="1">
      <c r="A12" s="191" t="s">
        <v>273</v>
      </c>
      <c r="B12" s="194">
        <v>3.984</v>
      </c>
      <c r="C12" s="195" t="s">
        <v>275</v>
      </c>
      <c r="D12" s="182"/>
      <c r="E12" s="220" t="s">
        <v>277</v>
      </c>
      <c r="F12" s="221">
        <f>'Data DownlinkStorage Budget'!$N$20/1000000*2</f>
        <v>14.9590848</v>
      </c>
      <c r="G12" s="220" t="s">
        <v>220</v>
      </c>
      <c r="H12" s="222" t="s">
        <v>282</v>
      </c>
      <c r="I12" s="182"/>
      <c r="J12" s="223" t="s">
        <v>283</v>
      </c>
      <c r="K12" s="224"/>
      <c r="L12" s="224"/>
      <c r="M12" s="225"/>
      <c r="N12" s="11"/>
      <c r="O12" s="11"/>
      <c r="P12" s="11"/>
      <c r="Q12" s="11"/>
      <c r="R12" s="11"/>
      <c r="S12" s="11"/>
      <c r="T12" s="11"/>
      <c r="U12" s="11"/>
      <c r="V12" s="11"/>
      <c r="W12" s="11"/>
      <c r="X12" s="11"/>
      <c r="Y12" s="182"/>
      <c r="Z12" s="11"/>
      <c r="AA12" s="11"/>
    </row>
    <row r="13" ht="14.25" customHeight="1">
      <c r="A13" s="191" t="s">
        <v>285</v>
      </c>
      <c r="B13" s="194">
        <v>3.984</v>
      </c>
      <c r="C13" s="195" t="s">
        <v>287</v>
      </c>
      <c r="D13" s="182"/>
      <c r="E13" s="220" t="s">
        <v>288</v>
      </c>
      <c r="F13" s="221">
        <f>F10-F12</f>
        <v>3.0409152</v>
      </c>
      <c r="G13" s="220" t="s">
        <v>220</v>
      </c>
      <c r="H13" s="222" t="s">
        <v>289</v>
      </c>
      <c r="I13" s="182"/>
      <c r="J13" s="190" t="s">
        <v>290</v>
      </c>
      <c r="K13" s="188" t="s">
        <v>213</v>
      </c>
      <c r="L13" s="188" t="s">
        <v>214</v>
      </c>
      <c r="M13" s="188" t="s">
        <v>291</v>
      </c>
      <c r="N13" s="11"/>
      <c r="O13" s="11"/>
      <c r="P13" s="11"/>
      <c r="Q13" s="136"/>
      <c r="R13" s="11"/>
      <c r="S13" s="11"/>
      <c r="T13" s="11"/>
      <c r="U13" s="11"/>
      <c r="V13" s="11"/>
      <c r="W13" s="11"/>
      <c r="X13" s="11"/>
      <c r="Y13" s="182"/>
      <c r="Z13" s="11"/>
      <c r="AA13" s="11"/>
    </row>
    <row r="14" ht="14.25" customHeight="1">
      <c r="A14" s="191" t="s">
        <v>292</v>
      </c>
      <c r="B14" s="194">
        <f>7.98</f>
        <v>7.98</v>
      </c>
      <c r="C14" s="195" t="s">
        <v>294</v>
      </c>
      <c r="D14" s="182"/>
      <c r="E14" s="226"/>
      <c r="F14" s="227"/>
      <c r="G14" s="226"/>
      <c r="H14" s="226"/>
      <c r="I14" s="182"/>
      <c r="J14" s="199" t="s">
        <v>295</v>
      </c>
      <c r="K14" s="200">
        <v>100.0</v>
      </c>
      <c r="L14" s="200">
        <v>108.0</v>
      </c>
      <c r="M14" s="191" t="s">
        <v>297</v>
      </c>
      <c r="N14" s="11"/>
      <c r="O14" s="11"/>
      <c r="P14" s="11"/>
      <c r="Q14" s="11"/>
      <c r="R14" s="11"/>
      <c r="S14" s="11"/>
      <c r="T14" s="11"/>
      <c r="U14" s="11"/>
      <c r="V14" s="11"/>
      <c r="W14" s="11"/>
      <c r="X14" s="11"/>
      <c r="Y14" s="182"/>
      <c r="Z14" s="11"/>
      <c r="AA14" s="11"/>
    </row>
    <row r="15">
      <c r="A15" s="191" t="s">
        <v>0</v>
      </c>
      <c r="B15" s="200">
        <v>4.0</v>
      </c>
      <c r="C15" s="195" t="s">
        <v>298</v>
      </c>
      <c r="D15" s="182"/>
      <c r="E15" s="226"/>
      <c r="F15" s="226"/>
      <c r="G15" s="182"/>
      <c r="H15" s="226"/>
      <c r="I15" s="182"/>
      <c r="J15" s="199" t="s">
        <v>299</v>
      </c>
      <c r="K15" s="200">
        <v>300.0</v>
      </c>
      <c r="L15" s="200">
        <v>308.0</v>
      </c>
      <c r="M15" s="191" t="s">
        <v>297</v>
      </c>
      <c r="N15" s="11"/>
      <c r="O15" s="11"/>
      <c r="P15" s="11"/>
      <c r="Q15" s="11"/>
      <c r="R15" s="11"/>
      <c r="S15" s="11"/>
      <c r="T15" s="11"/>
      <c r="U15" s="11"/>
      <c r="V15" s="11"/>
      <c r="W15" s="11"/>
      <c r="X15" s="11"/>
      <c r="Y15" s="182"/>
      <c r="Z15" s="11"/>
      <c r="AA15" s="11"/>
    </row>
    <row r="16">
      <c r="A16" s="182"/>
      <c r="B16" s="182"/>
      <c r="C16" s="182"/>
      <c r="D16" s="182"/>
      <c r="E16" s="182"/>
      <c r="F16" s="182"/>
      <c r="G16" s="182"/>
      <c r="H16" s="182"/>
      <c r="I16" s="182"/>
      <c r="J16" s="199" t="s">
        <v>300</v>
      </c>
      <c r="K16" s="200">
        <v>600.0</v>
      </c>
      <c r="L16" s="200">
        <v>608.0</v>
      </c>
      <c r="M16" s="191" t="s">
        <v>297</v>
      </c>
      <c r="N16" s="11"/>
      <c r="O16" s="11"/>
      <c r="P16" s="11"/>
      <c r="Q16" s="11"/>
      <c r="R16" s="11"/>
      <c r="S16" s="11"/>
      <c r="T16" s="11"/>
      <c r="U16" s="11"/>
      <c r="V16" s="11"/>
      <c r="W16" s="11"/>
      <c r="X16" s="11"/>
      <c r="Y16" s="182"/>
      <c r="Z16" s="11"/>
      <c r="AA16" s="11"/>
    </row>
    <row r="17">
      <c r="A17" s="182"/>
      <c r="B17" s="182"/>
      <c r="C17" s="182"/>
      <c r="D17" s="182"/>
      <c r="E17" s="182"/>
      <c r="F17" s="182"/>
      <c r="G17" s="182"/>
      <c r="H17" s="182"/>
      <c r="I17" s="182"/>
      <c r="J17" s="199" t="s">
        <v>302</v>
      </c>
      <c r="K17" s="200">
        <v>800.0</v>
      </c>
      <c r="L17" s="200">
        <v>808.0</v>
      </c>
      <c r="M17" s="191" t="s">
        <v>297</v>
      </c>
      <c r="N17" s="11"/>
      <c r="O17" s="11"/>
      <c r="P17" s="11"/>
      <c r="Q17" s="11"/>
      <c r="R17" s="11"/>
      <c r="S17" s="11"/>
      <c r="T17" s="11"/>
      <c r="U17" s="11"/>
      <c r="V17" s="11"/>
      <c r="W17" s="11"/>
      <c r="X17" s="11"/>
      <c r="Y17" s="182"/>
      <c r="Z17" s="11"/>
      <c r="AA17" s="11"/>
    </row>
    <row r="18">
      <c r="A18" s="228" t="s">
        <v>307</v>
      </c>
      <c r="B18" s="61"/>
      <c r="C18" s="61"/>
      <c r="D18" s="61"/>
      <c r="E18" s="61"/>
      <c r="F18" s="61"/>
      <c r="G18" s="61"/>
      <c r="H18" s="62"/>
      <c r="I18" s="182"/>
      <c r="J18" s="199" t="s">
        <v>309</v>
      </c>
      <c r="K18" s="200">
        <v>1000.0</v>
      </c>
      <c r="L18" s="200">
        <v>1008.0</v>
      </c>
      <c r="M18" s="191" t="s">
        <v>297</v>
      </c>
      <c r="N18" s="11"/>
      <c r="O18" s="11"/>
      <c r="P18" s="11"/>
      <c r="Q18" s="11"/>
      <c r="R18" s="11"/>
      <c r="S18" s="11"/>
      <c r="T18" s="11"/>
      <c r="U18" s="11"/>
      <c r="V18" s="11"/>
      <c r="W18" s="11"/>
      <c r="X18" s="11"/>
      <c r="Y18" s="182"/>
      <c r="Z18" s="11"/>
      <c r="AA18" s="11"/>
    </row>
    <row r="19" ht="16.5" customHeight="1">
      <c r="A19" s="229" t="s">
        <v>310</v>
      </c>
      <c r="B19" s="230"/>
      <c r="C19" s="230"/>
      <c r="D19" s="230"/>
      <c r="E19" s="230"/>
      <c r="F19" s="231"/>
      <c r="G19" s="230"/>
      <c r="H19" s="230"/>
      <c r="I19" s="226" t="s">
        <v>13</v>
      </c>
      <c r="J19" s="199" t="s">
        <v>313</v>
      </c>
      <c r="K19" s="200">
        <v>1200.0</v>
      </c>
      <c r="L19" s="200">
        <v>1208.0</v>
      </c>
      <c r="M19" s="191" t="s">
        <v>297</v>
      </c>
      <c r="N19" s="11"/>
      <c r="O19" s="11"/>
      <c r="P19" s="11"/>
      <c r="Q19" s="11"/>
      <c r="R19" s="11"/>
      <c r="S19" s="11"/>
      <c r="T19" s="11"/>
      <c r="U19" s="11"/>
      <c r="V19" s="11"/>
      <c r="W19" s="11"/>
      <c r="X19" s="11"/>
      <c r="Y19" s="182"/>
      <c r="Z19" s="11"/>
      <c r="AA19" s="11"/>
    </row>
    <row r="20">
      <c r="A20" s="228" t="s">
        <v>315</v>
      </c>
      <c r="B20" s="61"/>
      <c r="C20" s="61"/>
      <c r="D20" s="61"/>
      <c r="E20" s="61"/>
      <c r="F20" s="61"/>
      <c r="G20" s="61"/>
      <c r="H20" s="62"/>
      <c r="I20" s="182"/>
      <c r="J20" s="199" t="s">
        <v>318</v>
      </c>
      <c r="K20" s="200">
        <v>1540.0</v>
      </c>
      <c r="L20" s="200">
        <v>1548.0</v>
      </c>
      <c r="M20" s="191" t="s">
        <v>297</v>
      </c>
      <c r="N20" s="182"/>
      <c r="O20" s="182"/>
      <c r="P20" s="11"/>
      <c r="Q20" s="11"/>
      <c r="R20" s="11"/>
      <c r="S20" s="11"/>
      <c r="T20" s="11"/>
      <c r="U20" s="11"/>
      <c r="V20" s="11"/>
      <c r="W20" s="11"/>
      <c r="X20" s="11"/>
      <c r="Y20" s="182"/>
      <c r="Z20" s="11"/>
      <c r="AA20" s="11"/>
    </row>
    <row r="21" ht="15.75" customHeight="1">
      <c r="A21" s="232" t="s">
        <v>320</v>
      </c>
      <c r="B21" s="232" t="s">
        <v>325</v>
      </c>
      <c r="C21" s="232" t="s">
        <v>326</v>
      </c>
      <c r="D21" s="232" t="s">
        <v>327</v>
      </c>
      <c r="E21" s="232" t="s">
        <v>328</v>
      </c>
      <c r="F21" s="232" t="s">
        <v>329</v>
      </c>
      <c r="G21" s="232" t="s">
        <v>330</v>
      </c>
      <c r="H21" s="232" t="s">
        <v>331</v>
      </c>
      <c r="I21" s="182"/>
      <c r="J21" s="199" t="s">
        <v>332</v>
      </c>
      <c r="K21" s="200">
        <v>1740.0</v>
      </c>
      <c r="L21" s="200">
        <v>1748.0</v>
      </c>
      <c r="M21" s="191" t="s">
        <v>297</v>
      </c>
      <c r="N21" s="182"/>
      <c r="O21" s="182"/>
      <c r="P21" s="11"/>
      <c r="Q21" s="11"/>
      <c r="R21" s="11"/>
      <c r="S21" s="11"/>
      <c r="T21" s="11"/>
      <c r="U21" s="11"/>
      <c r="V21" s="11"/>
      <c r="W21" s="11"/>
      <c r="X21" s="11"/>
      <c r="Y21" s="182"/>
      <c r="Z21" s="11"/>
      <c r="AA21" s="11"/>
    </row>
    <row r="22" ht="15.75" customHeight="1">
      <c r="A22" s="233"/>
      <c r="B22" s="233"/>
      <c r="C22" s="233"/>
      <c r="D22" s="233"/>
      <c r="E22" s="233"/>
      <c r="F22" s="233"/>
      <c r="G22" s="233"/>
      <c r="H22" s="233"/>
      <c r="I22" s="182"/>
      <c r="J22" s="199" t="s">
        <v>334</v>
      </c>
      <c r="K22" s="200">
        <v>2040.0</v>
      </c>
      <c r="L22" s="200">
        <v>2048.0</v>
      </c>
      <c r="M22" s="191" t="s">
        <v>297</v>
      </c>
      <c r="N22" s="182"/>
      <c r="O22" s="182"/>
      <c r="P22" s="11"/>
      <c r="Q22" s="11"/>
      <c r="R22" s="11"/>
      <c r="S22" s="11"/>
      <c r="T22" s="11"/>
      <c r="U22" s="11"/>
      <c r="V22" s="11"/>
      <c r="W22" s="11"/>
      <c r="X22" s="11"/>
      <c r="Y22" s="182"/>
      <c r="Z22" s="11"/>
      <c r="AA22" s="11"/>
    </row>
    <row r="23" ht="15.75" customHeight="1">
      <c r="A23" s="234">
        <v>0.0</v>
      </c>
      <c r="B23" s="235" t="str">
        <f t="shared" ref="B23:B407" si="1">IF(AND(MOD(A23,1440)&gt;=$K$6,MOD(A23,1440)&lt;$L$6),"Safe",IF(OR(AND(MOD(A23,1440)&gt;=$K$14,MOD(A23,1440)&lt;$L$14),AND(MOD(A23,1440)&gt;=$K$15,MOD(A23,1440)&lt;$L$15),AND(MOD(A23,1440)&gt;=$K$16,MOD(A23,1440)&lt;$L$16),AND(MOD(A23,1440)&gt;=$K$17,MOD(A23,1440)&lt;$L$17),AND(MOD(A23,1440)&gt;=$K$18,MOD(A23,1440)&lt;$L$18),AND(MOD(A23,1440)&gt;=$K$19,MOD(A23,1440)&lt;$L$19)),"Downlink",IF(AND(MOD(A23,1440)&gt;=$K$8,MOD(A23,1440)&lt;$L$8),"Science A",IF(AND(MOD(A23,1440)&gt;=$K$9,MOD(A23,1440)&lt;$L$9),"Science B",IF(AND(MOD(A23,1440)&gt;=$K$10,MOD(A23,1440)&lt;$L$10),"Science C","Charge")))))</f>
        <v>Safe</v>
      </c>
      <c r="C23" s="236">
        <f t="shared" ref="C23:C382" si="2">IF(B23="Science A",$M$8,IF(B23="Science B",$M$9,IF(B23="Science C",$M$10,0)))</f>
        <v>0</v>
      </c>
      <c r="D23" s="236">
        <f t="shared" ref="D23:D382" si="3">$B$11+IF(B23="Science A",C23*$B$12,IF(B23="Science B",C23*$B$13,IF(B23="Science C",C23*$B$14,0)))</f>
        <v>0.9775626664</v>
      </c>
      <c r="E23" s="236">
        <f>IF(B23="Downlink",MIN(0+D23,$B$10),0)</f>
        <v>0</v>
      </c>
      <c r="F23" s="236">
        <f>MIN($B$8,MAX(0,0+D23-E23))</f>
        <v>0.9775626664</v>
      </c>
      <c r="G23" s="238">
        <f t="shared" ref="G23:G742" si="4">F23/$B$8</f>
        <v>0.00001751653287</v>
      </c>
      <c r="H23" s="240" t="str">
        <f t="shared" ref="H23:H382" si="5">IF(B23="Downlink","Validated contact; Downlink preempts Science",IF(LEFT(B23,7)="Science","Science data acquisition and storage",IF(B23="Safe","Safe preemption","Default standby Charge")))</f>
        <v>Safe preemption</v>
      </c>
      <c r="I23" s="182"/>
      <c r="J23" s="199" t="s">
        <v>364</v>
      </c>
      <c r="K23" s="200">
        <v>2240.0</v>
      </c>
      <c r="L23" s="200">
        <v>2248.0</v>
      </c>
      <c r="M23" s="191" t="s">
        <v>297</v>
      </c>
      <c r="N23" s="182"/>
      <c r="O23" s="182"/>
      <c r="P23" s="11"/>
      <c r="Q23" s="11"/>
      <c r="R23" s="11"/>
      <c r="S23" s="11"/>
      <c r="T23" s="11"/>
      <c r="U23" s="11"/>
      <c r="V23" s="11"/>
      <c r="W23" s="11"/>
      <c r="X23" s="11"/>
      <c r="Y23" s="182"/>
      <c r="Z23" s="11"/>
      <c r="AA23" s="11"/>
    </row>
    <row r="24" ht="15.75" customHeight="1">
      <c r="A24" s="234">
        <f t="shared" ref="A24:A382" si="6">A23+$B$15</f>
        <v>4</v>
      </c>
      <c r="B24" s="235" t="str">
        <f t="shared" si="1"/>
        <v>Safe</v>
      </c>
      <c r="C24" s="236">
        <f t="shared" si="2"/>
        <v>0</v>
      </c>
      <c r="D24" s="236">
        <f t="shared" si="3"/>
        <v>0.9775626664</v>
      </c>
      <c r="E24" s="236">
        <f t="shared" ref="E24:E382" si="7">IF(B24="Downlink",MIN(F23+D24,$B$10),0)</f>
        <v>0</v>
      </c>
      <c r="F24" s="236">
        <f t="shared" ref="F24:F382" si="8">MIN($B$8,MAX(0,F23+D24-E24))</f>
        <v>1.955125333</v>
      </c>
      <c r="G24" s="238">
        <f t="shared" si="4"/>
        <v>0.00003503306574</v>
      </c>
      <c r="H24" s="240" t="str">
        <f t="shared" si="5"/>
        <v>Safe preemption</v>
      </c>
      <c r="I24" s="182"/>
      <c r="J24" s="199" t="s">
        <v>368</v>
      </c>
      <c r="K24" s="200">
        <v>2440.0</v>
      </c>
      <c r="L24" s="200">
        <v>2448.0</v>
      </c>
      <c r="M24" s="191" t="s">
        <v>297</v>
      </c>
      <c r="N24" s="182"/>
      <c r="O24" s="182"/>
      <c r="P24" s="11"/>
      <c r="Q24" s="11"/>
      <c r="R24" s="11"/>
      <c r="S24" s="11"/>
      <c r="T24" s="11"/>
      <c r="U24" s="11"/>
      <c r="V24" s="11"/>
      <c r="W24" s="11"/>
      <c r="X24" s="11"/>
      <c r="Y24" s="182"/>
      <c r="Z24" s="11"/>
      <c r="AA24" s="11"/>
    </row>
    <row r="25" ht="15.75" customHeight="1">
      <c r="A25" s="234">
        <f t="shared" si="6"/>
        <v>8</v>
      </c>
      <c r="B25" s="235" t="str">
        <f t="shared" si="1"/>
        <v>Safe</v>
      </c>
      <c r="C25" s="236">
        <f t="shared" si="2"/>
        <v>0</v>
      </c>
      <c r="D25" s="236">
        <f t="shared" si="3"/>
        <v>0.9775626664</v>
      </c>
      <c r="E25" s="236">
        <f t="shared" si="7"/>
        <v>0</v>
      </c>
      <c r="F25" s="236">
        <f t="shared" si="8"/>
        <v>2.932687999</v>
      </c>
      <c r="G25" s="238">
        <f t="shared" si="4"/>
        <v>0.00005254959861</v>
      </c>
      <c r="H25" s="240" t="str">
        <f t="shared" si="5"/>
        <v>Safe preemption</v>
      </c>
      <c r="I25" s="182"/>
      <c r="J25" s="199" t="s">
        <v>371</v>
      </c>
      <c r="K25" s="200">
        <v>2640.0</v>
      </c>
      <c r="L25" s="200">
        <v>2648.0</v>
      </c>
      <c r="M25" s="191" t="s">
        <v>297</v>
      </c>
      <c r="N25" s="182"/>
      <c r="O25" s="182"/>
      <c r="P25" s="11"/>
      <c r="Q25" s="11"/>
      <c r="R25" s="11"/>
      <c r="S25" s="11"/>
      <c r="T25" s="11"/>
      <c r="U25" s="11"/>
      <c r="V25" s="11"/>
      <c r="W25" s="11"/>
      <c r="X25" s="11"/>
      <c r="Y25" s="182"/>
      <c r="Z25" s="11"/>
      <c r="AA25" s="11"/>
    </row>
    <row r="26" ht="15.75" customHeight="1">
      <c r="A26" s="234">
        <f t="shared" si="6"/>
        <v>12</v>
      </c>
      <c r="B26" s="235" t="str">
        <f t="shared" si="1"/>
        <v>Safe</v>
      </c>
      <c r="C26" s="236">
        <f t="shared" si="2"/>
        <v>0</v>
      </c>
      <c r="D26" s="236">
        <f t="shared" si="3"/>
        <v>0.9775626664</v>
      </c>
      <c r="E26" s="236">
        <f t="shared" si="7"/>
        <v>0</v>
      </c>
      <c r="F26" s="236">
        <f t="shared" si="8"/>
        <v>3.910250666</v>
      </c>
      <c r="G26" s="238">
        <f t="shared" si="4"/>
        <v>0.00007006613148</v>
      </c>
      <c r="H26" s="240" t="str">
        <f t="shared" si="5"/>
        <v>Safe preemption</v>
      </c>
      <c r="I26" s="182"/>
      <c r="J26" s="182"/>
      <c r="K26" s="11"/>
      <c r="L26" s="182"/>
      <c r="M26" s="182"/>
      <c r="N26" s="182"/>
      <c r="O26" s="182"/>
      <c r="P26" s="11"/>
      <c r="Q26" s="11"/>
      <c r="R26" s="11"/>
      <c r="S26" s="11"/>
      <c r="T26" s="11"/>
      <c r="U26" s="11"/>
      <c r="V26" s="11"/>
      <c r="W26" s="11"/>
      <c r="X26" s="11"/>
      <c r="Y26" s="182"/>
      <c r="Z26" s="11"/>
      <c r="AA26" s="11"/>
    </row>
    <row r="27" ht="15.75" customHeight="1">
      <c r="A27" s="234">
        <f t="shared" si="6"/>
        <v>16</v>
      </c>
      <c r="B27" s="235" t="str">
        <f t="shared" si="1"/>
        <v>Safe</v>
      </c>
      <c r="C27" s="236">
        <f t="shared" si="2"/>
        <v>0</v>
      </c>
      <c r="D27" s="236">
        <f t="shared" si="3"/>
        <v>0.9775626664</v>
      </c>
      <c r="E27" s="236">
        <f t="shared" si="7"/>
        <v>0</v>
      </c>
      <c r="F27" s="236">
        <f t="shared" si="8"/>
        <v>4.887813332</v>
      </c>
      <c r="G27" s="238">
        <f t="shared" si="4"/>
        <v>0.00008758266435</v>
      </c>
      <c r="H27" s="240" t="str">
        <f t="shared" si="5"/>
        <v>Safe preemption</v>
      </c>
      <c r="I27" s="182"/>
      <c r="J27" s="182"/>
      <c r="K27" s="11"/>
      <c r="L27" s="182"/>
      <c r="M27" s="182"/>
      <c r="N27" s="182"/>
      <c r="O27" s="182"/>
      <c r="P27" s="11"/>
      <c r="Q27" s="11"/>
      <c r="R27" s="11"/>
      <c r="S27" s="11"/>
      <c r="T27" s="11"/>
      <c r="U27" s="11"/>
      <c r="V27" s="11"/>
      <c r="W27" s="11"/>
      <c r="X27" s="11"/>
      <c r="Y27" s="182"/>
      <c r="Z27" s="11"/>
      <c r="AA27" s="11"/>
    </row>
    <row r="28" ht="15.75" customHeight="1">
      <c r="A28" s="234">
        <f t="shared" si="6"/>
        <v>20</v>
      </c>
      <c r="B28" s="235" t="str">
        <f t="shared" si="1"/>
        <v>Safe</v>
      </c>
      <c r="C28" s="236">
        <f t="shared" si="2"/>
        <v>0</v>
      </c>
      <c r="D28" s="236">
        <f t="shared" si="3"/>
        <v>0.9775626664</v>
      </c>
      <c r="E28" s="236">
        <f t="shared" si="7"/>
        <v>0</v>
      </c>
      <c r="F28" s="236">
        <f t="shared" si="8"/>
        <v>5.865375998</v>
      </c>
      <c r="G28" s="238">
        <f t="shared" si="4"/>
        <v>0.0001050991972</v>
      </c>
      <c r="H28" s="240" t="str">
        <f t="shared" si="5"/>
        <v>Safe preemption</v>
      </c>
      <c r="I28" s="182"/>
      <c r="J28" s="182"/>
      <c r="K28" s="11"/>
      <c r="L28" s="182"/>
      <c r="M28" s="182"/>
      <c r="N28" s="182"/>
      <c r="O28" s="182"/>
      <c r="P28" s="11"/>
      <c r="Q28" s="11"/>
      <c r="R28" s="11"/>
      <c r="S28" s="11"/>
      <c r="T28" s="11"/>
      <c r="U28" s="11"/>
      <c r="V28" s="11"/>
      <c r="W28" s="11"/>
      <c r="X28" s="11"/>
      <c r="Y28" s="182"/>
      <c r="Z28" s="11"/>
      <c r="AA28" s="11"/>
    </row>
    <row r="29" ht="15.75" customHeight="1">
      <c r="A29" s="234">
        <f t="shared" si="6"/>
        <v>24</v>
      </c>
      <c r="B29" s="235" t="str">
        <f t="shared" si="1"/>
        <v>Safe</v>
      </c>
      <c r="C29" s="236">
        <f t="shared" si="2"/>
        <v>0</v>
      </c>
      <c r="D29" s="236">
        <f t="shared" si="3"/>
        <v>0.9775626664</v>
      </c>
      <c r="E29" s="236">
        <f t="shared" si="7"/>
        <v>0</v>
      </c>
      <c r="F29" s="236">
        <f t="shared" si="8"/>
        <v>6.842938665</v>
      </c>
      <c r="G29" s="238">
        <f t="shared" si="4"/>
        <v>0.0001226157301</v>
      </c>
      <c r="H29" s="240" t="str">
        <f t="shared" si="5"/>
        <v>Safe preemption</v>
      </c>
      <c r="I29" s="182"/>
      <c r="J29" s="182"/>
      <c r="K29" s="11"/>
      <c r="L29" s="182"/>
      <c r="M29" s="182"/>
      <c r="N29" s="182"/>
      <c r="O29" s="182"/>
      <c r="P29" s="11"/>
      <c r="Q29" s="11"/>
      <c r="R29" s="11"/>
      <c r="S29" s="11"/>
      <c r="T29" s="11"/>
      <c r="U29" s="11"/>
      <c r="V29" s="11"/>
      <c r="W29" s="11"/>
      <c r="X29" s="11"/>
      <c r="Y29" s="182"/>
      <c r="Z29" s="11"/>
      <c r="AA29" s="11"/>
    </row>
    <row r="30" ht="15.75" customHeight="1">
      <c r="A30" s="234">
        <f t="shared" si="6"/>
        <v>28</v>
      </c>
      <c r="B30" s="235" t="str">
        <f t="shared" si="1"/>
        <v>Safe</v>
      </c>
      <c r="C30" s="236">
        <f t="shared" si="2"/>
        <v>0</v>
      </c>
      <c r="D30" s="236">
        <f t="shared" si="3"/>
        <v>0.9775626664</v>
      </c>
      <c r="E30" s="236">
        <f t="shared" si="7"/>
        <v>0</v>
      </c>
      <c r="F30" s="236">
        <f t="shared" si="8"/>
        <v>7.820501331</v>
      </c>
      <c r="G30" s="238">
        <f t="shared" si="4"/>
        <v>0.000140132263</v>
      </c>
      <c r="H30" s="240" t="str">
        <f t="shared" si="5"/>
        <v>Safe preemption</v>
      </c>
      <c r="I30" s="182"/>
      <c r="J30" s="182"/>
      <c r="K30" s="11"/>
      <c r="L30" s="182"/>
      <c r="M30" s="182"/>
      <c r="N30" s="182"/>
      <c r="O30" s="182"/>
      <c r="P30" s="11"/>
      <c r="Q30" s="11"/>
      <c r="R30" s="11"/>
      <c r="S30" s="11"/>
      <c r="T30" s="11"/>
      <c r="U30" s="11"/>
      <c r="V30" s="11"/>
      <c r="W30" s="11"/>
      <c r="X30" s="11"/>
      <c r="Y30" s="182"/>
      <c r="Z30" s="11"/>
      <c r="AA30" s="11"/>
    </row>
    <row r="31" ht="15.75" customHeight="1">
      <c r="A31" s="234">
        <f t="shared" si="6"/>
        <v>32</v>
      </c>
      <c r="B31" s="243" t="str">
        <f t="shared" si="1"/>
        <v>Charge</v>
      </c>
      <c r="C31" s="236">
        <f t="shared" si="2"/>
        <v>0</v>
      </c>
      <c r="D31" s="236">
        <f t="shared" si="3"/>
        <v>0.9775626664</v>
      </c>
      <c r="E31" s="236">
        <f t="shared" si="7"/>
        <v>0</v>
      </c>
      <c r="F31" s="236">
        <f t="shared" si="8"/>
        <v>8.798063998</v>
      </c>
      <c r="G31" s="238">
        <f t="shared" si="4"/>
        <v>0.0001576487958</v>
      </c>
      <c r="H31" s="240" t="str">
        <f t="shared" si="5"/>
        <v>Default standby Charge</v>
      </c>
      <c r="I31" s="182"/>
      <c r="J31" s="182"/>
      <c r="K31" s="11"/>
      <c r="L31" s="182"/>
      <c r="M31" s="182"/>
      <c r="N31" s="182"/>
      <c r="O31" s="182"/>
      <c r="P31" s="11"/>
      <c r="Q31" s="11"/>
      <c r="R31" s="11"/>
      <c r="S31" s="11"/>
      <c r="T31" s="11"/>
      <c r="U31" s="11"/>
      <c r="V31" s="11"/>
      <c r="W31" s="11"/>
      <c r="X31" s="11"/>
      <c r="Y31" s="182"/>
      <c r="Z31" s="11"/>
      <c r="AA31" s="11"/>
    </row>
    <row r="32" ht="15.75" customHeight="1">
      <c r="A32" s="234">
        <f t="shared" si="6"/>
        <v>36</v>
      </c>
      <c r="B32" s="243" t="str">
        <f t="shared" si="1"/>
        <v>Charge</v>
      </c>
      <c r="C32" s="236">
        <f t="shared" si="2"/>
        <v>0</v>
      </c>
      <c r="D32" s="236">
        <f t="shared" si="3"/>
        <v>0.9775626664</v>
      </c>
      <c r="E32" s="236">
        <f t="shared" si="7"/>
        <v>0</v>
      </c>
      <c r="F32" s="236">
        <f t="shared" si="8"/>
        <v>9.775626664</v>
      </c>
      <c r="G32" s="238">
        <f t="shared" si="4"/>
        <v>0.0001751653287</v>
      </c>
      <c r="H32" s="240" t="str">
        <f t="shared" si="5"/>
        <v>Default standby Charge</v>
      </c>
      <c r="I32" s="182"/>
      <c r="J32" s="182"/>
      <c r="K32" s="11"/>
      <c r="L32" s="182"/>
      <c r="M32" s="182"/>
      <c r="N32" s="182"/>
      <c r="O32" s="182"/>
      <c r="P32" s="11"/>
      <c r="Q32" s="11"/>
      <c r="R32" s="11"/>
      <c r="S32" s="11"/>
      <c r="T32" s="11"/>
      <c r="U32" s="11"/>
      <c r="V32" s="11"/>
      <c r="W32" s="11"/>
      <c r="X32" s="11"/>
      <c r="Y32" s="182"/>
      <c r="Z32" s="11"/>
      <c r="AA32" s="11"/>
    </row>
    <row r="33" ht="15.75" customHeight="1">
      <c r="A33" s="234">
        <f t="shared" si="6"/>
        <v>40</v>
      </c>
      <c r="B33" s="243" t="str">
        <f t="shared" si="1"/>
        <v>Charge</v>
      </c>
      <c r="C33" s="236">
        <f t="shared" si="2"/>
        <v>0</v>
      </c>
      <c r="D33" s="236">
        <f t="shared" si="3"/>
        <v>0.9775626664</v>
      </c>
      <c r="E33" s="236">
        <f t="shared" si="7"/>
        <v>0</v>
      </c>
      <c r="F33" s="236">
        <f t="shared" si="8"/>
        <v>10.75318933</v>
      </c>
      <c r="G33" s="238">
        <f t="shared" si="4"/>
        <v>0.0001926818616</v>
      </c>
      <c r="H33" s="240" t="str">
        <f t="shared" si="5"/>
        <v>Default standby Charge</v>
      </c>
      <c r="I33" s="182"/>
      <c r="J33" s="182"/>
      <c r="K33" s="11"/>
      <c r="L33" s="182"/>
      <c r="M33" s="182"/>
      <c r="N33" s="182"/>
      <c r="O33" s="182"/>
      <c r="P33" s="11"/>
      <c r="Q33" s="11"/>
      <c r="R33" s="11"/>
      <c r="S33" s="11"/>
      <c r="T33" s="11"/>
      <c r="U33" s="11"/>
      <c r="V33" s="11"/>
      <c r="W33" s="11"/>
      <c r="X33" s="11"/>
      <c r="Y33" s="11"/>
      <c r="Z33" s="11"/>
      <c r="AA33" s="11"/>
    </row>
    <row r="34" ht="15.75" customHeight="1">
      <c r="A34" s="234">
        <f t="shared" si="6"/>
        <v>44</v>
      </c>
      <c r="B34" s="243" t="str">
        <f t="shared" si="1"/>
        <v>Charge</v>
      </c>
      <c r="C34" s="236">
        <f t="shared" si="2"/>
        <v>0</v>
      </c>
      <c r="D34" s="236">
        <f t="shared" si="3"/>
        <v>0.9775626664</v>
      </c>
      <c r="E34" s="236">
        <f t="shared" si="7"/>
        <v>0</v>
      </c>
      <c r="F34" s="236">
        <f t="shared" si="8"/>
        <v>11.730752</v>
      </c>
      <c r="G34" s="238">
        <f t="shared" si="4"/>
        <v>0.0002101983944</v>
      </c>
      <c r="H34" s="240" t="str">
        <f t="shared" si="5"/>
        <v>Default standby Charge</v>
      </c>
      <c r="I34" s="182"/>
      <c r="J34" s="182"/>
      <c r="K34" s="11"/>
      <c r="L34" s="182"/>
      <c r="M34" s="182"/>
      <c r="N34" s="182"/>
      <c r="O34" s="182"/>
      <c r="P34" s="11"/>
      <c r="Q34" s="11"/>
      <c r="R34" s="11"/>
      <c r="S34" s="11"/>
      <c r="T34" s="11"/>
      <c r="U34" s="11"/>
      <c r="V34" s="11"/>
      <c r="W34" s="11"/>
      <c r="X34" s="11"/>
      <c r="Y34" s="11"/>
      <c r="Z34" s="11"/>
      <c r="AA34" s="11"/>
    </row>
    <row r="35" ht="15.75" customHeight="1">
      <c r="A35" s="234">
        <f t="shared" si="6"/>
        <v>48</v>
      </c>
      <c r="B35" s="243" t="str">
        <f t="shared" si="1"/>
        <v>Charge</v>
      </c>
      <c r="C35" s="236">
        <f t="shared" si="2"/>
        <v>0</v>
      </c>
      <c r="D35" s="236">
        <f t="shared" si="3"/>
        <v>0.9775626664</v>
      </c>
      <c r="E35" s="236">
        <f t="shared" si="7"/>
        <v>0</v>
      </c>
      <c r="F35" s="236">
        <f t="shared" si="8"/>
        <v>12.70831466</v>
      </c>
      <c r="G35" s="238">
        <f t="shared" si="4"/>
        <v>0.0002277149273</v>
      </c>
      <c r="H35" s="240" t="str">
        <f t="shared" si="5"/>
        <v>Default standby Charge</v>
      </c>
      <c r="I35" s="182"/>
      <c r="J35" s="182"/>
      <c r="K35" s="11"/>
      <c r="L35" s="182"/>
      <c r="M35" s="182"/>
      <c r="N35" s="182"/>
      <c r="O35" s="182"/>
      <c r="P35" s="11"/>
      <c r="Q35" s="11"/>
      <c r="R35" s="11"/>
      <c r="S35" s="11"/>
      <c r="T35" s="11"/>
      <c r="U35" s="11"/>
      <c r="V35" s="11"/>
      <c r="W35" s="11"/>
      <c r="X35" s="11"/>
      <c r="Y35" s="11"/>
      <c r="Z35" s="11"/>
      <c r="AA35" s="11"/>
    </row>
    <row r="36" ht="15.75" customHeight="1">
      <c r="A36" s="234">
        <f t="shared" si="6"/>
        <v>52</v>
      </c>
      <c r="B36" s="243" t="str">
        <f t="shared" si="1"/>
        <v>Charge</v>
      </c>
      <c r="C36" s="236">
        <f t="shared" si="2"/>
        <v>0</v>
      </c>
      <c r="D36" s="236">
        <f t="shared" si="3"/>
        <v>0.9775626664</v>
      </c>
      <c r="E36" s="236">
        <f t="shared" si="7"/>
        <v>0</v>
      </c>
      <c r="F36" s="236">
        <f t="shared" si="8"/>
        <v>13.68587733</v>
      </c>
      <c r="G36" s="238">
        <f t="shared" si="4"/>
        <v>0.0002452314602</v>
      </c>
      <c r="H36" s="240" t="str">
        <f t="shared" si="5"/>
        <v>Default standby Charge</v>
      </c>
      <c r="I36" s="182"/>
      <c r="J36" s="182"/>
      <c r="K36" s="11"/>
      <c r="L36" s="182"/>
      <c r="M36" s="182"/>
      <c r="N36" s="182"/>
      <c r="O36" s="182"/>
      <c r="P36" s="11"/>
      <c r="Q36" s="11"/>
      <c r="R36" s="11"/>
      <c r="S36" s="11"/>
      <c r="T36" s="11"/>
      <c r="U36" s="11"/>
      <c r="V36" s="11"/>
      <c r="W36" s="11"/>
      <c r="X36" s="11"/>
      <c r="Y36" s="11"/>
      <c r="Z36" s="11"/>
      <c r="AA36" s="11"/>
    </row>
    <row r="37" ht="15.75" customHeight="1">
      <c r="A37" s="234">
        <f t="shared" si="6"/>
        <v>56</v>
      </c>
      <c r="B37" s="243" t="str">
        <f t="shared" si="1"/>
        <v>Charge</v>
      </c>
      <c r="C37" s="236">
        <f t="shared" si="2"/>
        <v>0</v>
      </c>
      <c r="D37" s="236">
        <f t="shared" si="3"/>
        <v>0.9775626664</v>
      </c>
      <c r="E37" s="236">
        <f t="shared" si="7"/>
        <v>0</v>
      </c>
      <c r="F37" s="236">
        <f t="shared" si="8"/>
        <v>14.66344</v>
      </c>
      <c r="G37" s="238">
        <f t="shared" si="4"/>
        <v>0.000262747993</v>
      </c>
      <c r="H37" s="240" t="str">
        <f t="shared" si="5"/>
        <v>Default standby Charge</v>
      </c>
      <c r="I37" s="182"/>
      <c r="J37" s="182"/>
      <c r="K37" s="11"/>
      <c r="L37" s="182"/>
      <c r="M37" s="182"/>
      <c r="N37" s="182"/>
      <c r="O37" s="182"/>
      <c r="P37" s="11"/>
      <c r="Q37" s="11"/>
      <c r="R37" s="11"/>
      <c r="S37" s="11"/>
      <c r="T37" s="11"/>
      <c r="U37" s="11"/>
      <c r="V37" s="11"/>
      <c r="W37" s="11"/>
      <c r="X37" s="11"/>
      <c r="Y37" s="11"/>
      <c r="Z37" s="11"/>
      <c r="AA37" s="11"/>
    </row>
    <row r="38" ht="15.75" customHeight="1">
      <c r="A38" s="234">
        <f t="shared" si="6"/>
        <v>60</v>
      </c>
      <c r="B38" s="243" t="str">
        <f t="shared" si="1"/>
        <v>Charge</v>
      </c>
      <c r="C38" s="236">
        <f t="shared" si="2"/>
        <v>0</v>
      </c>
      <c r="D38" s="236">
        <f t="shared" si="3"/>
        <v>0.9775626664</v>
      </c>
      <c r="E38" s="236">
        <f t="shared" si="7"/>
        <v>0</v>
      </c>
      <c r="F38" s="236">
        <f t="shared" si="8"/>
        <v>15.64100266</v>
      </c>
      <c r="G38" s="238">
        <f t="shared" si="4"/>
        <v>0.0002802645259</v>
      </c>
      <c r="H38" s="240" t="str">
        <f t="shared" si="5"/>
        <v>Default standby Charge</v>
      </c>
      <c r="I38" s="182"/>
      <c r="J38" s="182"/>
      <c r="K38" s="11"/>
      <c r="L38" s="182"/>
      <c r="M38" s="182"/>
      <c r="N38" s="182"/>
      <c r="O38" s="182"/>
      <c r="P38" s="11"/>
      <c r="Q38" s="11"/>
      <c r="R38" s="11"/>
      <c r="S38" s="11"/>
      <c r="T38" s="11"/>
      <c r="U38" s="11"/>
      <c r="V38" s="11"/>
      <c r="W38" s="11"/>
      <c r="X38" s="11"/>
      <c r="Y38" s="11"/>
      <c r="Z38" s="11"/>
      <c r="AA38" s="11"/>
    </row>
    <row r="39" ht="15.75" customHeight="1">
      <c r="A39" s="234">
        <f t="shared" si="6"/>
        <v>64</v>
      </c>
      <c r="B39" s="243" t="str">
        <f t="shared" si="1"/>
        <v>Charge</v>
      </c>
      <c r="C39" s="236">
        <f t="shared" si="2"/>
        <v>0</v>
      </c>
      <c r="D39" s="236">
        <f t="shared" si="3"/>
        <v>0.9775626664</v>
      </c>
      <c r="E39" s="236">
        <f t="shared" si="7"/>
        <v>0</v>
      </c>
      <c r="F39" s="236">
        <f t="shared" si="8"/>
        <v>16.61856533</v>
      </c>
      <c r="G39" s="238">
        <f t="shared" si="4"/>
        <v>0.0002977810588</v>
      </c>
      <c r="H39" s="240" t="str">
        <f t="shared" si="5"/>
        <v>Default standby Charge</v>
      </c>
      <c r="I39" s="182"/>
      <c r="J39" s="182"/>
      <c r="K39" s="11"/>
      <c r="L39" s="182"/>
      <c r="M39" s="182"/>
      <c r="N39" s="182"/>
      <c r="O39" s="182"/>
      <c r="P39" s="11"/>
      <c r="Q39" s="11"/>
      <c r="R39" s="11"/>
      <c r="S39" s="11"/>
      <c r="T39" s="11"/>
      <c r="U39" s="11"/>
      <c r="V39" s="11"/>
      <c r="W39" s="11"/>
      <c r="X39" s="11"/>
      <c r="Y39" s="11"/>
      <c r="Z39" s="11"/>
      <c r="AA39" s="11"/>
    </row>
    <row r="40" ht="15.75" customHeight="1">
      <c r="A40" s="234">
        <f t="shared" si="6"/>
        <v>68</v>
      </c>
      <c r="B40" s="243" t="str">
        <f t="shared" si="1"/>
        <v>Charge</v>
      </c>
      <c r="C40" s="236">
        <f t="shared" si="2"/>
        <v>0</v>
      </c>
      <c r="D40" s="236">
        <f t="shared" si="3"/>
        <v>0.9775626664</v>
      </c>
      <c r="E40" s="236">
        <f t="shared" si="7"/>
        <v>0</v>
      </c>
      <c r="F40" s="236">
        <f t="shared" si="8"/>
        <v>17.596128</v>
      </c>
      <c r="G40" s="238">
        <f t="shared" si="4"/>
        <v>0.0003152975917</v>
      </c>
      <c r="H40" s="240" t="str">
        <f t="shared" si="5"/>
        <v>Default standby Charge</v>
      </c>
      <c r="I40" s="182"/>
      <c r="J40" s="182"/>
      <c r="K40" s="11"/>
      <c r="L40" s="182"/>
      <c r="M40" s="182"/>
      <c r="N40" s="182"/>
      <c r="O40" s="182"/>
      <c r="P40" s="11"/>
      <c r="Q40" s="11"/>
      <c r="R40" s="11"/>
      <c r="S40" s="11"/>
      <c r="T40" s="11"/>
      <c r="U40" s="11"/>
      <c r="V40" s="11"/>
      <c r="W40" s="11"/>
      <c r="X40" s="11"/>
      <c r="Y40" s="11"/>
      <c r="Z40" s="11"/>
      <c r="AA40" s="11"/>
    </row>
    <row r="41" ht="15.75" customHeight="1">
      <c r="A41" s="234">
        <f t="shared" si="6"/>
        <v>72</v>
      </c>
      <c r="B41" s="243" t="str">
        <f t="shared" si="1"/>
        <v>Charge</v>
      </c>
      <c r="C41" s="236">
        <f t="shared" si="2"/>
        <v>0</v>
      </c>
      <c r="D41" s="236">
        <f t="shared" si="3"/>
        <v>0.9775626664</v>
      </c>
      <c r="E41" s="236">
        <f t="shared" si="7"/>
        <v>0</v>
      </c>
      <c r="F41" s="236">
        <f t="shared" si="8"/>
        <v>18.57369066</v>
      </c>
      <c r="G41" s="238">
        <f t="shared" si="4"/>
        <v>0.0003328141245</v>
      </c>
      <c r="H41" s="240" t="str">
        <f t="shared" si="5"/>
        <v>Default standby Charge</v>
      </c>
      <c r="I41" s="182"/>
      <c r="J41" s="182"/>
      <c r="K41" s="11"/>
      <c r="L41" s="182"/>
      <c r="M41" s="182"/>
      <c r="N41" s="182"/>
      <c r="O41" s="182"/>
      <c r="P41" s="11"/>
      <c r="Q41" s="11"/>
      <c r="R41" s="11"/>
      <c r="S41" s="11"/>
      <c r="T41" s="11"/>
      <c r="U41" s="11"/>
      <c r="V41" s="11"/>
      <c r="W41" s="11"/>
      <c r="X41" s="11"/>
      <c r="Y41" s="11"/>
      <c r="Z41" s="11"/>
      <c r="AA41" s="11"/>
    </row>
    <row r="42" ht="14.25" customHeight="1">
      <c r="A42" s="234">
        <f t="shared" si="6"/>
        <v>76</v>
      </c>
      <c r="B42" s="243" t="str">
        <f t="shared" si="1"/>
        <v>Charge</v>
      </c>
      <c r="C42" s="236">
        <f t="shared" si="2"/>
        <v>0</v>
      </c>
      <c r="D42" s="236">
        <f t="shared" si="3"/>
        <v>0.9775626664</v>
      </c>
      <c r="E42" s="236">
        <f t="shared" si="7"/>
        <v>0</v>
      </c>
      <c r="F42" s="236">
        <f t="shared" si="8"/>
        <v>19.55125333</v>
      </c>
      <c r="G42" s="238">
        <f t="shared" si="4"/>
        <v>0.0003503306574</v>
      </c>
      <c r="H42" s="240" t="str">
        <f t="shared" si="5"/>
        <v>Default standby Charge</v>
      </c>
      <c r="I42" s="182"/>
      <c r="J42" s="182"/>
      <c r="K42" s="11"/>
      <c r="L42" s="182"/>
      <c r="M42" s="182"/>
      <c r="N42" s="182"/>
      <c r="O42" s="182"/>
      <c r="P42" s="11"/>
      <c r="Q42" s="11"/>
      <c r="R42" s="11"/>
      <c r="S42" s="11"/>
      <c r="T42" s="11"/>
      <c r="U42" s="11"/>
      <c r="V42" s="11"/>
      <c r="W42" s="11"/>
      <c r="X42" s="11"/>
      <c r="Y42" s="11"/>
      <c r="Z42" s="11"/>
      <c r="AA42" s="11"/>
    </row>
    <row r="43" ht="15.75" customHeight="1">
      <c r="A43" s="234">
        <f t="shared" si="6"/>
        <v>80</v>
      </c>
      <c r="B43" s="243" t="str">
        <f t="shared" si="1"/>
        <v>Charge</v>
      </c>
      <c r="C43" s="236">
        <f t="shared" si="2"/>
        <v>0</v>
      </c>
      <c r="D43" s="236">
        <f t="shared" si="3"/>
        <v>0.9775626664</v>
      </c>
      <c r="E43" s="236">
        <f t="shared" si="7"/>
        <v>0</v>
      </c>
      <c r="F43" s="236">
        <f t="shared" si="8"/>
        <v>20.52881599</v>
      </c>
      <c r="G43" s="238">
        <f t="shared" si="4"/>
        <v>0.0003678471903</v>
      </c>
      <c r="H43" s="240" t="str">
        <f t="shared" si="5"/>
        <v>Default standby Charge</v>
      </c>
      <c r="I43" s="182"/>
      <c r="J43" s="182"/>
      <c r="K43" s="11"/>
      <c r="L43" s="182"/>
      <c r="M43" s="182"/>
      <c r="N43" s="182"/>
      <c r="O43" s="182"/>
      <c r="P43" s="11"/>
      <c r="Q43" s="11"/>
      <c r="R43" s="11"/>
      <c r="S43" s="11"/>
      <c r="T43" s="11"/>
      <c r="U43" s="11"/>
      <c r="V43" s="11"/>
      <c r="W43" s="11"/>
      <c r="X43" s="11"/>
      <c r="Y43" s="11"/>
      <c r="Z43" s="11"/>
      <c r="AA43" s="11"/>
    </row>
    <row r="44" ht="15.75" customHeight="1">
      <c r="A44" s="234">
        <f t="shared" si="6"/>
        <v>84</v>
      </c>
      <c r="B44" s="243" t="str">
        <f t="shared" si="1"/>
        <v>Charge</v>
      </c>
      <c r="C44" s="236">
        <f t="shared" si="2"/>
        <v>0</v>
      </c>
      <c r="D44" s="236">
        <f t="shared" si="3"/>
        <v>0.9775626664</v>
      </c>
      <c r="E44" s="236">
        <f t="shared" si="7"/>
        <v>0</v>
      </c>
      <c r="F44" s="236">
        <f t="shared" si="8"/>
        <v>21.50637866</v>
      </c>
      <c r="G44" s="238">
        <f t="shared" si="4"/>
        <v>0.0003853637231</v>
      </c>
      <c r="H44" s="240" t="str">
        <f t="shared" si="5"/>
        <v>Default standby Charge</v>
      </c>
      <c r="I44" s="182"/>
      <c r="J44" s="182"/>
      <c r="K44" s="11"/>
      <c r="L44" s="182"/>
      <c r="M44" s="182"/>
      <c r="N44" s="182"/>
      <c r="O44" s="182"/>
      <c r="P44" s="11"/>
      <c r="Q44" s="11"/>
      <c r="R44" s="11"/>
      <c r="S44" s="11"/>
      <c r="T44" s="11"/>
      <c r="U44" s="11"/>
      <c r="V44" s="11"/>
      <c r="W44" s="11"/>
      <c r="X44" s="11"/>
      <c r="Y44" s="11"/>
      <c r="Z44" s="11"/>
      <c r="AA44" s="11"/>
    </row>
    <row r="45" ht="15.75" customHeight="1">
      <c r="A45" s="234">
        <f t="shared" si="6"/>
        <v>88</v>
      </c>
      <c r="B45" s="243" t="str">
        <f t="shared" si="1"/>
        <v>Charge</v>
      </c>
      <c r="C45" s="236">
        <f t="shared" si="2"/>
        <v>0</v>
      </c>
      <c r="D45" s="236">
        <f t="shared" si="3"/>
        <v>0.9775626664</v>
      </c>
      <c r="E45" s="236">
        <f t="shared" si="7"/>
        <v>0</v>
      </c>
      <c r="F45" s="236">
        <f t="shared" si="8"/>
        <v>22.48394133</v>
      </c>
      <c r="G45" s="238">
        <f t="shared" si="4"/>
        <v>0.000402880256</v>
      </c>
      <c r="H45" s="240" t="str">
        <f t="shared" si="5"/>
        <v>Default standby Charge</v>
      </c>
      <c r="I45" s="182"/>
      <c r="J45" s="182"/>
      <c r="K45" s="11"/>
      <c r="L45" s="182"/>
      <c r="M45" s="182"/>
      <c r="N45" s="182"/>
      <c r="O45" s="182"/>
      <c r="P45" s="11"/>
      <c r="Q45" s="11"/>
      <c r="R45" s="11"/>
      <c r="S45" s="11"/>
      <c r="T45" s="11"/>
      <c r="U45" s="11"/>
      <c r="V45" s="11"/>
      <c r="W45" s="11"/>
      <c r="X45" s="11"/>
      <c r="Y45" s="11"/>
      <c r="Z45" s="11"/>
      <c r="AA45" s="11"/>
    </row>
    <row r="46" ht="15.75" customHeight="1">
      <c r="A46" s="234">
        <f t="shared" si="6"/>
        <v>92</v>
      </c>
      <c r="B46" s="243" t="str">
        <f t="shared" si="1"/>
        <v>Charge</v>
      </c>
      <c r="C46" s="236">
        <f t="shared" si="2"/>
        <v>0</v>
      </c>
      <c r="D46" s="236">
        <f t="shared" si="3"/>
        <v>0.9775626664</v>
      </c>
      <c r="E46" s="236">
        <f t="shared" si="7"/>
        <v>0</v>
      </c>
      <c r="F46" s="236">
        <f t="shared" si="8"/>
        <v>23.46150399</v>
      </c>
      <c r="G46" s="238">
        <f t="shared" si="4"/>
        <v>0.0004203967889</v>
      </c>
      <c r="H46" s="240" t="str">
        <f t="shared" si="5"/>
        <v>Default standby Charge</v>
      </c>
      <c r="I46" s="182"/>
      <c r="J46" s="182"/>
      <c r="K46" s="11"/>
      <c r="L46" s="182"/>
      <c r="M46" s="182"/>
      <c r="N46" s="182"/>
      <c r="O46" s="182"/>
      <c r="P46" s="11"/>
      <c r="Q46" s="11"/>
      <c r="R46" s="11"/>
      <c r="S46" s="11"/>
      <c r="T46" s="11"/>
      <c r="U46" s="11"/>
      <c r="V46" s="11"/>
      <c r="W46" s="11"/>
      <c r="X46" s="11"/>
      <c r="Y46" s="11"/>
      <c r="Z46" s="11"/>
      <c r="AA46" s="11"/>
    </row>
    <row r="47" ht="15.75" customHeight="1">
      <c r="A47" s="234">
        <f t="shared" si="6"/>
        <v>96</v>
      </c>
      <c r="B47" s="243" t="str">
        <f t="shared" si="1"/>
        <v>Charge</v>
      </c>
      <c r="C47" s="236">
        <f t="shared" si="2"/>
        <v>0</v>
      </c>
      <c r="D47" s="236">
        <f t="shared" si="3"/>
        <v>0.9775626664</v>
      </c>
      <c r="E47" s="236">
        <f t="shared" si="7"/>
        <v>0</v>
      </c>
      <c r="F47" s="236">
        <f t="shared" si="8"/>
        <v>24.43906666</v>
      </c>
      <c r="G47" s="238">
        <f t="shared" si="4"/>
        <v>0.0004379133217</v>
      </c>
      <c r="H47" s="240" t="str">
        <f t="shared" si="5"/>
        <v>Default standby Charge</v>
      </c>
      <c r="I47" s="182"/>
      <c r="J47" s="182"/>
      <c r="K47" s="11"/>
      <c r="L47" s="182"/>
      <c r="M47" s="182"/>
      <c r="N47" s="182"/>
      <c r="O47" s="182"/>
      <c r="P47" s="11"/>
      <c r="Q47" s="11"/>
      <c r="R47" s="11"/>
      <c r="S47" s="11"/>
      <c r="T47" s="11"/>
      <c r="U47" s="11"/>
      <c r="V47" s="11"/>
      <c r="W47" s="11"/>
      <c r="X47" s="11"/>
      <c r="Y47" s="11"/>
      <c r="Z47" s="11"/>
      <c r="AA47" s="11"/>
    </row>
    <row r="48" ht="15.75" customHeight="1">
      <c r="A48" s="234">
        <f t="shared" si="6"/>
        <v>100</v>
      </c>
      <c r="B48" s="255" t="str">
        <f t="shared" si="1"/>
        <v>Downlink</v>
      </c>
      <c r="C48" s="236">
        <f t="shared" si="2"/>
        <v>0</v>
      </c>
      <c r="D48" s="236">
        <f t="shared" si="3"/>
        <v>0.9775626664</v>
      </c>
      <c r="E48" s="236">
        <f t="shared" si="7"/>
        <v>0.75</v>
      </c>
      <c r="F48" s="236">
        <f t="shared" si="8"/>
        <v>24.66662933</v>
      </c>
      <c r="G48" s="238">
        <f t="shared" si="4"/>
        <v>0.0004419909211</v>
      </c>
      <c r="H48" s="240" t="str">
        <f t="shared" si="5"/>
        <v>Validated contact; Downlink preempts Science</v>
      </c>
      <c r="I48" s="182"/>
      <c r="J48" s="182"/>
      <c r="K48" s="11"/>
      <c r="L48" s="182"/>
      <c r="M48" s="182"/>
      <c r="N48" s="182"/>
      <c r="O48" s="182"/>
      <c r="P48" s="11"/>
      <c r="Q48" s="11"/>
      <c r="R48" s="11"/>
      <c r="S48" s="11"/>
      <c r="T48" s="11"/>
      <c r="U48" s="11"/>
      <c r="V48" s="11"/>
      <c r="W48" s="11"/>
      <c r="X48" s="11"/>
      <c r="Y48" s="11"/>
      <c r="Z48" s="11"/>
      <c r="AA48" s="11"/>
    </row>
    <row r="49" ht="15.75" customHeight="1">
      <c r="A49" s="234">
        <f t="shared" si="6"/>
        <v>104</v>
      </c>
      <c r="B49" s="255" t="str">
        <f t="shared" si="1"/>
        <v>Downlink</v>
      </c>
      <c r="C49" s="236">
        <f t="shared" si="2"/>
        <v>0</v>
      </c>
      <c r="D49" s="236">
        <f t="shared" si="3"/>
        <v>0.9775626664</v>
      </c>
      <c r="E49" s="236">
        <f t="shared" si="7"/>
        <v>0.75</v>
      </c>
      <c r="F49" s="236">
        <f t="shared" si="8"/>
        <v>24.89419199</v>
      </c>
      <c r="G49" s="238">
        <f t="shared" si="4"/>
        <v>0.0004460685205</v>
      </c>
      <c r="H49" s="240" t="str">
        <f t="shared" si="5"/>
        <v>Validated contact; Downlink preempts Science</v>
      </c>
      <c r="I49" s="182"/>
      <c r="J49" s="182"/>
      <c r="K49" s="11"/>
      <c r="L49" s="182"/>
      <c r="M49" s="182"/>
      <c r="N49" s="182"/>
      <c r="O49" s="182"/>
      <c r="P49" s="11"/>
      <c r="Q49" s="11"/>
      <c r="R49" s="11"/>
      <c r="S49" s="11"/>
      <c r="T49" s="11"/>
      <c r="U49" s="11"/>
      <c r="V49" s="11"/>
      <c r="W49" s="11"/>
      <c r="X49" s="11"/>
      <c r="Y49" s="11"/>
      <c r="Z49" s="11"/>
      <c r="AA49" s="11"/>
    </row>
    <row r="50" ht="15.75" customHeight="1">
      <c r="A50" s="234">
        <f t="shared" si="6"/>
        <v>108</v>
      </c>
      <c r="B50" s="243" t="str">
        <f t="shared" si="1"/>
        <v>Charge</v>
      </c>
      <c r="C50" s="236">
        <f t="shared" si="2"/>
        <v>0</v>
      </c>
      <c r="D50" s="236">
        <f t="shared" si="3"/>
        <v>0.9775626664</v>
      </c>
      <c r="E50" s="236">
        <f t="shared" si="7"/>
        <v>0</v>
      </c>
      <c r="F50" s="236">
        <f t="shared" si="8"/>
        <v>25.87175466</v>
      </c>
      <c r="G50" s="238">
        <f t="shared" si="4"/>
        <v>0.0004635850534</v>
      </c>
      <c r="H50" s="240" t="str">
        <f t="shared" si="5"/>
        <v>Default standby Charge</v>
      </c>
      <c r="I50" s="182"/>
      <c r="J50" s="182"/>
      <c r="K50" s="11"/>
      <c r="L50" s="182"/>
      <c r="M50" s="182"/>
      <c r="N50" s="182"/>
      <c r="O50" s="182"/>
      <c r="P50" s="11"/>
      <c r="Q50" s="11"/>
      <c r="R50" s="11"/>
      <c r="S50" s="11"/>
      <c r="T50" s="11"/>
      <c r="U50" s="11"/>
      <c r="V50" s="11"/>
      <c r="W50" s="11"/>
      <c r="X50" s="11"/>
      <c r="Y50" s="11"/>
      <c r="Z50" s="11"/>
      <c r="AA50" s="11"/>
    </row>
    <row r="51" ht="15.75" customHeight="1">
      <c r="A51" s="234">
        <f t="shared" si="6"/>
        <v>112</v>
      </c>
      <c r="B51" s="243" t="str">
        <f t="shared" si="1"/>
        <v>Charge</v>
      </c>
      <c r="C51" s="236">
        <f t="shared" si="2"/>
        <v>0</v>
      </c>
      <c r="D51" s="236">
        <f t="shared" si="3"/>
        <v>0.9775626664</v>
      </c>
      <c r="E51" s="236">
        <f t="shared" si="7"/>
        <v>0</v>
      </c>
      <c r="F51" s="236">
        <f t="shared" si="8"/>
        <v>26.84931733</v>
      </c>
      <c r="G51" s="238">
        <f t="shared" si="4"/>
        <v>0.0004811015863</v>
      </c>
      <c r="H51" s="240" t="str">
        <f t="shared" si="5"/>
        <v>Default standby Charge</v>
      </c>
      <c r="I51" s="182"/>
      <c r="J51" s="182"/>
      <c r="K51" s="11"/>
      <c r="L51" s="182"/>
      <c r="M51" s="182"/>
      <c r="N51" s="182"/>
      <c r="O51" s="182"/>
      <c r="P51" s="11"/>
      <c r="Q51" s="11"/>
      <c r="R51" s="11"/>
      <c r="S51" s="11"/>
      <c r="T51" s="11"/>
      <c r="U51" s="11"/>
      <c r="V51" s="11"/>
      <c r="W51" s="11"/>
      <c r="X51" s="11"/>
      <c r="Y51" s="11"/>
      <c r="Z51" s="11"/>
      <c r="AA51" s="11"/>
    </row>
    <row r="52" ht="15.75" customHeight="1">
      <c r="A52" s="234">
        <f t="shared" si="6"/>
        <v>116</v>
      </c>
      <c r="B52" s="243" t="str">
        <f t="shared" si="1"/>
        <v>Charge</v>
      </c>
      <c r="C52" s="236">
        <f t="shared" si="2"/>
        <v>0</v>
      </c>
      <c r="D52" s="236">
        <f t="shared" si="3"/>
        <v>0.9775626664</v>
      </c>
      <c r="E52" s="236">
        <f t="shared" si="7"/>
        <v>0</v>
      </c>
      <c r="F52" s="236">
        <f t="shared" si="8"/>
        <v>27.82687999</v>
      </c>
      <c r="G52" s="238">
        <f t="shared" si="4"/>
        <v>0.0004986181191</v>
      </c>
      <c r="H52" s="240" t="str">
        <f t="shared" si="5"/>
        <v>Default standby Charge</v>
      </c>
      <c r="I52" s="182"/>
      <c r="J52" s="182"/>
      <c r="K52" s="11"/>
      <c r="L52" s="182"/>
      <c r="M52" s="182"/>
      <c r="N52" s="182"/>
      <c r="O52" s="182"/>
      <c r="P52" s="11"/>
      <c r="Q52" s="11"/>
      <c r="R52" s="11"/>
      <c r="S52" s="11"/>
      <c r="T52" s="11"/>
      <c r="U52" s="11"/>
      <c r="V52" s="11"/>
      <c r="W52" s="11"/>
      <c r="X52" s="11"/>
      <c r="Y52" s="11"/>
      <c r="Z52" s="11"/>
      <c r="AA52" s="11"/>
    </row>
    <row r="53" ht="15.75" customHeight="1">
      <c r="A53" s="234">
        <f t="shared" si="6"/>
        <v>120</v>
      </c>
      <c r="B53" s="243" t="str">
        <f t="shared" si="1"/>
        <v>Charge</v>
      </c>
      <c r="C53" s="236">
        <f t="shared" si="2"/>
        <v>0</v>
      </c>
      <c r="D53" s="236">
        <f t="shared" si="3"/>
        <v>0.9775626664</v>
      </c>
      <c r="E53" s="236">
        <f t="shared" si="7"/>
        <v>0</v>
      </c>
      <c r="F53" s="236">
        <f t="shared" si="8"/>
        <v>28.80444266</v>
      </c>
      <c r="G53" s="238">
        <f t="shared" si="4"/>
        <v>0.000516134652</v>
      </c>
      <c r="H53" s="240" t="str">
        <f t="shared" si="5"/>
        <v>Default standby Charge</v>
      </c>
      <c r="I53" s="182"/>
      <c r="J53" s="182"/>
      <c r="K53" s="11"/>
      <c r="L53" s="182"/>
      <c r="M53" s="182"/>
      <c r="N53" s="182"/>
      <c r="O53" s="182"/>
      <c r="P53" s="11"/>
      <c r="Q53" s="11"/>
      <c r="R53" s="11"/>
      <c r="S53" s="11"/>
      <c r="T53" s="11"/>
      <c r="U53" s="11"/>
      <c r="V53" s="11"/>
      <c r="W53" s="11"/>
      <c r="X53" s="11"/>
      <c r="Y53" s="11"/>
      <c r="Z53" s="11"/>
      <c r="AA53" s="11"/>
    </row>
    <row r="54" ht="15.75" customHeight="1">
      <c r="A54" s="234">
        <f t="shared" si="6"/>
        <v>124</v>
      </c>
      <c r="B54" s="243" t="str">
        <f t="shared" si="1"/>
        <v>Charge</v>
      </c>
      <c r="C54" s="236">
        <f t="shared" si="2"/>
        <v>0</v>
      </c>
      <c r="D54" s="236">
        <f t="shared" si="3"/>
        <v>0.9775626664</v>
      </c>
      <c r="E54" s="236">
        <f t="shared" si="7"/>
        <v>0</v>
      </c>
      <c r="F54" s="236">
        <f t="shared" si="8"/>
        <v>29.78200532</v>
      </c>
      <c r="G54" s="238">
        <f t="shared" si="4"/>
        <v>0.0005336511849</v>
      </c>
      <c r="H54" s="240" t="str">
        <f t="shared" si="5"/>
        <v>Default standby Charge</v>
      </c>
      <c r="I54" s="182"/>
      <c r="J54" s="182"/>
      <c r="K54" s="11"/>
      <c r="L54" s="182"/>
      <c r="M54" s="182"/>
      <c r="N54" s="182"/>
      <c r="O54" s="182"/>
      <c r="P54" s="11"/>
      <c r="Q54" s="11"/>
      <c r="R54" s="11"/>
      <c r="S54" s="11"/>
      <c r="T54" s="11"/>
      <c r="U54" s="11"/>
      <c r="V54" s="11"/>
      <c r="W54" s="11"/>
      <c r="X54" s="11"/>
      <c r="Y54" s="11"/>
      <c r="Z54" s="11"/>
      <c r="AA54" s="11"/>
    </row>
    <row r="55" ht="15.75" customHeight="1">
      <c r="A55" s="234">
        <f t="shared" si="6"/>
        <v>128</v>
      </c>
      <c r="B55" s="243" t="str">
        <f t="shared" si="1"/>
        <v>Charge</v>
      </c>
      <c r="C55" s="236">
        <f t="shared" si="2"/>
        <v>0</v>
      </c>
      <c r="D55" s="236">
        <f t="shared" si="3"/>
        <v>0.9775626664</v>
      </c>
      <c r="E55" s="236">
        <f t="shared" si="7"/>
        <v>0</v>
      </c>
      <c r="F55" s="236">
        <f t="shared" si="8"/>
        <v>30.75956799</v>
      </c>
      <c r="G55" s="238">
        <f t="shared" si="4"/>
        <v>0.0005511677177</v>
      </c>
      <c r="H55" s="240" t="str">
        <f t="shared" si="5"/>
        <v>Default standby Charge</v>
      </c>
      <c r="I55" s="182"/>
      <c r="J55" s="182"/>
      <c r="K55" s="11"/>
      <c r="L55" s="182"/>
      <c r="M55" s="182"/>
      <c r="N55" s="182"/>
      <c r="O55" s="182"/>
      <c r="P55" s="11"/>
      <c r="Q55" s="11"/>
      <c r="R55" s="11"/>
      <c r="S55" s="11"/>
      <c r="T55" s="11"/>
      <c r="U55" s="11"/>
      <c r="V55" s="11"/>
      <c r="W55" s="11"/>
      <c r="X55" s="11"/>
      <c r="Y55" s="11"/>
      <c r="Z55" s="11"/>
      <c r="AA55" s="11"/>
    </row>
    <row r="56" ht="15.75" customHeight="1">
      <c r="A56" s="234">
        <f t="shared" si="6"/>
        <v>132</v>
      </c>
      <c r="B56" s="243" t="str">
        <f t="shared" si="1"/>
        <v>Charge</v>
      </c>
      <c r="C56" s="236">
        <f t="shared" si="2"/>
        <v>0</v>
      </c>
      <c r="D56" s="236">
        <f t="shared" si="3"/>
        <v>0.9775626664</v>
      </c>
      <c r="E56" s="236">
        <f t="shared" si="7"/>
        <v>0</v>
      </c>
      <c r="F56" s="236">
        <f t="shared" si="8"/>
        <v>31.73713066</v>
      </c>
      <c r="G56" s="238">
        <f t="shared" si="4"/>
        <v>0.0005686842506</v>
      </c>
      <c r="H56" s="240" t="str">
        <f t="shared" si="5"/>
        <v>Default standby Charge</v>
      </c>
      <c r="I56" s="182"/>
      <c r="J56" s="182"/>
      <c r="K56" s="11"/>
      <c r="L56" s="182"/>
      <c r="M56" s="182"/>
      <c r="N56" s="182"/>
      <c r="O56" s="182"/>
      <c r="P56" s="11"/>
      <c r="Q56" s="11"/>
      <c r="R56" s="11"/>
      <c r="S56" s="11"/>
      <c r="T56" s="11"/>
      <c r="U56" s="11"/>
      <c r="V56" s="11"/>
      <c r="W56" s="11"/>
      <c r="X56" s="11"/>
      <c r="Y56" s="11"/>
      <c r="Z56" s="11"/>
      <c r="AA56" s="11"/>
    </row>
    <row r="57" ht="15.75" customHeight="1">
      <c r="A57" s="234">
        <f t="shared" si="6"/>
        <v>136</v>
      </c>
      <c r="B57" s="243" t="str">
        <f t="shared" si="1"/>
        <v>Charge</v>
      </c>
      <c r="C57" s="236">
        <f t="shared" si="2"/>
        <v>0</v>
      </c>
      <c r="D57" s="236">
        <f t="shared" si="3"/>
        <v>0.9775626664</v>
      </c>
      <c r="E57" s="236">
        <f t="shared" si="7"/>
        <v>0</v>
      </c>
      <c r="F57" s="236">
        <f t="shared" si="8"/>
        <v>32.71469332</v>
      </c>
      <c r="G57" s="238">
        <f t="shared" si="4"/>
        <v>0.0005862007835</v>
      </c>
      <c r="H57" s="240" t="str">
        <f t="shared" si="5"/>
        <v>Default standby Charge</v>
      </c>
      <c r="I57" s="182"/>
      <c r="J57" s="182"/>
      <c r="K57" s="11"/>
      <c r="L57" s="182"/>
      <c r="M57" s="182"/>
      <c r="N57" s="182"/>
      <c r="O57" s="182"/>
      <c r="P57" s="11"/>
      <c r="Q57" s="11"/>
      <c r="R57" s="11"/>
      <c r="S57" s="11"/>
      <c r="T57" s="11"/>
      <c r="U57" s="11"/>
      <c r="V57" s="11"/>
      <c r="W57" s="11"/>
      <c r="X57" s="11"/>
      <c r="Y57" s="11"/>
      <c r="Z57" s="11"/>
      <c r="AA57" s="11"/>
    </row>
    <row r="58" ht="15.75" customHeight="1">
      <c r="A58" s="234">
        <f t="shared" si="6"/>
        <v>140</v>
      </c>
      <c r="B58" s="243" t="str">
        <f t="shared" si="1"/>
        <v>Charge</v>
      </c>
      <c r="C58" s="236">
        <f t="shared" si="2"/>
        <v>0</v>
      </c>
      <c r="D58" s="236">
        <f t="shared" si="3"/>
        <v>0.9775626664</v>
      </c>
      <c r="E58" s="236">
        <f t="shared" si="7"/>
        <v>0</v>
      </c>
      <c r="F58" s="236">
        <f t="shared" si="8"/>
        <v>33.69225599</v>
      </c>
      <c r="G58" s="238">
        <f t="shared" si="4"/>
        <v>0.0006037173163</v>
      </c>
      <c r="H58" s="240" t="str">
        <f t="shared" si="5"/>
        <v>Default standby Charge</v>
      </c>
      <c r="I58" s="182"/>
      <c r="J58" s="182"/>
      <c r="K58" s="11"/>
      <c r="L58" s="182"/>
      <c r="M58" s="182"/>
      <c r="N58" s="182"/>
      <c r="O58" s="182"/>
      <c r="P58" s="11"/>
      <c r="Q58" s="11"/>
      <c r="R58" s="11"/>
      <c r="S58" s="11"/>
      <c r="T58" s="11"/>
      <c r="U58" s="11"/>
      <c r="V58" s="11"/>
      <c r="W58" s="11"/>
      <c r="X58" s="11"/>
      <c r="Y58" s="11"/>
      <c r="Z58" s="11"/>
      <c r="AA58" s="11"/>
    </row>
    <row r="59" ht="15.75" customHeight="1">
      <c r="A59" s="234">
        <f t="shared" si="6"/>
        <v>144</v>
      </c>
      <c r="B59" s="243" t="str">
        <f t="shared" si="1"/>
        <v>Charge</v>
      </c>
      <c r="C59" s="236">
        <f t="shared" si="2"/>
        <v>0</v>
      </c>
      <c r="D59" s="236">
        <f t="shared" si="3"/>
        <v>0.9775626664</v>
      </c>
      <c r="E59" s="236">
        <f t="shared" si="7"/>
        <v>0</v>
      </c>
      <c r="F59" s="236">
        <f t="shared" si="8"/>
        <v>34.66981866</v>
      </c>
      <c r="G59" s="238">
        <f t="shared" si="4"/>
        <v>0.0006212338492</v>
      </c>
      <c r="H59" s="240" t="str">
        <f t="shared" si="5"/>
        <v>Default standby Charge</v>
      </c>
      <c r="I59" s="182"/>
      <c r="J59" s="182"/>
      <c r="K59" s="11"/>
      <c r="L59" s="182"/>
      <c r="M59" s="182"/>
      <c r="N59" s="182"/>
      <c r="O59" s="182"/>
      <c r="P59" s="11"/>
      <c r="Q59" s="11"/>
      <c r="R59" s="11"/>
      <c r="S59" s="11"/>
      <c r="T59" s="11"/>
      <c r="U59" s="11"/>
      <c r="V59" s="11"/>
      <c r="W59" s="11"/>
      <c r="X59" s="11"/>
      <c r="Y59" s="11"/>
      <c r="Z59" s="11"/>
      <c r="AA59" s="11"/>
    </row>
    <row r="60" ht="15.75" customHeight="1">
      <c r="A60" s="234">
        <f t="shared" si="6"/>
        <v>148</v>
      </c>
      <c r="B60" s="243" t="str">
        <f t="shared" si="1"/>
        <v>Charge</v>
      </c>
      <c r="C60" s="236">
        <f t="shared" si="2"/>
        <v>0</v>
      </c>
      <c r="D60" s="236">
        <f t="shared" si="3"/>
        <v>0.9775626664</v>
      </c>
      <c r="E60" s="236">
        <f t="shared" si="7"/>
        <v>0</v>
      </c>
      <c r="F60" s="236">
        <f t="shared" si="8"/>
        <v>35.64738132</v>
      </c>
      <c r="G60" s="238">
        <f t="shared" si="4"/>
        <v>0.0006387503821</v>
      </c>
      <c r="H60" s="240" t="str">
        <f t="shared" si="5"/>
        <v>Default standby Charge</v>
      </c>
      <c r="I60" s="182"/>
      <c r="J60" s="182"/>
      <c r="K60" s="11"/>
      <c r="L60" s="182"/>
      <c r="M60" s="182"/>
      <c r="N60" s="182"/>
      <c r="O60" s="182"/>
      <c r="P60" s="11"/>
      <c r="Q60" s="11"/>
      <c r="R60" s="11"/>
      <c r="S60" s="11"/>
      <c r="T60" s="11"/>
      <c r="U60" s="11"/>
      <c r="V60" s="11"/>
      <c r="W60" s="11"/>
      <c r="X60" s="11"/>
      <c r="Y60" s="11"/>
      <c r="Z60" s="11"/>
      <c r="AA60" s="11"/>
    </row>
    <row r="61" ht="15.75" customHeight="1">
      <c r="A61" s="234">
        <f t="shared" si="6"/>
        <v>152</v>
      </c>
      <c r="B61" s="243" t="str">
        <f t="shared" si="1"/>
        <v>Charge</v>
      </c>
      <c r="C61" s="236">
        <f t="shared" si="2"/>
        <v>0</v>
      </c>
      <c r="D61" s="236">
        <f t="shared" si="3"/>
        <v>0.9775626664</v>
      </c>
      <c r="E61" s="236">
        <f t="shared" si="7"/>
        <v>0</v>
      </c>
      <c r="F61" s="236">
        <f t="shared" si="8"/>
        <v>36.62494399</v>
      </c>
      <c r="G61" s="238">
        <f t="shared" si="4"/>
        <v>0.000656266915</v>
      </c>
      <c r="H61" s="240" t="str">
        <f t="shared" si="5"/>
        <v>Default standby Charge</v>
      </c>
      <c r="I61" s="182"/>
      <c r="J61" s="182"/>
      <c r="K61" s="11"/>
      <c r="L61" s="182"/>
      <c r="M61" s="182"/>
      <c r="N61" s="182"/>
      <c r="O61" s="182"/>
      <c r="P61" s="11"/>
      <c r="Q61" s="11"/>
      <c r="R61" s="11"/>
      <c r="S61" s="11"/>
      <c r="T61" s="11"/>
      <c r="U61" s="11"/>
      <c r="V61" s="11"/>
      <c r="W61" s="11"/>
      <c r="X61" s="11"/>
      <c r="Y61" s="11"/>
      <c r="Z61" s="11"/>
      <c r="AA61" s="11"/>
    </row>
    <row r="62" ht="15.75" customHeight="1">
      <c r="A62" s="234">
        <f t="shared" si="6"/>
        <v>156</v>
      </c>
      <c r="B62" s="243" t="str">
        <f t="shared" si="1"/>
        <v>Charge</v>
      </c>
      <c r="C62" s="236">
        <f t="shared" si="2"/>
        <v>0</v>
      </c>
      <c r="D62" s="236">
        <f t="shared" si="3"/>
        <v>0.9775626664</v>
      </c>
      <c r="E62" s="236">
        <f t="shared" si="7"/>
        <v>0</v>
      </c>
      <c r="F62" s="236">
        <f t="shared" si="8"/>
        <v>37.60250666</v>
      </c>
      <c r="G62" s="238">
        <f t="shared" si="4"/>
        <v>0.0006737834478</v>
      </c>
      <c r="H62" s="240" t="str">
        <f t="shared" si="5"/>
        <v>Default standby Charge</v>
      </c>
      <c r="I62" s="182"/>
      <c r="J62" s="182"/>
      <c r="K62" s="11"/>
      <c r="L62" s="182"/>
      <c r="M62" s="182"/>
      <c r="N62" s="182"/>
      <c r="O62" s="182"/>
      <c r="P62" s="11"/>
      <c r="Q62" s="11"/>
      <c r="R62" s="11"/>
      <c r="S62" s="11"/>
      <c r="T62" s="11"/>
      <c r="U62" s="11"/>
      <c r="V62" s="11"/>
      <c r="W62" s="11"/>
      <c r="X62" s="11"/>
      <c r="Y62" s="11"/>
      <c r="Z62" s="11"/>
      <c r="AA62" s="11"/>
    </row>
    <row r="63" ht="15.75" customHeight="1">
      <c r="A63" s="234">
        <f t="shared" si="6"/>
        <v>160</v>
      </c>
      <c r="B63" s="243" t="str">
        <f t="shared" si="1"/>
        <v>Charge</v>
      </c>
      <c r="C63" s="236">
        <f t="shared" si="2"/>
        <v>0</v>
      </c>
      <c r="D63" s="236">
        <f t="shared" si="3"/>
        <v>0.9775626664</v>
      </c>
      <c r="E63" s="236">
        <f t="shared" si="7"/>
        <v>0</v>
      </c>
      <c r="F63" s="236">
        <f t="shared" si="8"/>
        <v>38.58006932</v>
      </c>
      <c r="G63" s="238">
        <f t="shared" si="4"/>
        <v>0.0006912999807</v>
      </c>
      <c r="H63" s="240" t="str">
        <f t="shared" si="5"/>
        <v>Default standby Charge</v>
      </c>
      <c r="I63" s="182"/>
      <c r="J63" s="182"/>
      <c r="K63" s="11"/>
      <c r="L63" s="182"/>
      <c r="M63" s="182"/>
      <c r="N63" s="182"/>
      <c r="O63" s="182"/>
      <c r="P63" s="11"/>
      <c r="Q63" s="11"/>
      <c r="R63" s="11"/>
      <c r="S63" s="11"/>
      <c r="T63" s="11"/>
      <c r="U63" s="11"/>
      <c r="V63" s="11"/>
      <c r="W63" s="11"/>
      <c r="X63" s="11"/>
      <c r="Y63" s="11"/>
      <c r="Z63" s="11"/>
      <c r="AA63" s="11"/>
    </row>
    <row r="64" ht="15.75" customHeight="1">
      <c r="A64" s="234">
        <f t="shared" si="6"/>
        <v>164</v>
      </c>
      <c r="B64" s="243" t="str">
        <f t="shared" si="1"/>
        <v>Charge</v>
      </c>
      <c r="C64" s="236">
        <f t="shared" si="2"/>
        <v>0</v>
      </c>
      <c r="D64" s="236">
        <f t="shared" si="3"/>
        <v>0.9775626664</v>
      </c>
      <c r="E64" s="236">
        <f t="shared" si="7"/>
        <v>0</v>
      </c>
      <c r="F64" s="236">
        <f t="shared" si="8"/>
        <v>39.55763199</v>
      </c>
      <c r="G64" s="238">
        <f t="shared" si="4"/>
        <v>0.0007088165136</v>
      </c>
      <c r="H64" s="240" t="str">
        <f t="shared" si="5"/>
        <v>Default standby Charge</v>
      </c>
      <c r="I64" s="182"/>
      <c r="J64" s="182"/>
      <c r="K64" s="11"/>
      <c r="L64" s="182"/>
      <c r="M64" s="182"/>
      <c r="N64" s="182"/>
      <c r="O64" s="182"/>
      <c r="P64" s="11"/>
      <c r="Q64" s="11"/>
      <c r="R64" s="11"/>
      <c r="S64" s="11"/>
      <c r="T64" s="11"/>
      <c r="U64" s="11"/>
      <c r="V64" s="11"/>
      <c r="W64" s="11"/>
      <c r="X64" s="11"/>
      <c r="Y64" s="11"/>
      <c r="Z64" s="11"/>
      <c r="AA64" s="11"/>
    </row>
    <row r="65" ht="15.75" customHeight="1">
      <c r="A65" s="234">
        <f t="shared" si="6"/>
        <v>168</v>
      </c>
      <c r="B65" s="243" t="str">
        <f t="shared" si="1"/>
        <v>Charge</v>
      </c>
      <c r="C65" s="236">
        <f t="shared" si="2"/>
        <v>0</v>
      </c>
      <c r="D65" s="236">
        <f t="shared" si="3"/>
        <v>0.9775626664</v>
      </c>
      <c r="E65" s="236">
        <f t="shared" si="7"/>
        <v>0</v>
      </c>
      <c r="F65" s="236">
        <f t="shared" si="8"/>
        <v>40.53519466</v>
      </c>
      <c r="G65" s="238">
        <f t="shared" si="4"/>
        <v>0.0007263330464</v>
      </c>
      <c r="H65" s="240" t="str">
        <f t="shared" si="5"/>
        <v>Default standby Charge</v>
      </c>
      <c r="I65" s="182"/>
      <c r="J65" s="182"/>
      <c r="K65" s="11"/>
      <c r="L65" s="182"/>
      <c r="M65" s="182"/>
      <c r="N65" s="182"/>
      <c r="O65" s="182"/>
      <c r="P65" s="11"/>
      <c r="Q65" s="11"/>
      <c r="R65" s="11"/>
      <c r="S65" s="11"/>
      <c r="T65" s="11"/>
      <c r="U65" s="11"/>
      <c r="V65" s="11"/>
      <c r="W65" s="11"/>
      <c r="X65" s="11"/>
      <c r="Y65" s="11"/>
      <c r="Z65" s="11"/>
      <c r="AA65" s="11"/>
    </row>
    <row r="66" ht="15.75" customHeight="1">
      <c r="A66" s="234">
        <f t="shared" si="6"/>
        <v>172</v>
      </c>
      <c r="B66" s="243" t="str">
        <f t="shared" si="1"/>
        <v>Charge</v>
      </c>
      <c r="C66" s="236">
        <f t="shared" si="2"/>
        <v>0</v>
      </c>
      <c r="D66" s="236">
        <f t="shared" si="3"/>
        <v>0.9775626664</v>
      </c>
      <c r="E66" s="236">
        <f t="shared" si="7"/>
        <v>0</v>
      </c>
      <c r="F66" s="236">
        <f t="shared" si="8"/>
        <v>41.51275732</v>
      </c>
      <c r="G66" s="238">
        <f t="shared" si="4"/>
        <v>0.0007438495793</v>
      </c>
      <c r="H66" s="240" t="str">
        <f t="shared" si="5"/>
        <v>Default standby Charge</v>
      </c>
      <c r="I66" s="182"/>
      <c r="J66" s="182"/>
      <c r="K66" s="11"/>
      <c r="L66" s="182"/>
      <c r="M66" s="182"/>
      <c r="N66" s="182"/>
      <c r="O66" s="182"/>
      <c r="P66" s="11"/>
      <c r="Q66" s="11"/>
      <c r="R66" s="11"/>
      <c r="S66" s="11"/>
      <c r="T66" s="11"/>
      <c r="U66" s="11"/>
      <c r="V66" s="11"/>
      <c r="W66" s="11"/>
      <c r="X66" s="11"/>
      <c r="Y66" s="11"/>
      <c r="Z66" s="11"/>
      <c r="AA66" s="11"/>
    </row>
    <row r="67" ht="15.75" customHeight="1">
      <c r="A67" s="234">
        <f t="shared" si="6"/>
        <v>176</v>
      </c>
      <c r="B67" s="243" t="str">
        <f t="shared" si="1"/>
        <v>Charge</v>
      </c>
      <c r="C67" s="236">
        <f t="shared" si="2"/>
        <v>0</v>
      </c>
      <c r="D67" s="236">
        <f t="shared" si="3"/>
        <v>0.9775626664</v>
      </c>
      <c r="E67" s="236">
        <f t="shared" si="7"/>
        <v>0</v>
      </c>
      <c r="F67" s="236">
        <f t="shared" si="8"/>
        <v>42.49031999</v>
      </c>
      <c r="G67" s="238">
        <f t="shared" si="4"/>
        <v>0.0007613661122</v>
      </c>
      <c r="H67" s="240" t="str">
        <f t="shared" si="5"/>
        <v>Default standby Charge</v>
      </c>
      <c r="I67" s="182"/>
      <c r="J67" s="182"/>
      <c r="K67" s="11"/>
      <c r="L67" s="182"/>
      <c r="M67" s="182"/>
      <c r="N67" s="182"/>
      <c r="O67" s="182"/>
      <c r="P67" s="11"/>
      <c r="Q67" s="11"/>
      <c r="R67" s="11"/>
      <c r="S67" s="11"/>
      <c r="T67" s="11"/>
      <c r="U67" s="11"/>
      <c r="V67" s="11"/>
      <c r="W67" s="11"/>
      <c r="X67" s="11"/>
      <c r="Y67" s="11"/>
      <c r="Z67" s="11"/>
      <c r="AA67" s="11"/>
    </row>
    <row r="68" ht="15.75" customHeight="1">
      <c r="A68" s="234">
        <f t="shared" si="6"/>
        <v>180</v>
      </c>
      <c r="B68" s="257" t="str">
        <f t="shared" si="1"/>
        <v>Science A</v>
      </c>
      <c r="C68" s="236">
        <f t="shared" si="2"/>
        <v>8</v>
      </c>
      <c r="D68" s="236">
        <f t="shared" si="3"/>
        <v>32.84956267</v>
      </c>
      <c r="E68" s="236">
        <f t="shared" si="7"/>
        <v>0</v>
      </c>
      <c r="F68" s="236">
        <f t="shared" si="8"/>
        <v>75.33988265</v>
      </c>
      <c r="G68" s="238">
        <f t="shared" si="4"/>
        <v>0.001349983562</v>
      </c>
      <c r="H68" s="240" t="str">
        <f t="shared" si="5"/>
        <v>Science data acquisition and storage</v>
      </c>
      <c r="I68" s="182"/>
      <c r="J68" s="182"/>
      <c r="K68" s="11"/>
      <c r="L68" s="182"/>
      <c r="M68" s="182"/>
      <c r="N68" s="182"/>
      <c r="O68" s="182"/>
      <c r="P68" s="11"/>
      <c r="Q68" s="11"/>
      <c r="R68" s="11"/>
      <c r="S68" s="11"/>
      <c r="T68" s="11"/>
      <c r="U68" s="11"/>
      <c r="V68" s="11"/>
      <c r="W68" s="11"/>
      <c r="X68" s="11"/>
      <c r="Y68" s="11"/>
      <c r="Z68" s="11"/>
      <c r="AA68" s="11"/>
    </row>
    <row r="69" ht="15.75" customHeight="1">
      <c r="A69" s="234">
        <f t="shared" si="6"/>
        <v>184</v>
      </c>
      <c r="B69" s="257" t="str">
        <f t="shared" si="1"/>
        <v>Science A</v>
      </c>
      <c r="C69" s="236">
        <f t="shared" si="2"/>
        <v>8</v>
      </c>
      <c r="D69" s="236">
        <f t="shared" si="3"/>
        <v>32.84956267</v>
      </c>
      <c r="E69" s="236">
        <f t="shared" si="7"/>
        <v>0</v>
      </c>
      <c r="F69" s="236">
        <f t="shared" si="8"/>
        <v>108.1894453</v>
      </c>
      <c r="G69" s="238">
        <f t="shared" si="4"/>
        <v>0.001938601013</v>
      </c>
      <c r="H69" s="240" t="str">
        <f t="shared" si="5"/>
        <v>Science data acquisition and storage</v>
      </c>
      <c r="I69" s="182"/>
      <c r="J69" s="182"/>
      <c r="K69" s="11"/>
      <c r="L69" s="182"/>
      <c r="M69" s="182"/>
      <c r="N69" s="182"/>
      <c r="O69" s="182"/>
      <c r="P69" s="11"/>
      <c r="Q69" s="11"/>
      <c r="R69" s="11"/>
      <c r="S69" s="11"/>
      <c r="T69" s="11"/>
      <c r="U69" s="11"/>
      <c r="V69" s="11"/>
      <c r="W69" s="11"/>
      <c r="X69" s="11"/>
      <c r="Y69" s="11"/>
      <c r="Z69" s="11"/>
      <c r="AA69" s="11"/>
    </row>
    <row r="70" ht="15.75" customHeight="1">
      <c r="A70" s="234">
        <f t="shared" si="6"/>
        <v>188</v>
      </c>
      <c r="B70" s="257" t="str">
        <f t="shared" si="1"/>
        <v>Science A</v>
      </c>
      <c r="C70" s="236">
        <f t="shared" si="2"/>
        <v>8</v>
      </c>
      <c r="D70" s="236">
        <f t="shared" si="3"/>
        <v>32.84956267</v>
      </c>
      <c r="E70" s="236">
        <f t="shared" si="7"/>
        <v>0</v>
      </c>
      <c r="F70" s="236">
        <f t="shared" si="8"/>
        <v>141.039008</v>
      </c>
      <c r="G70" s="238">
        <f t="shared" si="4"/>
        <v>0.002527218463</v>
      </c>
      <c r="H70" s="240" t="str">
        <f t="shared" si="5"/>
        <v>Science data acquisition and storage</v>
      </c>
      <c r="I70" s="182"/>
      <c r="J70" s="182"/>
      <c r="K70" s="11"/>
      <c r="L70" s="182"/>
      <c r="M70" s="182"/>
      <c r="N70" s="182"/>
      <c r="O70" s="182"/>
      <c r="P70" s="11"/>
      <c r="Q70" s="11"/>
      <c r="R70" s="11"/>
      <c r="S70" s="11"/>
      <c r="T70" s="11"/>
      <c r="U70" s="11"/>
      <c r="V70" s="11"/>
      <c r="W70" s="11"/>
      <c r="X70" s="11"/>
      <c r="Y70" s="11"/>
      <c r="Z70" s="11"/>
      <c r="AA70" s="11"/>
    </row>
    <row r="71" ht="15.75" customHeight="1">
      <c r="A71" s="234">
        <f t="shared" si="6"/>
        <v>192</v>
      </c>
      <c r="B71" s="257" t="str">
        <f t="shared" si="1"/>
        <v>Science A</v>
      </c>
      <c r="C71" s="236">
        <f t="shared" si="2"/>
        <v>8</v>
      </c>
      <c r="D71" s="236">
        <f t="shared" si="3"/>
        <v>32.84956267</v>
      </c>
      <c r="E71" s="236">
        <f t="shared" si="7"/>
        <v>0</v>
      </c>
      <c r="F71" s="236">
        <f t="shared" si="8"/>
        <v>173.8885707</v>
      </c>
      <c r="G71" s="238">
        <f t="shared" si="4"/>
        <v>0.003115835913</v>
      </c>
      <c r="H71" s="240" t="str">
        <f t="shared" si="5"/>
        <v>Science data acquisition and storage</v>
      </c>
      <c r="I71" s="182"/>
      <c r="J71" s="182"/>
      <c r="K71" s="11"/>
      <c r="L71" s="182"/>
      <c r="M71" s="182"/>
      <c r="N71" s="182"/>
      <c r="O71" s="182"/>
      <c r="P71" s="11"/>
      <c r="Q71" s="11"/>
      <c r="R71" s="11"/>
      <c r="S71" s="11"/>
      <c r="T71" s="11"/>
      <c r="U71" s="11"/>
      <c r="V71" s="11"/>
      <c r="W71" s="11"/>
      <c r="X71" s="11"/>
      <c r="Y71" s="11"/>
      <c r="Z71" s="11"/>
      <c r="AA71" s="11"/>
    </row>
    <row r="72" ht="15.75" customHeight="1">
      <c r="A72" s="234">
        <f t="shared" si="6"/>
        <v>196</v>
      </c>
      <c r="B72" s="257" t="str">
        <f t="shared" si="1"/>
        <v>Science A</v>
      </c>
      <c r="C72" s="236">
        <f t="shared" si="2"/>
        <v>8</v>
      </c>
      <c r="D72" s="236">
        <f t="shared" si="3"/>
        <v>32.84956267</v>
      </c>
      <c r="E72" s="236">
        <f t="shared" si="7"/>
        <v>0</v>
      </c>
      <c r="F72" s="236">
        <f t="shared" si="8"/>
        <v>206.7381333</v>
      </c>
      <c r="G72" s="238">
        <f t="shared" si="4"/>
        <v>0.003704453364</v>
      </c>
      <c r="H72" s="240" t="str">
        <f t="shared" si="5"/>
        <v>Science data acquisition and storage</v>
      </c>
      <c r="I72" s="182"/>
      <c r="J72" s="182"/>
      <c r="K72" s="11"/>
      <c r="L72" s="182"/>
      <c r="M72" s="182"/>
      <c r="N72" s="182"/>
      <c r="O72" s="182"/>
      <c r="P72" s="11"/>
      <c r="Q72" s="11"/>
      <c r="R72" s="11"/>
      <c r="S72" s="11"/>
      <c r="T72" s="11"/>
      <c r="U72" s="11"/>
      <c r="V72" s="11"/>
      <c r="W72" s="11"/>
      <c r="X72" s="11"/>
      <c r="Y72" s="11"/>
      <c r="Z72" s="11"/>
      <c r="AA72" s="11"/>
    </row>
    <row r="73" ht="15.75" customHeight="1">
      <c r="A73" s="234">
        <f t="shared" si="6"/>
        <v>200</v>
      </c>
      <c r="B73" s="257" t="str">
        <f t="shared" si="1"/>
        <v>Science A</v>
      </c>
      <c r="C73" s="236">
        <f t="shared" si="2"/>
        <v>8</v>
      </c>
      <c r="D73" s="236">
        <f t="shared" si="3"/>
        <v>32.84956267</v>
      </c>
      <c r="E73" s="236">
        <f t="shared" si="7"/>
        <v>0</v>
      </c>
      <c r="F73" s="236">
        <f t="shared" si="8"/>
        <v>239.587696</v>
      </c>
      <c r="G73" s="238">
        <f t="shared" si="4"/>
        <v>0.004293070814</v>
      </c>
      <c r="H73" s="240" t="str">
        <f t="shared" si="5"/>
        <v>Science data acquisition and storage</v>
      </c>
      <c r="I73" s="182"/>
      <c r="J73" s="182"/>
      <c r="K73" s="11"/>
      <c r="L73" s="182"/>
      <c r="M73" s="182"/>
      <c r="N73" s="182"/>
      <c r="O73" s="182"/>
      <c r="P73" s="11"/>
      <c r="Q73" s="11"/>
      <c r="R73" s="11"/>
      <c r="S73" s="11"/>
      <c r="T73" s="11"/>
      <c r="U73" s="11"/>
      <c r="V73" s="11"/>
      <c r="W73" s="11"/>
      <c r="X73" s="11"/>
      <c r="Y73" s="11"/>
      <c r="Z73" s="11"/>
      <c r="AA73" s="11"/>
    </row>
    <row r="74" ht="15.75" customHeight="1">
      <c r="A74" s="234">
        <f t="shared" si="6"/>
        <v>204</v>
      </c>
      <c r="B74" s="257" t="str">
        <f t="shared" si="1"/>
        <v>Science A</v>
      </c>
      <c r="C74" s="236">
        <f t="shared" si="2"/>
        <v>8</v>
      </c>
      <c r="D74" s="236">
        <f t="shared" si="3"/>
        <v>32.84956267</v>
      </c>
      <c r="E74" s="236">
        <f t="shared" si="7"/>
        <v>0</v>
      </c>
      <c r="F74" s="236">
        <f t="shared" si="8"/>
        <v>272.4372587</v>
      </c>
      <c r="G74" s="238">
        <f t="shared" si="4"/>
        <v>0.004881688264</v>
      </c>
      <c r="H74" s="240" t="str">
        <f t="shared" si="5"/>
        <v>Science data acquisition and storage</v>
      </c>
      <c r="I74" s="182"/>
      <c r="J74" s="182"/>
      <c r="K74" s="11"/>
      <c r="L74" s="182"/>
      <c r="M74" s="182"/>
      <c r="N74" s="182"/>
      <c r="O74" s="182"/>
      <c r="P74" s="11"/>
      <c r="Q74" s="11"/>
      <c r="R74" s="11"/>
      <c r="S74" s="11"/>
      <c r="T74" s="11"/>
      <c r="U74" s="11"/>
      <c r="V74" s="11"/>
      <c r="W74" s="11"/>
      <c r="X74" s="11"/>
      <c r="Y74" s="11"/>
      <c r="Z74" s="11"/>
      <c r="AA74" s="11"/>
    </row>
    <row r="75" ht="15.75" customHeight="1">
      <c r="A75" s="234">
        <f t="shared" si="6"/>
        <v>208</v>
      </c>
      <c r="B75" s="257" t="str">
        <f t="shared" si="1"/>
        <v>Science A</v>
      </c>
      <c r="C75" s="236">
        <f t="shared" si="2"/>
        <v>8</v>
      </c>
      <c r="D75" s="236">
        <f t="shared" si="3"/>
        <v>32.84956267</v>
      </c>
      <c r="E75" s="236">
        <f t="shared" si="7"/>
        <v>0</v>
      </c>
      <c r="F75" s="236">
        <f t="shared" si="8"/>
        <v>305.2868213</v>
      </c>
      <c r="G75" s="238">
        <f t="shared" si="4"/>
        <v>0.005470305715</v>
      </c>
      <c r="H75" s="240" t="str">
        <f t="shared" si="5"/>
        <v>Science data acquisition and storage</v>
      </c>
      <c r="I75" s="182"/>
      <c r="J75" s="182"/>
      <c r="K75" s="11"/>
      <c r="L75" s="182"/>
      <c r="M75" s="182"/>
      <c r="N75" s="182"/>
      <c r="O75" s="182"/>
      <c r="P75" s="11"/>
      <c r="Q75" s="11"/>
      <c r="R75" s="11"/>
      <c r="S75" s="11"/>
      <c r="T75" s="11"/>
      <c r="U75" s="11"/>
      <c r="V75" s="11"/>
      <c r="W75" s="11"/>
      <c r="X75" s="11"/>
      <c r="Y75" s="11"/>
      <c r="Z75" s="11"/>
      <c r="AA75" s="11"/>
    </row>
    <row r="76" ht="15.75" customHeight="1">
      <c r="A76" s="234">
        <f t="shared" si="6"/>
        <v>212</v>
      </c>
      <c r="B76" s="257" t="str">
        <f t="shared" si="1"/>
        <v>Science A</v>
      </c>
      <c r="C76" s="236">
        <f t="shared" si="2"/>
        <v>8</v>
      </c>
      <c r="D76" s="236">
        <f t="shared" si="3"/>
        <v>32.84956267</v>
      </c>
      <c r="E76" s="236">
        <f t="shared" si="7"/>
        <v>0</v>
      </c>
      <c r="F76" s="236">
        <f t="shared" si="8"/>
        <v>338.136384</v>
      </c>
      <c r="G76" s="238">
        <f t="shared" si="4"/>
        <v>0.006058923165</v>
      </c>
      <c r="H76" s="240" t="str">
        <f t="shared" si="5"/>
        <v>Science data acquisition and storage</v>
      </c>
      <c r="I76" s="182"/>
      <c r="J76" s="182"/>
      <c r="K76" s="11"/>
      <c r="L76" s="182"/>
      <c r="M76" s="182"/>
      <c r="N76" s="182"/>
      <c r="O76" s="182"/>
      <c r="P76" s="11"/>
      <c r="Q76" s="11"/>
      <c r="R76" s="11"/>
      <c r="S76" s="11"/>
      <c r="T76" s="11"/>
      <c r="U76" s="11"/>
      <c r="V76" s="11"/>
      <c r="W76" s="11"/>
      <c r="X76" s="11"/>
      <c r="Y76" s="11"/>
      <c r="Z76" s="11"/>
      <c r="AA76" s="11"/>
    </row>
    <row r="77" ht="15.75" customHeight="1">
      <c r="A77" s="234">
        <f t="shared" si="6"/>
        <v>216</v>
      </c>
      <c r="B77" s="257" t="str">
        <f t="shared" si="1"/>
        <v>Science A</v>
      </c>
      <c r="C77" s="236">
        <f t="shared" si="2"/>
        <v>8</v>
      </c>
      <c r="D77" s="236">
        <f t="shared" si="3"/>
        <v>32.84956267</v>
      </c>
      <c r="E77" s="236">
        <f t="shared" si="7"/>
        <v>0</v>
      </c>
      <c r="F77" s="236">
        <f t="shared" si="8"/>
        <v>370.9859467</v>
      </c>
      <c r="G77" s="238">
        <f t="shared" si="4"/>
        <v>0.006647540615</v>
      </c>
      <c r="H77" s="240" t="str">
        <f t="shared" si="5"/>
        <v>Science data acquisition and storage</v>
      </c>
      <c r="I77" s="182"/>
      <c r="J77" s="182"/>
      <c r="K77" s="11"/>
      <c r="L77" s="182"/>
      <c r="M77" s="182"/>
      <c r="N77" s="182"/>
      <c r="O77" s="182"/>
      <c r="P77" s="11"/>
      <c r="Q77" s="11"/>
      <c r="R77" s="11"/>
      <c r="S77" s="11"/>
      <c r="T77" s="11"/>
      <c r="U77" s="11"/>
      <c r="V77" s="11"/>
      <c r="W77" s="11"/>
      <c r="X77" s="11"/>
      <c r="Y77" s="11"/>
      <c r="Z77" s="11"/>
      <c r="AA77" s="11"/>
    </row>
    <row r="78" ht="15.75" customHeight="1">
      <c r="A78" s="234">
        <f t="shared" si="6"/>
        <v>220</v>
      </c>
      <c r="B78" s="257" t="str">
        <f t="shared" si="1"/>
        <v>Science A</v>
      </c>
      <c r="C78" s="236">
        <f t="shared" si="2"/>
        <v>8</v>
      </c>
      <c r="D78" s="236">
        <f t="shared" si="3"/>
        <v>32.84956267</v>
      </c>
      <c r="E78" s="236">
        <f t="shared" si="7"/>
        <v>0</v>
      </c>
      <c r="F78" s="236">
        <f t="shared" si="8"/>
        <v>403.8355093</v>
      </c>
      <c r="G78" s="238">
        <f t="shared" si="4"/>
        <v>0.007236158065</v>
      </c>
      <c r="H78" s="240" t="str">
        <f t="shared" si="5"/>
        <v>Science data acquisition and storage</v>
      </c>
      <c r="I78" s="182"/>
      <c r="J78" s="182"/>
      <c r="K78" s="11"/>
      <c r="L78" s="182"/>
      <c r="M78" s="182"/>
      <c r="N78" s="182"/>
      <c r="O78" s="182"/>
      <c r="P78" s="11"/>
      <c r="Q78" s="11"/>
      <c r="R78" s="11"/>
      <c r="S78" s="11"/>
      <c r="T78" s="11"/>
      <c r="U78" s="11"/>
      <c r="V78" s="11"/>
      <c r="W78" s="11"/>
      <c r="X78" s="11"/>
      <c r="Y78" s="11"/>
      <c r="Z78" s="11"/>
      <c r="AA78" s="11"/>
    </row>
    <row r="79" ht="15.75" customHeight="1">
      <c r="A79" s="234">
        <f t="shared" si="6"/>
        <v>224</v>
      </c>
      <c r="B79" s="257" t="str">
        <f t="shared" si="1"/>
        <v>Science A</v>
      </c>
      <c r="C79" s="236">
        <f t="shared" si="2"/>
        <v>8</v>
      </c>
      <c r="D79" s="236">
        <f t="shared" si="3"/>
        <v>32.84956267</v>
      </c>
      <c r="E79" s="236">
        <f t="shared" si="7"/>
        <v>0</v>
      </c>
      <c r="F79" s="236">
        <f t="shared" si="8"/>
        <v>436.685072</v>
      </c>
      <c r="G79" s="238">
        <f t="shared" si="4"/>
        <v>0.007824775516</v>
      </c>
      <c r="H79" s="240" t="str">
        <f t="shared" si="5"/>
        <v>Science data acquisition and storage</v>
      </c>
      <c r="I79" s="182"/>
      <c r="J79" s="182"/>
      <c r="K79" s="11"/>
      <c r="L79" s="182"/>
      <c r="M79" s="182"/>
      <c r="N79" s="182"/>
      <c r="O79" s="182"/>
      <c r="P79" s="11"/>
      <c r="Q79" s="11"/>
      <c r="R79" s="11"/>
      <c r="S79" s="11"/>
      <c r="T79" s="11"/>
      <c r="U79" s="11"/>
      <c r="V79" s="11"/>
      <c r="W79" s="11"/>
      <c r="X79" s="11"/>
      <c r="Y79" s="11"/>
      <c r="Z79" s="11"/>
      <c r="AA79" s="11"/>
    </row>
    <row r="80" ht="15.75" customHeight="1">
      <c r="A80" s="234">
        <f t="shared" si="6"/>
        <v>228</v>
      </c>
      <c r="B80" s="257" t="str">
        <f t="shared" si="1"/>
        <v>Science A</v>
      </c>
      <c r="C80" s="236">
        <f t="shared" si="2"/>
        <v>8</v>
      </c>
      <c r="D80" s="236">
        <f t="shared" si="3"/>
        <v>32.84956267</v>
      </c>
      <c r="E80" s="236">
        <f t="shared" si="7"/>
        <v>0</v>
      </c>
      <c r="F80" s="236">
        <f t="shared" si="8"/>
        <v>469.5346347</v>
      </c>
      <c r="G80" s="238">
        <f t="shared" si="4"/>
        <v>0.008413392966</v>
      </c>
      <c r="H80" s="240" t="str">
        <f t="shared" si="5"/>
        <v>Science data acquisition and storage</v>
      </c>
      <c r="I80" s="182"/>
      <c r="J80" s="182"/>
      <c r="K80" s="11"/>
      <c r="L80" s="182"/>
      <c r="M80" s="182"/>
      <c r="N80" s="182"/>
      <c r="O80" s="182"/>
      <c r="P80" s="11"/>
      <c r="Q80" s="11"/>
      <c r="R80" s="11"/>
      <c r="S80" s="11"/>
      <c r="T80" s="11"/>
      <c r="U80" s="11"/>
      <c r="V80" s="11"/>
      <c r="W80" s="11"/>
      <c r="X80" s="11"/>
      <c r="Y80" s="11"/>
      <c r="Z80" s="11"/>
      <c r="AA80" s="11"/>
    </row>
    <row r="81" ht="15.75" customHeight="1">
      <c r="A81" s="234">
        <f t="shared" si="6"/>
        <v>232</v>
      </c>
      <c r="B81" s="257" t="str">
        <f t="shared" si="1"/>
        <v>Science A</v>
      </c>
      <c r="C81" s="236">
        <f t="shared" si="2"/>
        <v>8</v>
      </c>
      <c r="D81" s="236">
        <f t="shared" si="3"/>
        <v>32.84956267</v>
      </c>
      <c r="E81" s="236">
        <f t="shared" si="7"/>
        <v>0</v>
      </c>
      <c r="F81" s="236">
        <f t="shared" si="8"/>
        <v>502.3841973</v>
      </c>
      <c r="G81" s="238">
        <f t="shared" si="4"/>
        <v>0.009002010416</v>
      </c>
      <c r="H81" s="240" t="str">
        <f t="shared" si="5"/>
        <v>Science data acquisition and storage</v>
      </c>
      <c r="I81" s="182"/>
      <c r="J81" s="182"/>
      <c r="K81" s="11"/>
      <c r="L81" s="182"/>
      <c r="M81" s="182"/>
      <c r="N81" s="182"/>
      <c r="O81" s="182"/>
      <c r="P81" s="11"/>
      <c r="Q81" s="11"/>
      <c r="R81" s="11"/>
      <c r="S81" s="11"/>
      <c r="T81" s="11"/>
      <c r="U81" s="11"/>
      <c r="V81" s="11"/>
      <c r="W81" s="11"/>
      <c r="X81" s="11"/>
      <c r="Y81" s="11"/>
      <c r="Z81" s="11"/>
      <c r="AA81" s="11"/>
    </row>
    <row r="82" ht="15.75" customHeight="1">
      <c r="A82" s="234">
        <f t="shared" si="6"/>
        <v>236</v>
      </c>
      <c r="B82" s="257" t="str">
        <f t="shared" si="1"/>
        <v>Science A</v>
      </c>
      <c r="C82" s="236">
        <f t="shared" si="2"/>
        <v>8</v>
      </c>
      <c r="D82" s="236">
        <f t="shared" si="3"/>
        <v>32.84956267</v>
      </c>
      <c r="E82" s="236">
        <f t="shared" si="7"/>
        <v>0</v>
      </c>
      <c r="F82" s="236">
        <f t="shared" si="8"/>
        <v>535.23376</v>
      </c>
      <c r="G82" s="238">
        <f t="shared" si="4"/>
        <v>0.009590627867</v>
      </c>
      <c r="H82" s="240" t="str">
        <f t="shared" si="5"/>
        <v>Science data acquisition and storage</v>
      </c>
      <c r="I82" s="182"/>
      <c r="J82" s="182"/>
      <c r="K82" s="11"/>
      <c r="L82" s="182"/>
      <c r="M82" s="182"/>
      <c r="N82" s="182"/>
      <c r="O82" s="182"/>
      <c r="P82" s="11"/>
      <c r="Q82" s="11"/>
      <c r="R82" s="11"/>
      <c r="S82" s="11"/>
      <c r="T82" s="11"/>
      <c r="U82" s="11"/>
      <c r="V82" s="11"/>
      <c r="W82" s="11"/>
      <c r="X82" s="11"/>
      <c r="Y82" s="11"/>
      <c r="Z82" s="11"/>
      <c r="AA82" s="11"/>
    </row>
    <row r="83" ht="15.75" customHeight="1">
      <c r="A83" s="234">
        <f t="shared" si="6"/>
        <v>240</v>
      </c>
      <c r="B83" s="257" t="str">
        <f t="shared" si="1"/>
        <v>Science A</v>
      </c>
      <c r="C83" s="236">
        <f t="shared" si="2"/>
        <v>8</v>
      </c>
      <c r="D83" s="236">
        <f t="shared" si="3"/>
        <v>32.84956267</v>
      </c>
      <c r="E83" s="236">
        <f t="shared" si="7"/>
        <v>0</v>
      </c>
      <c r="F83" s="236">
        <f t="shared" si="8"/>
        <v>568.0833227</v>
      </c>
      <c r="G83" s="238">
        <f t="shared" si="4"/>
        <v>0.01017924532</v>
      </c>
      <c r="H83" s="240" t="str">
        <f t="shared" si="5"/>
        <v>Science data acquisition and storage</v>
      </c>
      <c r="I83" s="182"/>
      <c r="J83" s="182"/>
      <c r="K83" s="11"/>
      <c r="L83" s="182"/>
      <c r="M83" s="182"/>
      <c r="N83" s="182"/>
      <c r="O83" s="182"/>
      <c r="P83" s="11"/>
      <c r="Q83" s="11"/>
      <c r="R83" s="11"/>
      <c r="S83" s="11"/>
      <c r="T83" s="11"/>
      <c r="U83" s="11"/>
      <c r="V83" s="11"/>
      <c r="W83" s="11"/>
      <c r="X83" s="11"/>
      <c r="Y83" s="11"/>
      <c r="Z83" s="11"/>
      <c r="AA83" s="11"/>
    </row>
    <row r="84" ht="15.75" customHeight="1">
      <c r="A84" s="234">
        <f t="shared" si="6"/>
        <v>244</v>
      </c>
      <c r="B84" s="257" t="str">
        <f t="shared" si="1"/>
        <v>Science A</v>
      </c>
      <c r="C84" s="236">
        <f t="shared" si="2"/>
        <v>8</v>
      </c>
      <c r="D84" s="236">
        <f t="shared" si="3"/>
        <v>32.84956267</v>
      </c>
      <c r="E84" s="236">
        <f t="shared" si="7"/>
        <v>0</v>
      </c>
      <c r="F84" s="236">
        <f t="shared" si="8"/>
        <v>600.9328853</v>
      </c>
      <c r="G84" s="238">
        <f t="shared" si="4"/>
        <v>0.01076786277</v>
      </c>
      <c r="H84" s="240" t="str">
        <f t="shared" si="5"/>
        <v>Science data acquisition and storage</v>
      </c>
      <c r="I84" s="182"/>
      <c r="J84" s="182"/>
      <c r="K84" s="11"/>
      <c r="L84" s="182"/>
      <c r="M84" s="182"/>
      <c r="N84" s="182"/>
      <c r="O84" s="182"/>
      <c r="P84" s="11"/>
      <c r="Q84" s="11"/>
      <c r="R84" s="11"/>
      <c r="S84" s="11"/>
      <c r="T84" s="11"/>
      <c r="U84" s="11"/>
      <c r="V84" s="11"/>
      <c r="W84" s="11"/>
      <c r="X84" s="11"/>
      <c r="Y84" s="11"/>
      <c r="Z84" s="11"/>
      <c r="AA84" s="11"/>
    </row>
    <row r="85" ht="15.75" customHeight="1">
      <c r="A85" s="234">
        <f t="shared" si="6"/>
        <v>248</v>
      </c>
      <c r="B85" s="257" t="str">
        <f t="shared" si="1"/>
        <v>Science A</v>
      </c>
      <c r="C85" s="236">
        <f t="shared" si="2"/>
        <v>8</v>
      </c>
      <c r="D85" s="236">
        <f t="shared" si="3"/>
        <v>32.84956267</v>
      </c>
      <c r="E85" s="236">
        <f t="shared" si="7"/>
        <v>0</v>
      </c>
      <c r="F85" s="236">
        <f t="shared" si="8"/>
        <v>633.782448</v>
      </c>
      <c r="G85" s="238">
        <f t="shared" si="4"/>
        <v>0.01135648022</v>
      </c>
      <c r="H85" s="240" t="str">
        <f t="shared" si="5"/>
        <v>Science data acquisition and storage</v>
      </c>
      <c r="I85" s="182"/>
      <c r="J85" s="182"/>
      <c r="K85" s="11"/>
      <c r="L85" s="182"/>
      <c r="M85" s="182"/>
      <c r="N85" s="182"/>
      <c r="O85" s="182"/>
      <c r="P85" s="11"/>
      <c r="Q85" s="11"/>
      <c r="R85" s="11"/>
      <c r="S85" s="11"/>
      <c r="T85" s="11"/>
      <c r="U85" s="11"/>
      <c r="V85" s="11"/>
      <c r="W85" s="11"/>
      <c r="X85" s="11"/>
      <c r="Y85" s="11"/>
      <c r="Z85" s="11"/>
      <c r="AA85" s="11"/>
    </row>
    <row r="86" ht="15.75" customHeight="1">
      <c r="A86" s="234">
        <f t="shared" si="6"/>
        <v>252</v>
      </c>
      <c r="B86" s="257" t="str">
        <f t="shared" si="1"/>
        <v>Science A</v>
      </c>
      <c r="C86" s="236">
        <f t="shared" si="2"/>
        <v>8</v>
      </c>
      <c r="D86" s="236">
        <f t="shared" si="3"/>
        <v>32.84956267</v>
      </c>
      <c r="E86" s="236">
        <f t="shared" si="7"/>
        <v>0</v>
      </c>
      <c r="F86" s="236">
        <f t="shared" si="8"/>
        <v>666.6320106</v>
      </c>
      <c r="G86" s="238">
        <f t="shared" si="4"/>
        <v>0.01194509767</v>
      </c>
      <c r="H86" s="240" t="str">
        <f t="shared" si="5"/>
        <v>Science data acquisition and storage</v>
      </c>
      <c r="I86" s="182"/>
      <c r="J86" s="182"/>
      <c r="K86" s="11"/>
      <c r="L86" s="182"/>
      <c r="M86" s="182"/>
      <c r="N86" s="182"/>
      <c r="O86" s="182"/>
      <c r="P86" s="11"/>
      <c r="Q86" s="11"/>
      <c r="R86" s="11"/>
      <c r="S86" s="11"/>
      <c r="T86" s="11"/>
      <c r="U86" s="11"/>
      <c r="V86" s="11"/>
      <c r="W86" s="11"/>
      <c r="X86" s="11"/>
      <c r="Y86" s="11"/>
      <c r="Z86" s="11"/>
      <c r="AA86" s="11"/>
    </row>
    <row r="87" ht="15.75" customHeight="1">
      <c r="A87" s="234">
        <f t="shared" si="6"/>
        <v>256</v>
      </c>
      <c r="B87" s="257" t="str">
        <f t="shared" si="1"/>
        <v>Science A</v>
      </c>
      <c r="C87" s="236">
        <f t="shared" si="2"/>
        <v>8</v>
      </c>
      <c r="D87" s="236">
        <f t="shared" si="3"/>
        <v>32.84956267</v>
      </c>
      <c r="E87" s="236">
        <f t="shared" si="7"/>
        <v>0</v>
      </c>
      <c r="F87" s="236">
        <f t="shared" si="8"/>
        <v>699.4815733</v>
      </c>
      <c r="G87" s="238">
        <f t="shared" si="4"/>
        <v>0.01253371512</v>
      </c>
      <c r="H87" s="240" t="str">
        <f t="shared" si="5"/>
        <v>Science data acquisition and storage</v>
      </c>
      <c r="I87" s="182"/>
      <c r="J87" s="182"/>
      <c r="K87" s="11"/>
      <c r="L87" s="182"/>
      <c r="M87" s="182"/>
      <c r="N87" s="182"/>
      <c r="O87" s="182"/>
      <c r="P87" s="11"/>
      <c r="Q87" s="11"/>
      <c r="R87" s="11"/>
      <c r="S87" s="11"/>
      <c r="T87" s="11"/>
      <c r="U87" s="11"/>
      <c r="V87" s="11"/>
      <c r="W87" s="11"/>
      <c r="X87" s="11"/>
      <c r="Y87" s="11"/>
      <c r="Z87" s="11"/>
      <c r="AA87" s="11"/>
    </row>
    <row r="88" ht="15.75" customHeight="1">
      <c r="A88" s="234">
        <f t="shared" si="6"/>
        <v>260</v>
      </c>
      <c r="B88" s="257" t="str">
        <f t="shared" si="1"/>
        <v>Science A</v>
      </c>
      <c r="C88" s="236">
        <f t="shared" si="2"/>
        <v>8</v>
      </c>
      <c r="D88" s="236">
        <f t="shared" si="3"/>
        <v>32.84956267</v>
      </c>
      <c r="E88" s="236">
        <f t="shared" si="7"/>
        <v>0</v>
      </c>
      <c r="F88" s="236">
        <f t="shared" si="8"/>
        <v>732.331136</v>
      </c>
      <c r="G88" s="238">
        <f t="shared" si="4"/>
        <v>0.01312233257</v>
      </c>
      <c r="H88" s="240" t="str">
        <f t="shared" si="5"/>
        <v>Science data acquisition and storage</v>
      </c>
      <c r="I88" s="182"/>
      <c r="J88" s="182"/>
      <c r="K88" s="11"/>
      <c r="L88" s="182"/>
      <c r="M88" s="182"/>
      <c r="N88" s="182"/>
      <c r="O88" s="182"/>
      <c r="P88" s="11"/>
      <c r="Q88" s="11"/>
      <c r="R88" s="11"/>
      <c r="S88" s="11"/>
      <c r="T88" s="11"/>
      <c r="U88" s="11"/>
      <c r="V88" s="11"/>
      <c r="W88" s="11"/>
      <c r="X88" s="11"/>
      <c r="Y88" s="11"/>
      <c r="Z88" s="11"/>
      <c r="AA88" s="11"/>
    </row>
    <row r="89" ht="15.75" customHeight="1">
      <c r="A89" s="234">
        <f t="shared" si="6"/>
        <v>264</v>
      </c>
      <c r="B89" s="257" t="str">
        <f t="shared" si="1"/>
        <v>Science A</v>
      </c>
      <c r="C89" s="236">
        <f t="shared" si="2"/>
        <v>8</v>
      </c>
      <c r="D89" s="236">
        <f t="shared" si="3"/>
        <v>32.84956267</v>
      </c>
      <c r="E89" s="236">
        <f t="shared" si="7"/>
        <v>0</v>
      </c>
      <c r="F89" s="236">
        <f t="shared" si="8"/>
        <v>765.1806986</v>
      </c>
      <c r="G89" s="238">
        <f t="shared" si="4"/>
        <v>0.01371095002</v>
      </c>
      <c r="H89" s="240" t="str">
        <f t="shared" si="5"/>
        <v>Science data acquisition and storage</v>
      </c>
      <c r="I89" s="182"/>
      <c r="J89" s="182"/>
      <c r="K89" s="11"/>
      <c r="L89" s="182"/>
      <c r="M89" s="182"/>
      <c r="N89" s="182"/>
      <c r="O89" s="182"/>
      <c r="P89" s="11"/>
      <c r="Q89" s="11"/>
      <c r="R89" s="11"/>
      <c r="S89" s="11"/>
      <c r="T89" s="11"/>
      <c r="U89" s="11"/>
      <c r="V89" s="11"/>
      <c r="W89" s="11"/>
      <c r="X89" s="11"/>
      <c r="Y89" s="11"/>
      <c r="Z89" s="11"/>
      <c r="AA89" s="11"/>
    </row>
    <row r="90" ht="15.75" customHeight="1">
      <c r="A90" s="234">
        <f t="shared" si="6"/>
        <v>268</v>
      </c>
      <c r="B90" s="257" t="str">
        <f t="shared" si="1"/>
        <v>Science A</v>
      </c>
      <c r="C90" s="236">
        <f t="shared" si="2"/>
        <v>8</v>
      </c>
      <c r="D90" s="236">
        <f t="shared" si="3"/>
        <v>32.84956267</v>
      </c>
      <c r="E90" s="236">
        <f t="shared" si="7"/>
        <v>0</v>
      </c>
      <c r="F90" s="236">
        <f t="shared" si="8"/>
        <v>798.0302613</v>
      </c>
      <c r="G90" s="238">
        <f t="shared" si="4"/>
        <v>0.01429956747</v>
      </c>
      <c r="H90" s="240" t="str">
        <f t="shared" si="5"/>
        <v>Science data acquisition and storage</v>
      </c>
      <c r="I90" s="182"/>
      <c r="J90" s="182"/>
      <c r="K90" s="11"/>
      <c r="L90" s="182"/>
      <c r="M90" s="182"/>
      <c r="N90" s="182"/>
      <c r="O90" s="182"/>
      <c r="P90" s="11"/>
      <c r="Q90" s="11"/>
      <c r="R90" s="11"/>
      <c r="S90" s="11"/>
      <c r="T90" s="11"/>
      <c r="U90" s="11"/>
      <c r="V90" s="11"/>
      <c r="W90" s="11"/>
      <c r="X90" s="11"/>
      <c r="Y90" s="11"/>
      <c r="Z90" s="11"/>
      <c r="AA90" s="11"/>
    </row>
    <row r="91" ht="15.75" customHeight="1">
      <c r="A91" s="234">
        <f t="shared" si="6"/>
        <v>272</v>
      </c>
      <c r="B91" s="257" t="str">
        <f t="shared" si="1"/>
        <v>Science A</v>
      </c>
      <c r="C91" s="236">
        <f t="shared" si="2"/>
        <v>8</v>
      </c>
      <c r="D91" s="236">
        <f t="shared" si="3"/>
        <v>32.84956267</v>
      </c>
      <c r="E91" s="236">
        <f t="shared" si="7"/>
        <v>0</v>
      </c>
      <c r="F91" s="236">
        <f t="shared" si="8"/>
        <v>830.879824</v>
      </c>
      <c r="G91" s="238">
        <f t="shared" si="4"/>
        <v>0.01488818492</v>
      </c>
      <c r="H91" s="240" t="str">
        <f t="shared" si="5"/>
        <v>Science data acquisition and storage</v>
      </c>
      <c r="I91" s="182"/>
      <c r="J91" s="182"/>
      <c r="K91" s="11"/>
      <c r="L91" s="182"/>
      <c r="M91" s="182"/>
      <c r="N91" s="182"/>
      <c r="O91" s="182"/>
      <c r="P91" s="11"/>
      <c r="Q91" s="11"/>
      <c r="R91" s="11"/>
      <c r="S91" s="11"/>
      <c r="T91" s="11"/>
      <c r="U91" s="11"/>
      <c r="V91" s="11"/>
      <c r="W91" s="11"/>
      <c r="X91" s="11"/>
      <c r="Y91" s="11"/>
      <c r="Z91" s="11"/>
      <c r="AA91" s="11"/>
    </row>
    <row r="92" ht="15.75" customHeight="1">
      <c r="A92" s="234">
        <f t="shared" si="6"/>
        <v>276</v>
      </c>
      <c r="B92" s="257" t="str">
        <f t="shared" si="1"/>
        <v>Science A</v>
      </c>
      <c r="C92" s="236">
        <f t="shared" si="2"/>
        <v>8</v>
      </c>
      <c r="D92" s="236">
        <f t="shared" si="3"/>
        <v>32.84956267</v>
      </c>
      <c r="E92" s="236">
        <f t="shared" si="7"/>
        <v>0</v>
      </c>
      <c r="F92" s="236">
        <f t="shared" si="8"/>
        <v>863.7293866</v>
      </c>
      <c r="G92" s="238">
        <f t="shared" si="4"/>
        <v>0.01547680237</v>
      </c>
      <c r="H92" s="240" t="str">
        <f t="shared" si="5"/>
        <v>Science data acquisition and storage</v>
      </c>
      <c r="I92" s="182"/>
      <c r="J92" s="182"/>
      <c r="K92" s="11"/>
      <c r="L92" s="182"/>
      <c r="M92" s="182"/>
      <c r="N92" s="182"/>
      <c r="O92" s="182"/>
      <c r="P92" s="11"/>
      <c r="Q92" s="11"/>
      <c r="R92" s="11"/>
      <c r="S92" s="11"/>
      <c r="T92" s="11"/>
      <c r="U92" s="11"/>
      <c r="V92" s="11"/>
      <c r="W92" s="11"/>
      <c r="X92" s="11"/>
      <c r="Y92" s="11"/>
      <c r="Z92" s="11"/>
      <c r="AA92" s="11"/>
    </row>
    <row r="93" ht="15.75" customHeight="1">
      <c r="A93" s="234">
        <f t="shared" si="6"/>
        <v>280</v>
      </c>
      <c r="B93" s="257" t="str">
        <f t="shared" si="1"/>
        <v>Science A</v>
      </c>
      <c r="C93" s="236">
        <f t="shared" si="2"/>
        <v>8</v>
      </c>
      <c r="D93" s="236">
        <f t="shared" si="3"/>
        <v>32.84956267</v>
      </c>
      <c r="E93" s="236">
        <f t="shared" si="7"/>
        <v>0</v>
      </c>
      <c r="F93" s="236">
        <f t="shared" si="8"/>
        <v>896.5789493</v>
      </c>
      <c r="G93" s="238">
        <f t="shared" si="4"/>
        <v>0.01606541982</v>
      </c>
      <c r="H93" s="240" t="str">
        <f t="shared" si="5"/>
        <v>Science data acquisition and storage</v>
      </c>
      <c r="I93" s="182"/>
      <c r="J93" s="182"/>
      <c r="K93" s="11"/>
      <c r="L93" s="182"/>
      <c r="M93" s="182"/>
      <c r="N93" s="182"/>
      <c r="O93" s="182"/>
      <c r="P93" s="11"/>
      <c r="Q93" s="11"/>
      <c r="R93" s="11"/>
      <c r="S93" s="11"/>
      <c r="T93" s="11"/>
      <c r="U93" s="11"/>
      <c r="V93" s="11"/>
      <c r="W93" s="11"/>
      <c r="X93" s="11"/>
      <c r="Y93" s="11"/>
      <c r="Z93" s="11"/>
      <c r="AA93" s="11"/>
    </row>
    <row r="94" ht="15.75" customHeight="1">
      <c r="A94" s="234">
        <f t="shared" si="6"/>
        <v>284</v>
      </c>
      <c r="B94" s="257" t="str">
        <f t="shared" si="1"/>
        <v>Science A</v>
      </c>
      <c r="C94" s="236">
        <f t="shared" si="2"/>
        <v>8</v>
      </c>
      <c r="D94" s="236">
        <f t="shared" si="3"/>
        <v>32.84956267</v>
      </c>
      <c r="E94" s="236">
        <f t="shared" si="7"/>
        <v>0</v>
      </c>
      <c r="F94" s="236">
        <f t="shared" si="8"/>
        <v>929.428512</v>
      </c>
      <c r="G94" s="238">
        <f t="shared" si="4"/>
        <v>0.01665403727</v>
      </c>
      <c r="H94" s="240" t="str">
        <f t="shared" si="5"/>
        <v>Science data acquisition and storage</v>
      </c>
      <c r="I94" s="182"/>
      <c r="J94" s="182"/>
      <c r="K94" s="11"/>
      <c r="L94" s="182"/>
      <c r="M94" s="182"/>
      <c r="N94" s="182"/>
      <c r="O94" s="182"/>
      <c r="P94" s="11"/>
      <c r="Q94" s="11"/>
      <c r="R94" s="11"/>
      <c r="S94" s="11"/>
      <c r="T94" s="11"/>
      <c r="U94" s="11"/>
      <c r="V94" s="11"/>
      <c r="W94" s="11"/>
      <c r="X94" s="11"/>
      <c r="Y94" s="11"/>
      <c r="Z94" s="11"/>
      <c r="AA94" s="11"/>
    </row>
    <row r="95" ht="15.75" customHeight="1">
      <c r="A95" s="234">
        <f t="shared" si="6"/>
        <v>288</v>
      </c>
      <c r="B95" s="257" t="str">
        <f t="shared" si="1"/>
        <v>Science A</v>
      </c>
      <c r="C95" s="236">
        <f t="shared" si="2"/>
        <v>8</v>
      </c>
      <c r="D95" s="236">
        <f t="shared" si="3"/>
        <v>32.84956267</v>
      </c>
      <c r="E95" s="236">
        <f t="shared" si="7"/>
        <v>0</v>
      </c>
      <c r="F95" s="236">
        <f t="shared" si="8"/>
        <v>962.2780746</v>
      </c>
      <c r="G95" s="238">
        <f t="shared" si="4"/>
        <v>0.01724265472</v>
      </c>
      <c r="H95" s="240" t="str">
        <f t="shared" si="5"/>
        <v>Science data acquisition and storage</v>
      </c>
      <c r="I95" s="182"/>
      <c r="J95" s="182"/>
      <c r="K95" s="11"/>
      <c r="L95" s="182"/>
      <c r="M95" s="182"/>
      <c r="N95" s="182"/>
      <c r="O95" s="182"/>
      <c r="P95" s="11"/>
      <c r="Q95" s="11"/>
      <c r="R95" s="11"/>
      <c r="S95" s="11"/>
      <c r="T95" s="11"/>
      <c r="U95" s="11"/>
      <c r="V95" s="11"/>
      <c r="W95" s="11"/>
      <c r="X95" s="11"/>
      <c r="Y95" s="11"/>
      <c r="Z95" s="11"/>
      <c r="AA95" s="11"/>
    </row>
    <row r="96" ht="15.75" customHeight="1">
      <c r="A96" s="234">
        <f t="shared" si="6"/>
        <v>292</v>
      </c>
      <c r="B96" s="257" t="str">
        <f t="shared" si="1"/>
        <v>Science A</v>
      </c>
      <c r="C96" s="236">
        <f t="shared" si="2"/>
        <v>8</v>
      </c>
      <c r="D96" s="236">
        <f t="shared" si="3"/>
        <v>32.84956267</v>
      </c>
      <c r="E96" s="236">
        <f t="shared" si="7"/>
        <v>0</v>
      </c>
      <c r="F96" s="236">
        <f t="shared" si="8"/>
        <v>995.1276373</v>
      </c>
      <c r="G96" s="238">
        <f t="shared" si="4"/>
        <v>0.01783127217</v>
      </c>
      <c r="H96" s="240" t="str">
        <f t="shared" si="5"/>
        <v>Science data acquisition and storage</v>
      </c>
      <c r="I96" s="182"/>
      <c r="J96" s="182"/>
      <c r="K96" s="11"/>
      <c r="L96" s="182"/>
      <c r="M96" s="182"/>
      <c r="N96" s="182"/>
      <c r="O96" s="182"/>
      <c r="P96" s="11"/>
      <c r="Q96" s="11"/>
      <c r="R96" s="11"/>
      <c r="S96" s="11"/>
      <c r="T96" s="11"/>
      <c r="U96" s="11"/>
      <c r="V96" s="11"/>
      <c r="W96" s="11"/>
      <c r="X96" s="11"/>
      <c r="Y96" s="11"/>
      <c r="Z96" s="11"/>
      <c r="AA96" s="11"/>
    </row>
    <row r="97" ht="15.75" customHeight="1">
      <c r="A97" s="234">
        <f t="shared" si="6"/>
        <v>296</v>
      </c>
      <c r="B97" s="257" t="str">
        <f t="shared" si="1"/>
        <v>Science A</v>
      </c>
      <c r="C97" s="236">
        <f t="shared" si="2"/>
        <v>8</v>
      </c>
      <c r="D97" s="236">
        <f t="shared" si="3"/>
        <v>32.84956267</v>
      </c>
      <c r="E97" s="236">
        <f t="shared" si="7"/>
        <v>0</v>
      </c>
      <c r="F97" s="236">
        <f t="shared" si="8"/>
        <v>1027.9772</v>
      </c>
      <c r="G97" s="238">
        <f t="shared" si="4"/>
        <v>0.01841988962</v>
      </c>
      <c r="H97" s="240" t="str">
        <f t="shared" si="5"/>
        <v>Science data acquisition and storage</v>
      </c>
      <c r="I97" s="182"/>
      <c r="J97" s="182"/>
      <c r="K97" s="11"/>
      <c r="L97" s="182"/>
      <c r="M97" s="182"/>
      <c r="N97" s="182"/>
      <c r="O97" s="182"/>
      <c r="P97" s="11"/>
      <c r="Q97" s="11"/>
      <c r="R97" s="11"/>
      <c r="S97" s="11"/>
      <c r="T97" s="11"/>
      <c r="U97" s="11"/>
      <c r="V97" s="11"/>
      <c r="W97" s="11"/>
      <c r="X97" s="11"/>
      <c r="Y97" s="11"/>
      <c r="Z97" s="11"/>
      <c r="AA97" s="11"/>
    </row>
    <row r="98" ht="15.75" customHeight="1">
      <c r="A98" s="234">
        <f t="shared" si="6"/>
        <v>300</v>
      </c>
      <c r="B98" s="255" t="str">
        <f t="shared" si="1"/>
        <v>Downlink</v>
      </c>
      <c r="C98" s="236">
        <f t="shared" si="2"/>
        <v>0</v>
      </c>
      <c r="D98" s="236">
        <f t="shared" si="3"/>
        <v>0.9775626664</v>
      </c>
      <c r="E98" s="236">
        <f t="shared" si="7"/>
        <v>0.75</v>
      </c>
      <c r="F98" s="236">
        <f t="shared" si="8"/>
        <v>1028.204763</v>
      </c>
      <c r="G98" s="238">
        <f t="shared" si="4"/>
        <v>0.01842396722</v>
      </c>
      <c r="H98" s="240" t="str">
        <f t="shared" si="5"/>
        <v>Validated contact; Downlink preempts Science</v>
      </c>
      <c r="I98" s="182"/>
      <c r="J98" s="182"/>
      <c r="K98" s="11"/>
      <c r="L98" s="182"/>
      <c r="M98" s="182"/>
      <c r="N98" s="182"/>
      <c r="O98" s="182"/>
      <c r="P98" s="11"/>
      <c r="Q98" s="11"/>
      <c r="R98" s="11"/>
      <c r="S98" s="11"/>
      <c r="T98" s="11"/>
      <c r="U98" s="11"/>
      <c r="V98" s="11"/>
      <c r="W98" s="11"/>
      <c r="X98" s="11"/>
      <c r="Y98" s="11"/>
      <c r="Z98" s="11"/>
      <c r="AA98" s="11"/>
    </row>
    <row r="99" ht="15.75" customHeight="1">
      <c r="A99" s="234">
        <f t="shared" si="6"/>
        <v>304</v>
      </c>
      <c r="B99" s="255" t="str">
        <f t="shared" si="1"/>
        <v>Downlink</v>
      </c>
      <c r="C99" s="236">
        <f t="shared" si="2"/>
        <v>0</v>
      </c>
      <c r="D99" s="236">
        <f t="shared" si="3"/>
        <v>0.9775626664</v>
      </c>
      <c r="E99" s="236">
        <f t="shared" si="7"/>
        <v>0.75</v>
      </c>
      <c r="F99" s="236">
        <f t="shared" si="8"/>
        <v>1028.432325</v>
      </c>
      <c r="G99" s="238">
        <f t="shared" si="4"/>
        <v>0.01842804482</v>
      </c>
      <c r="H99" s="240" t="str">
        <f t="shared" si="5"/>
        <v>Validated contact; Downlink preempts Science</v>
      </c>
      <c r="I99" s="182"/>
      <c r="J99" s="182"/>
      <c r="K99" s="11"/>
      <c r="L99" s="182"/>
      <c r="M99" s="182"/>
      <c r="N99" s="182"/>
      <c r="O99" s="182"/>
      <c r="P99" s="11"/>
      <c r="Q99" s="11"/>
      <c r="R99" s="11"/>
      <c r="S99" s="11"/>
      <c r="T99" s="11"/>
      <c r="U99" s="11"/>
      <c r="V99" s="11"/>
      <c r="W99" s="11"/>
      <c r="X99" s="11"/>
      <c r="Y99" s="11"/>
      <c r="Z99" s="11"/>
      <c r="AA99" s="11"/>
    </row>
    <row r="100" ht="15.75" customHeight="1">
      <c r="A100" s="234">
        <f t="shared" si="6"/>
        <v>308</v>
      </c>
      <c r="B100" s="243" t="str">
        <f t="shared" si="1"/>
        <v>Charge</v>
      </c>
      <c r="C100" s="236">
        <f t="shared" si="2"/>
        <v>0</v>
      </c>
      <c r="D100" s="236">
        <f t="shared" si="3"/>
        <v>0.9775626664</v>
      </c>
      <c r="E100" s="236">
        <f t="shared" si="7"/>
        <v>0</v>
      </c>
      <c r="F100" s="236">
        <f t="shared" si="8"/>
        <v>1029.409888</v>
      </c>
      <c r="G100" s="238">
        <f t="shared" si="4"/>
        <v>0.01844556135</v>
      </c>
      <c r="H100" s="240" t="str">
        <f t="shared" si="5"/>
        <v>Default standby Charge</v>
      </c>
      <c r="I100" s="182"/>
      <c r="J100" s="182"/>
      <c r="K100" s="11"/>
      <c r="L100" s="182"/>
      <c r="M100" s="182"/>
      <c r="N100" s="182"/>
      <c r="O100" s="182"/>
      <c r="P100" s="11"/>
      <c r="Q100" s="11"/>
      <c r="R100" s="11"/>
      <c r="S100" s="11"/>
      <c r="T100" s="11"/>
      <c r="U100" s="11"/>
      <c r="V100" s="11"/>
      <c r="W100" s="11"/>
      <c r="X100" s="11"/>
      <c r="Y100" s="11"/>
      <c r="Z100" s="11"/>
      <c r="AA100" s="11"/>
    </row>
    <row r="101" ht="15.75" customHeight="1">
      <c r="A101" s="234">
        <f t="shared" si="6"/>
        <v>312</v>
      </c>
      <c r="B101" s="243" t="str">
        <f t="shared" si="1"/>
        <v>Charge</v>
      </c>
      <c r="C101" s="236">
        <f t="shared" si="2"/>
        <v>0</v>
      </c>
      <c r="D101" s="236">
        <f t="shared" si="3"/>
        <v>0.9775626664</v>
      </c>
      <c r="E101" s="236">
        <f t="shared" si="7"/>
        <v>0</v>
      </c>
      <c r="F101" s="236">
        <f t="shared" si="8"/>
        <v>1030.387451</v>
      </c>
      <c r="G101" s="238">
        <f t="shared" si="4"/>
        <v>0.01846307789</v>
      </c>
      <c r="H101" s="240" t="str">
        <f t="shared" si="5"/>
        <v>Default standby Charge</v>
      </c>
      <c r="I101" s="182"/>
      <c r="J101" s="182"/>
      <c r="K101" s="11"/>
      <c r="L101" s="182"/>
      <c r="M101" s="182"/>
      <c r="N101" s="182"/>
      <c r="O101" s="182"/>
      <c r="P101" s="11"/>
      <c r="Q101" s="11"/>
      <c r="R101" s="11"/>
      <c r="S101" s="11"/>
      <c r="T101" s="11"/>
      <c r="U101" s="11"/>
      <c r="V101" s="11"/>
      <c r="W101" s="11"/>
      <c r="X101" s="11"/>
      <c r="Y101" s="11"/>
      <c r="Z101" s="11"/>
      <c r="AA101" s="11"/>
    </row>
    <row r="102" ht="15.75" customHeight="1">
      <c r="A102" s="234">
        <f t="shared" si="6"/>
        <v>316</v>
      </c>
      <c r="B102" s="243" t="str">
        <f t="shared" si="1"/>
        <v>Charge</v>
      </c>
      <c r="C102" s="236">
        <f t="shared" si="2"/>
        <v>0</v>
      </c>
      <c r="D102" s="236">
        <f t="shared" si="3"/>
        <v>0.9775626664</v>
      </c>
      <c r="E102" s="236">
        <f t="shared" si="7"/>
        <v>0</v>
      </c>
      <c r="F102" s="236">
        <f t="shared" si="8"/>
        <v>1031.365013</v>
      </c>
      <c r="G102" s="238">
        <f t="shared" si="4"/>
        <v>0.01848059442</v>
      </c>
      <c r="H102" s="240" t="str">
        <f t="shared" si="5"/>
        <v>Default standby Charge</v>
      </c>
      <c r="I102" s="182"/>
      <c r="J102" s="182"/>
      <c r="K102" s="11"/>
      <c r="L102" s="182"/>
      <c r="M102" s="182"/>
      <c r="N102" s="182"/>
      <c r="O102" s="182"/>
      <c r="P102" s="11"/>
      <c r="Q102" s="11"/>
      <c r="R102" s="11"/>
      <c r="S102" s="11"/>
      <c r="T102" s="11"/>
      <c r="U102" s="11"/>
      <c r="V102" s="11"/>
      <c r="W102" s="11"/>
      <c r="X102" s="11"/>
      <c r="Y102" s="11"/>
      <c r="Z102" s="11"/>
      <c r="AA102" s="11"/>
    </row>
    <row r="103" ht="15.75" customHeight="1">
      <c r="A103" s="234">
        <f t="shared" si="6"/>
        <v>320</v>
      </c>
      <c r="B103" s="243" t="str">
        <f t="shared" si="1"/>
        <v>Charge</v>
      </c>
      <c r="C103" s="236">
        <f t="shared" si="2"/>
        <v>0</v>
      </c>
      <c r="D103" s="236">
        <f t="shared" si="3"/>
        <v>0.9775626664</v>
      </c>
      <c r="E103" s="236">
        <f t="shared" si="7"/>
        <v>0</v>
      </c>
      <c r="F103" s="236">
        <f t="shared" si="8"/>
        <v>1032.342576</v>
      </c>
      <c r="G103" s="238">
        <f t="shared" si="4"/>
        <v>0.01849811095</v>
      </c>
      <c r="H103" s="240" t="str">
        <f t="shared" si="5"/>
        <v>Default standby Charge</v>
      </c>
      <c r="I103" s="182"/>
      <c r="J103" s="182"/>
      <c r="K103" s="11"/>
      <c r="L103" s="182"/>
      <c r="M103" s="182"/>
      <c r="N103" s="182"/>
      <c r="O103" s="182"/>
      <c r="P103" s="11"/>
      <c r="Q103" s="11"/>
      <c r="R103" s="11"/>
      <c r="S103" s="11"/>
      <c r="T103" s="11"/>
      <c r="U103" s="11"/>
      <c r="V103" s="11"/>
      <c r="W103" s="11"/>
      <c r="X103" s="11"/>
      <c r="Y103" s="11"/>
      <c r="Z103" s="11"/>
      <c r="AA103" s="11"/>
    </row>
    <row r="104" ht="15.75" customHeight="1">
      <c r="A104" s="234">
        <f t="shared" si="6"/>
        <v>324</v>
      </c>
      <c r="B104" s="243" t="str">
        <f t="shared" si="1"/>
        <v>Charge</v>
      </c>
      <c r="C104" s="236">
        <f t="shared" si="2"/>
        <v>0</v>
      </c>
      <c r="D104" s="236">
        <f t="shared" si="3"/>
        <v>0.9775626664</v>
      </c>
      <c r="E104" s="236">
        <f t="shared" si="7"/>
        <v>0</v>
      </c>
      <c r="F104" s="236">
        <f t="shared" si="8"/>
        <v>1033.320139</v>
      </c>
      <c r="G104" s="238">
        <f t="shared" si="4"/>
        <v>0.01851562748</v>
      </c>
      <c r="H104" s="240" t="str">
        <f t="shared" si="5"/>
        <v>Default standby Charge</v>
      </c>
      <c r="I104" s="182"/>
      <c r="J104" s="182"/>
      <c r="K104" s="11"/>
      <c r="L104" s="182"/>
      <c r="M104" s="182"/>
      <c r="N104" s="182"/>
      <c r="O104" s="182"/>
      <c r="P104" s="11"/>
      <c r="Q104" s="11"/>
      <c r="R104" s="11"/>
      <c r="S104" s="11"/>
      <c r="T104" s="11"/>
      <c r="U104" s="11"/>
      <c r="V104" s="11"/>
      <c r="W104" s="11"/>
      <c r="X104" s="11"/>
      <c r="Y104" s="11"/>
      <c r="Z104" s="11"/>
      <c r="AA104" s="11"/>
    </row>
    <row r="105" ht="15.75" customHeight="1">
      <c r="A105" s="234">
        <f t="shared" si="6"/>
        <v>328</v>
      </c>
      <c r="B105" s="243" t="str">
        <f t="shared" si="1"/>
        <v>Charge</v>
      </c>
      <c r="C105" s="236">
        <f t="shared" si="2"/>
        <v>0</v>
      </c>
      <c r="D105" s="236">
        <f t="shared" si="3"/>
        <v>0.9775626664</v>
      </c>
      <c r="E105" s="236">
        <f t="shared" si="7"/>
        <v>0</v>
      </c>
      <c r="F105" s="236">
        <f t="shared" si="8"/>
        <v>1034.297701</v>
      </c>
      <c r="G105" s="238">
        <f t="shared" si="4"/>
        <v>0.01853314402</v>
      </c>
      <c r="H105" s="240" t="str">
        <f t="shared" si="5"/>
        <v>Default standby Charge</v>
      </c>
      <c r="I105" s="182"/>
      <c r="J105" s="182"/>
      <c r="K105" s="11"/>
      <c r="L105" s="182"/>
      <c r="M105" s="182"/>
      <c r="N105" s="182"/>
      <c r="O105" s="182"/>
      <c r="P105" s="11"/>
      <c r="Q105" s="11"/>
      <c r="R105" s="11"/>
      <c r="S105" s="11"/>
      <c r="T105" s="11"/>
      <c r="U105" s="11"/>
      <c r="V105" s="11"/>
      <c r="W105" s="11"/>
      <c r="X105" s="11"/>
      <c r="Y105" s="11"/>
      <c r="Z105" s="11"/>
      <c r="AA105" s="11"/>
    </row>
    <row r="106" ht="15.75" customHeight="1">
      <c r="A106" s="234">
        <f t="shared" si="6"/>
        <v>332</v>
      </c>
      <c r="B106" s="243" t="str">
        <f t="shared" si="1"/>
        <v>Charge</v>
      </c>
      <c r="C106" s="236">
        <f t="shared" si="2"/>
        <v>0</v>
      </c>
      <c r="D106" s="236">
        <f t="shared" si="3"/>
        <v>0.9775626664</v>
      </c>
      <c r="E106" s="236">
        <f t="shared" si="7"/>
        <v>0</v>
      </c>
      <c r="F106" s="236">
        <f t="shared" si="8"/>
        <v>1035.275264</v>
      </c>
      <c r="G106" s="238">
        <f t="shared" si="4"/>
        <v>0.01855066055</v>
      </c>
      <c r="H106" s="240" t="str">
        <f t="shared" si="5"/>
        <v>Default standby Charge</v>
      </c>
      <c r="I106" s="182"/>
      <c r="J106" s="182"/>
      <c r="K106" s="11"/>
      <c r="L106" s="182"/>
      <c r="M106" s="182"/>
      <c r="N106" s="182"/>
      <c r="O106" s="182"/>
      <c r="P106" s="11"/>
      <c r="Q106" s="11"/>
      <c r="R106" s="11"/>
      <c r="S106" s="11"/>
      <c r="T106" s="11"/>
      <c r="U106" s="11"/>
      <c r="V106" s="11"/>
      <c r="W106" s="11"/>
      <c r="X106" s="11"/>
      <c r="Y106" s="11"/>
      <c r="Z106" s="11"/>
      <c r="AA106" s="11"/>
    </row>
    <row r="107" ht="15.75" customHeight="1">
      <c r="A107" s="234">
        <f t="shared" si="6"/>
        <v>336</v>
      </c>
      <c r="B107" s="243" t="str">
        <f t="shared" si="1"/>
        <v>Charge</v>
      </c>
      <c r="C107" s="236">
        <f t="shared" si="2"/>
        <v>0</v>
      </c>
      <c r="D107" s="236">
        <f t="shared" si="3"/>
        <v>0.9775626664</v>
      </c>
      <c r="E107" s="236">
        <f t="shared" si="7"/>
        <v>0</v>
      </c>
      <c r="F107" s="236">
        <f t="shared" si="8"/>
        <v>1036.252827</v>
      </c>
      <c r="G107" s="238">
        <f t="shared" si="4"/>
        <v>0.01856817708</v>
      </c>
      <c r="H107" s="240" t="str">
        <f t="shared" si="5"/>
        <v>Default standby Charge</v>
      </c>
      <c r="I107" s="182"/>
      <c r="J107" s="182"/>
      <c r="K107" s="11"/>
      <c r="L107" s="182"/>
      <c r="M107" s="182"/>
      <c r="N107" s="182"/>
      <c r="O107" s="182"/>
      <c r="P107" s="11"/>
      <c r="Q107" s="11"/>
      <c r="R107" s="11"/>
      <c r="S107" s="11"/>
      <c r="T107" s="11"/>
      <c r="U107" s="11"/>
      <c r="V107" s="11"/>
      <c r="W107" s="11"/>
      <c r="X107" s="11"/>
      <c r="Y107" s="11"/>
      <c r="Z107" s="11"/>
      <c r="AA107" s="11"/>
    </row>
    <row r="108" ht="15.75" customHeight="1">
      <c r="A108" s="234">
        <f t="shared" si="6"/>
        <v>340</v>
      </c>
      <c r="B108" s="243" t="str">
        <f t="shared" si="1"/>
        <v>Charge</v>
      </c>
      <c r="C108" s="236">
        <f t="shared" si="2"/>
        <v>0</v>
      </c>
      <c r="D108" s="236">
        <f t="shared" si="3"/>
        <v>0.9775626664</v>
      </c>
      <c r="E108" s="236">
        <f t="shared" si="7"/>
        <v>0</v>
      </c>
      <c r="F108" s="236">
        <f t="shared" si="8"/>
        <v>1037.230389</v>
      </c>
      <c r="G108" s="238">
        <f t="shared" si="4"/>
        <v>0.01858569362</v>
      </c>
      <c r="H108" s="240" t="str">
        <f t="shared" si="5"/>
        <v>Default standby Charge</v>
      </c>
      <c r="I108" s="182"/>
      <c r="J108" s="182"/>
      <c r="K108" s="11"/>
      <c r="L108" s="182"/>
      <c r="M108" s="182"/>
      <c r="N108" s="182"/>
      <c r="O108" s="182"/>
      <c r="P108" s="11"/>
      <c r="Q108" s="11"/>
      <c r="R108" s="11"/>
      <c r="S108" s="11"/>
      <c r="T108" s="11"/>
      <c r="U108" s="11"/>
      <c r="V108" s="11"/>
      <c r="W108" s="11"/>
      <c r="X108" s="11"/>
      <c r="Y108" s="11"/>
      <c r="Z108" s="11"/>
      <c r="AA108" s="11"/>
    </row>
    <row r="109" ht="15.75" customHeight="1">
      <c r="A109" s="234">
        <f t="shared" si="6"/>
        <v>344</v>
      </c>
      <c r="B109" s="243" t="str">
        <f t="shared" si="1"/>
        <v>Charge</v>
      </c>
      <c r="C109" s="236">
        <f t="shared" si="2"/>
        <v>0</v>
      </c>
      <c r="D109" s="236">
        <f t="shared" si="3"/>
        <v>0.9775626664</v>
      </c>
      <c r="E109" s="236">
        <f t="shared" si="7"/>
        <v>0</v>
      </c>
      <c r="F109" s="236">
        <f t="shared" si="8"/>
        <v>1038.207952</v>
      </c>
      <c r="G109" s="238">
        <f t="shared" si="4"/>
        <v>0.01860321015</v>
      </c>
      <c r="H109" s="240" t="str">
        <f t="shared" si="5"/>
        <v>Default standby Charge</v>
      </c>
      <c r="I109" s="182"/>
      <c r="J109" s="182"/>
      <c r="K109" s="11"/>
      <c r="L109" s="182"/>
      <c r="M109" s="182"/>
      <c r="N109" s="182"/>
      <c r="O109" s="182"/>
      <c r="P109" s="11"/>
      <c r="Q109" s="11"/>
      <c r="R109" s="11"/>
      <c r="S109" s="11"/>
      <c r="T109" s="11"/>
      <c r="U109" s="11"/>
      <c r="V109" s="11"/>
      <c r="W109" s="11"/>
      <c r="X109" s="11"/>
      <c r="Y109" s="11"/>
      <c r="Z109" s="11"/>
      <c r="AA109" s="11"/>
    </row>
    <row r="110" ht="15.75" customHeight="1">
      <c r="A110" s="234">
        <f t="shared" si="6"/>
        <v>348</v>
      </c>
      <c r="B110" s="243" t="str">
        <f t="shared" si="1"/>
        <v>Charge</v>
      </c>
      <c r="C110" s="236">
        <f t="shared" si="2"/>
        <v>0</v>
      </c>
      <c r="D110" s="236">
        <f t="shared" si="3"/>
        <v>0.9775626664</v>
      </c>
      <c r="E110" s="236">
        <f t="shared" si="7"/>
        <v>0</v>
      </c>
      <c r="F110" s="236">
        <f t="shared" si="8"/>
        <v>1039.185515</v>
      </c>
      <c r="G110" s="238">
        <f t="shared" si="4"/>
        <v>0.01862072668</v>
      </c>
      <c r="H110" s="240" t="str">
        <f t="shared" si="5"/>
        <v>Default standby Charge</v>
      </c>
      <c r="I110" s="182"/>
      <c r="J110" s="182"/>
      <c r="K110" s="11"/>
      <c r="L110" s="182"/>
      <c r="M110" s="182"/>
      <c r="N110" s="182"/>
      <c r="O110" s="182"/>
      <c r="P110" s="11"/>
      <c r="Q110" s="11"/>
      <c r="R110" s="11"/>
      <c r="S110" s="11"/>
      <c r="T110" s="11"/>
      <c r="U110" s="11"/>
      <c r="V110" s="11"/>
      <c r="W110" s="11"/>
      <c r="X110" s="11"/>
      <c r="Y110" s="11"/>
      <c r="Z110" s="11"/>
      <c r="AA110" s="11"/>
    </row>
    <row r="111" ht="15.75" customHeight="1">
      <c r="A111" s="234">
        <f t="shared" si="6"/>
        <v>352</v>
      </c>
      <c r="B111" s="243" t="str">
        <f t="shared" si="1"/>
        <v>Charge</v>
      </c>
      <c r="C111" s="236">
        <f t="shared" si="2"/>
        <v>0</v>
      </c>
      <c r="D111" s="236">
        <f t="shared" si="3"/>
        <v>0.9775626664</v>
      </c>
      <c r="E111" s="236">
        <f t="shared" si="7"/>
        <v>0</v>
      </c>
      <c r="F111" s="236">
        <f t="shared" si="8"/>
        <v>1040.163077</v>
      </c>
      <c r="G111" s="238">
        <f t="shared" si="4"/>
        <v>0.01863824321</v>
      </c>
      <c r="H111" s="240" t="str">
        <f t="shared" si="5"/>
        <v>Default standby Charge</v>
      </c>
      <c r="I111" s="182"/>
      <c r="J111" s="182"/>
      <c r="K111" s="11"/>
      <c r="L111" s="182"/>
      <c r="M111" s="182"/>
      <c r="N111" s="182"/>
      <c r="O111" s="182"/>
      <c r="P111" s="11"/>
      <c r="Q111" s="11"/>
      <c r="R111" s="11"/>
      <c r="S111" s="11"/>
      <c r="T111" s="11"/>
      <c r="U111" s="11"/>
      <c r="V111" s="11"/>
      <c r="W111" s="11"/>
      <c r="X111" s="11"/>
      <c r="Y111" s="11"/>
      <c r="Z111" s="11"/>
      <c r="AA111" s="11"/>
    </row>
    <row r="112" ht="15.75" customHeight="1">
      <c r="A112" s="234">
        <f t="shared" si="6"/>
        <v>356</v>
      </c>
      <c r="B112" s="243" t="str">
        <f t="shared" si="1"/>
        <v>Charge</v>
      </c>
      <c r="C112" s="236">
        <f t="shared" si="2"/>
        <v>0</v>
      </c>
      <c r="D112" s="236">
        <f t="shared" si="3"/>
        <v>0.9775626664</v>
      </c>
      <c r="E112" s="236">
        <f t="shared" si="7"/>
        <v>0</v>
      </c>
      <c r="F112" s="236">
        <f t="shared" si="8"/>
        <v>1041.14064</v>
      </c>
      <c r="G112" s="238">
        <f t="shared" si="4"/>
        <v>0.01865575975</v>
      </c>
      <c r="H112" s="240" t="str">
        <f t="shared" si="5"/>
        <v>Default standby Charge</v>
      </c>
      <c r="I112" s="182"/>
      <c r="J112" s="182"/>
      <c r="K112" s="11"/>
      <c r="L112" s="182"/>
      <c r="M112" s="182"/>
      <c r="N112" s="182"/>
      <c r="O112" s="182"/>
      <c r="P112" s="11"/>
      <c r="Q112" s="11"/>
      <c r="R112" s="11"/>
      <c r="S112" s="11"/>
      <c r="T112" s="11"/>
      <c r="U112" s="11"/>
      <c r="V112" s="11"/>
      <c r="W112" s="11"/>
      <c r="X112" s="11"/>
      <c r="Y112" s="11"/>
      <c r="Z112" s="11"/>
      <c r="AA112" s="11"/>
    </row>
    <row r="113" ht="15.75" customHeight="1">
      <c r="A113" s="234">
        <f t="shared" si="6"/>
        <v>360</v>
      </c>
      <c r="B113" s="243" t="str">
        <f t="shared" si="1"/>
        <v>Charge</v>
      </c>
      <c r="C113" s="236">
        <f t="shared" si="2"/>
        <v>0</v>
      </c>
      <c r="D113" s="236">
        <f t="shared" si="3"/>
        <v>0.9775626664</v>
      </c>
      <c r="E113" s="236">
        <f t="shared" si="7"/>
        <v>0</v>
      </c>
      <c r="F113" s="236">
        <f t="shared" si="8"/>
        <v>1042.118203</v>
      </c>
      <c r="G113" s="238">
        <f t="shared" si="4"/>
        <v>0.01867327628</v>
      </c>
      <c r="H113" s="240" t="str">
        <f t="shared" si="5"/>
        <v>Default standby Charge</v>
      </c>
      <c r="I113" s="182"/>
      <c r="J113" s="182"/>
      <c r="K113" s="11"/>
      <c r="L113" s="182"/>
      <c r="M113" s="182"/>
      <c r="N113" s="182"/>
      <c r="O113" s="182"/>
      <c r="P113" s="11"/>
      <c r="Q113" s="11"/>
      <c r="R113" s="11"/>
      <c r="S113" s="11"/>
      <c r="T113" s="11"/>
      <c r="U113" s="11"/>
      <c r="V113" s="11"/>
      <c r="W113" s="11"/>
      <c r="X113" s="11"/>
      <c r="Y113" s="11"/>
      <c r="Z113" s="11"/>
      <c r="AA113" s="11"/>
    </row>
    <row r="114" ht="15.75" customHeight="1">
      <c r="A114" s="234">
        <f t="shared" si="6"/>
        <v>364</v>
      </c>
      <c r="B114" s="243" t="str">
        <f t="shared" si="1"/>
        <v>Charge</v>
      </c>
      <c r="C114" s="236">
        <f t="shared" si="2"/>
        <v>0</v>
      </c>
      <c r="D114" s="236">
        <f t="shared" si="3"/>
        <v>0.9775626664</v>
      </c>
      <c r="E114" s="236">
        <f t="shared" si="7"/>
        <v>0</v>
      </c>
      <c r="F114" s="236">
        <f t="shared" si="8"/>
        <v>1043.095765</v>
      </c>
      <c r="G114" s="238">
        <f t="shared" si="4"/>
        <v>0.01869079281</v>
      </c>
      <c r="H114" s="240" t="str">
        <f t="shared" si="5"/>
        <v>Default standby Charge</v>
      </c>
      <c r="I114" s="182"/>
      <c r="J114" s="182"/>
      <c r="K114" s="11"/>
      <c r="L114" s="182"/>
      <c r="M114" s="182"/>
      <c r="N114" s="182"/>
      <c r="O114" s="182"/>
      <c r="P114" s="11"/>
      <c r="Q114" s="11"/>
      <c r="R114" s="11"/>
      <c r="S114" s="11"/>
      <c r="T114" s="11"/>
      <c r="U114" s="11"/>
      <c r="V114" s="11"/>
      <c r="W114" s="11"/>
      <c r="X114" s="11"/>
      <c r="Y114" s="11"/>
      <c r="Z114" s="11"/>
      <c r="AA114" s="11"/>
    </row>
    <row r="115" ht="15.75" customHeight="1">
      <c r="A115" s="234">
        <f t="shared" si="6"/>
        <v>368</v>
      </c>
      <c r="B115" s="243" t="str">
        <f t="shared" si="1"/>
        <v>Charge</v>
      </c>
      <c r="C115" s="236">
        <f t="shared" si="2"/>
        <v>0</v>
      </c>
      <c r="D115" s="236">
        <f t="shared" si="3"/>
        <v>0.9775626664</v>
      </c>
      <c r="E115" s="236">
        <f t="shared" si="7"/>
        <v>0</v>
      </c>
      <c r="F115" s="236">
        <f t="shared" si="8"/>
        <v>1044.073328</v>
      </c>
      <c r="G115" s="238">
        <f t="shared" si="4"/>
        <v>0.01870830935</v>
      </c>
      <c r="H115" s="240" t="str">
        <f t="shared" si="5"/>
        <v>Default standby Charge</v>
      </c>
      <c r="I115" s="182"/>
      <c r="J115" s="182"/>
      <c r="K115" s="11"/>
      <c r="L115" s="182"/>
      <c r="M115" s="182"/>
      <c r="N115" s="182"/>
      <c r="O115" s="182"/>
      <c r="P115" s="11"/>
      <c r="Q115" s="11"/>
      <c r="R115" s="11"/>
      <c r="S115" s="11"/>
      <c r="T115" s="11"/>
      <c r="U115" s="11"/>
      <c r="V115" s="11"/>
      <c r="W115" s="11"/>
      <c r="X115" s="11"/>
      <c r="Y115" s="11"/>
      <c r="Z115" s="11"/>
      <c r="AA115" s="11"/>
    </row>
    <row r="116" ht="15.75" customHeight="1">
      <c r="A116" s="234">
        <f t="shared" si="6"/>
        <v>372</v>
      </c>
      <c r="B116" s="243" t="str">
        <f t="shared" si="1"/>
        <v>Charge</v>
      </c>
      <c r="C116" s="236">
        <f t="shared" si="2"/>
        <v>0</v>
      </c>
      <c r="D116" s="236">
        <f t="shared" si="3"/>
        <v>0.9775626664</v>
      </c>
      <c r="E116" s="236">
        <f t="shared" si="7"/>
        <v>0</v>
      </c>
      <c r="F116" s="236">
        <f t="shared" si="8"/>
        <v>1045.050891</v>
      </c>
      <c r="G116" s="238">
        <f t="shared" si="4"/>
        <v>0.01872582588</v>
      </c>
      <c r="H116" s="240" t="str">
        <f t="shared" si="5"/>
        <v>Default standby Charge</v>
      </c>
      <c r="I116" s="182"/>
      <c r="J116" s="182"/>
      <c r="K116" s="11"/>
      <c r="L116" s="182"/>
      <c r="M116" s="182"/>
      <c r="N116" s="182"/>
      <c r="O116" s="182"/>
      <c r="P116" s="11"/>
      <c r="Q116" s="11"/>
      <c r="R116" s="11"/>
      <c r="S116" s="11"/>
      <c r="T116" s="11"/>
      <c r="U116" s="11"/>
      <c r="V116" s="11"/>
      <c r="W116" s="11"/>
      <c r="X116" s="11"/>
      <c r="Y116" s="11"/>
      <c r="Z116" s="11"/>
      <c r="AA116" s="11"/>
    </row>
    <row r="117" ht="15.75" customHeight="1">
      <c r="A117" s="234">
        <f t="shared" si="6"/>
        <v>376</v>
      </c>
      <c r="B117" s="243" t="str">
        <f t="shared" si="1"/>
        <v>Charge</v>
      </c>
      <c r="C117" s="236">
        <f t="shared" si="2"/>
        <v>0</v>
      </c>
      <c r="D117" s="236">
        <f t="shared" si="3"/>
        <v>0.9775626664</v>
      </c>
      <c r="E117" s="236">
        <f t="shared" si="7"/>
        <v>0</v>
      </c>
      <c r="F117" s="236">
        <f t="shared" si="8"/>
        <v>1046.028453</v>
      </c>
      <c r="G117" s="238">
        <f t="shared" si="4"/>
        <v>0.01874334241</v>
      </c>
      <c r="H117" s="240" t="str">
        <f t="shared" si="5"/>
        <v>Default standby Charge</v>
      </c>
      <c r="I117" s="182"/>
      <c r="J117" s="182"/>
      <c r="K117" s="11"/>
      <c r="L117" s="182"/>
      <c r="M117" s="182"/>
      <c r="N117" s="182"/>
      <c r="O117" s="182"/>
      <c r="P117" s="11"/>
      <c r="Q117" s="11"/>
      <c r="R117" s="11"/>
      <c r="S117" s="11"/>
      <c r="T117" s="11"/>
      <c r="U117" s="11"/>
      <c r="V117" s="11"/>
      <c r="W117" s="11"/>
      <c r="X117" s="11"/>
      <c r="Y117" s="11"/>
      <c r="Z117" s="11"/>
      <c r="AA117" s="11"/>
    </row>
    <row r="118" ht="15.75" customHeight="1">
      <c r="A118" s="234">
        <f t="shared" si="6"/>
        <v>380</v>
      </c>
      <c r="B118" s="243" t="str">
        <f t="shared" si="1"/>
        <v>Charge</v>
      </c>
      <c r="C118" s="236">
        <f t="shared" si="2"/>
        <v>0</v>
      </c>
      <c r="D118" s="236">
        <f t="shared" si="3"/>
        <v>0.9775626664</v>
      </c>
      <c r="E118" s="236">
        <f t="shared" si="7"/>
        <v>0</v>
      </c>
      <c r="F118" s="236">
        <f t="shared" si="8"/>
        <v>1047.006016</v>
      </c>
      <c r="G118" s="238">
        <f t="shared" si="4"/>
        <v>0.01876085894</v>
      </c>
      <c r="H118" s="240" t="str">
        <f t="shared" si="5"/>
        <v>Default standby Charge</v>
      </c>
      <c r="I118" s="182"/>
      <c r="J118" s="182"/>
      <c r="K118" s="11"/>
      <c r="L118" s="182"/>
      <c r="M118" s="182"/>
      <c r="N118" s="182"/>
      <c r="O118" s="182"/>
      <c r="P118" s="11"/>
      <c r="Q118" s="11"/>
      <c r="R118" s="11"/>
      <c r="S118" s="11"/>
      <c r="T118" s="11"/>
      <c r="U118" s="11"/>
      <c r="V118" s="11"/>
      <c r="W118" s="11"/>
      <c r="X118" s="11"/>
      <c r="Y118" s="11"/>
      <c r="Z118" s="11"/>
      <c r="AA118" s="11"/>
    </row>
    <row r="119" ht="15.75" customHeight="1">
      <c r="A119" s="234">
        <f t="shared" si="6"/>
        <v>384</v>
      </c>
      <c r="B119" s="243" t="str">
        <f t="shared" si="1"/>
        <v>Charge</v>
      </c>
      <c r="C119" s="236">
        <f t="shared" si="2"/>
        <v>0</v>
      </c>
      <c r="D119" s="236">
        <f t="shared" si="3"/>
        <v>0.9775626664</v>
      </c>
      <c r="E119" s="236">
        <f t="shared" si="7"/>
        <v>0</v>
      </c>
      <c r="F119" s="236">
        <f t="shared" si="8"/>
        <v>1047.983579</v>
      </c>
      <c r="G119" s="238">
        <f t="shared" si="4"/>
        <v>0.01877837548</v>
      </c>
      <c r="H119" s="240" t="str">
        <f t="shared" si="5"/>
        <v>Default standby Charge</v>
      </c>
      <c r="I119" s="182"/>
      <c r="J119" s="182"/>
      <c r="K119" s="11"/>
      <c r="L119" s="182"/>
      <c r="M119" s="182"/>
      <c r="N119" s="182"/>
      <c r="O119" s="182"/>
      <c r="P119" s="11"/>
      <c r="Q119" s="11"/>
      <c r="R119" s="11"/>
      <c r="S119" s="11"/>
      <c r="T119" s="11"/>
      <c r="U119" s="11"/>
      <c r="V119" s="11"/>
      <c r="W119" s="11"/>
      <c r="X119" s="11"/>
      <c r="Y119" s="11"/>
      <c r="Z119" s="11"/>
      <c r="AA119" s="11"/>
    </row>
    <row r="120" ht="15.75" customHeight="1">
      <c r="A120" s="234">
        <f t="shared" si="6"/>
        <v>388</v>
      </c>
      <c r="B120" s="243" t="str">
        <f t="shared" si="1"/>
        <v>Charge</v>
      </c>
      <c r="C120" s="236">
        <f t="shared" si="2"/>
        <v>0</v>
      </c>
      <c r="D120" s="236">
        <f t="shared" si="3"/>
        <v>0.9775626664</v>
      </c>
      <c r="E120" s="236">
        <f t="shared" si="7"/>
        <v>0</v>
      </c>
      <c r="F120" s="236">
        <f t="shared" si="8"/>
        <v>1048.961141</v>
      </c>
      <c r="G120" s="238">
        <f t="shared" si="4"/>
        <v>0.01879589201</v>
      </c>
      <c r="H120" s="240" t="str">
        <f t="shared" si="5"/>
        <v>Default standby Charge</v>
      </c>
      <c r="I120" s="182"/>
      <c r="J120" s="182"/>
      <c r="K120" s="11"/>
      <c r="L120" s="182"/>
      <c r="M120" s="182"/>
      <c r="N120" s="182"/>
      <c r="O120" s="182"/>
      <c r="P120" s="11"/>
      <c r="Q120" s="11"/>
      <c r="R120" s="11"/>
      <c r="S120" s="11"/>
      <c r="T120" s="11"/>
      <c r="U120" s="11"/>
      <c r="V120" s="11"/>
      <c r="W120" s="11"/>
      <c r="X120" s="11"/>
      <c r="Y120" s="11"/>
      <c r="Z120" s="11"/>
      <c r="AA120" s="11"/>
    </row>
    <row r="121" ht="15.75" customHeight="1">
      <c r="A121" s="234">
        <f t="shared" si="6"/>
        <v>392</v>
      </c>
      <c r="B121" s="243" t="str">
        <f t="shared" si="1"/>
        <v>Charge</v>
      </c>
      <c r="C121" s="236">
        <f t="shared" si="2"/>
        <v>0</v>
      </c>
      <c r="D121" s="236">
        <f t="shared" si="3"/>
        <v>0.9775626664</v>
      </c>
      <c r="E121" s="236">
        <f t="shared" si="7"/>
        <v>0</v>
      </c>
      <c r="F121" s="236">
        <f t="shared" si="8"/>
        <v>1049.938704</v>
      </c>
      <c r="G121" s="238">
        <f t="shared" si="4"/>
        <v>0.01881340854</v>
      </c>
      <c r="H121" s="240" t="str">
        <f t="shared" si="5"/>
        <v>Default standby Charge</v>
      </c>
      <c r="I121" s="182"/>
      <c r="J121" s="182"/>
      <c r="K121" s="11"/>
      <c r="L121" s="182"/>
      <c r="M121" s="182"/>
      <c r="N121" s="182"/>
      <c r="O121" s="182"/>
      <c r="P121" s="11"/>
      <c r="Q121" s="11"/>
      <c r="R121" s="11"/>
      <c r="S121" s="11"/>
      <c r="T121" s="11"/>
      <c r="U121" s="11"/>
      <c r="V121" s="11"/>
      <c r="W121" s="11"/>
      <c r="X121" s="11"/>
      <c r="Y121" s="11"/>
      <c r="Z121" s="11"/>
      <c r="AA121" s="11"/>
    </row>
    <row r="122" ht="15.75" customHeight="1">
      <c r="A122" s="234">
        <f t="shared" si="6"/>
        <v>396</v>
      </c>
      <c r="B122" s="243" t="str">
        <f t="shared" si="1"/>
        <v>Charge</v>
      </c>
      <c r="C122" s="236">
        <f t="shared" si="2"/>
        <v>0</v>
      </c>
      <c r="D122" s="236">
        <f t="shared" si="3"/>
        <v>0.9775626664</v>
      </c>
      <c r="E122" s="236">
        <f t="shared" si="7"/>
        <v>0</v>
      </c>
      <c r="F122" s="236">
        <f t="shared" si="8"/>
        <v>1050.916267</v>
      </c>
      <c r="G122" s="238">
        <f t="shared" si="4"/>
        <v>0.01883092508</v>
      </c>
      <c r="H122" s="240" t="str">
        <f t="shared" si="5"/>
        <v>Default standby Charge</v>
      </c>
      <c r="I122" s="182"/>
      <c r="J122" s="182"/>
      <c r="K122" s="11"/>
      <c r="L122" s="182"/>
      <c r="M122" s="182"/>
      <c r="N122" s="182"/>
      <c r="O122" s="182"/>
      <c r="P122" s="11"/>
      <c r="Q122" s="11"/>
      <c r="R122" s="11"/>
      <c r="S122" s="11"/>
      <c r="T122" s="11"/>
      <c r="U122" s="11"/>
      <c r="V122" s="11"/>
      <c r="W122" s="11"/>
      <c r="X122" s="11"/>
      <c r="Y122" s="11"/>
      <c r="Z122" s="11"/>
      <c r="AA122" s="11"/>
    </row>
    <row r="123" ht="15.75" customHeight="1">
      <c r="A123" s="234">
        <f t="shared" si="6"/>
        <v>400</v>
      </c>
      <c r="B123" s="243" t="str">
        <f t="shared" si="1"/>
        <v>Charge</v>
      </c>
      <c r="C123" s="236">
        <f t="shared" si="2"/>
        <v>0</v>
      </c>
      <c r="D123" s="236">
        <f t="shared" si="3"/>
        <v>0.9775626664</v>
      </c>
      <c r="E123" s="236">
        <f t="shared" si="7"/>
        <v>0</v>
      </c>
      <c r="F123" s="236">
        <f t="shared" si="8"/>
        <v>1051.893829</v>
      </c>
      <c r="G123" s="238">
        <f t="shared" si="4"/>
        <v>0.01884844161</v>
      </c>
      <c r="H123" s="240" t="str">
        <f t="shared" si="5"/>
        <v>Default standby Charge</v>
      </c>
      <c r="I123" s="182"/>
      <c r="J123" s="182"/>
      <c r="K123" s="11"/>
      <c r="L123" s="182"/>
      <c r="M123" s="182"/>
      <c r="N123" s="182"/>
      <c r="O123" s="182"/>
      <c r="P123" s="11"/>
      <c r="Q123" s="11"/>
      <c r="R123" s="11"/>
      <c r="S123" s="11"/>
      <c r="T123" s="11"/>
      <c r="U123" s="11"/>
      <c r="V123" s="11"/>
      <c r="W123" s="11"/>
      <c r="X123" s="11"/>
      <c r="Y123" s="11"/>
      <c r="Z123" s="11"/>
      <c r="AA123" s="11"/>
    </row>
    <row r="124" ht="15.75" customHeight="1">
      <c r="A124" s="234">
        <f t="shared" si="6"/>
        <v>404</v>
      </c>
      <c r="B124" s="243" t="str">
        <f t="shared" si="1"/>
        <v>Charge</v>
      </c>
      <c r="C124" s="236">
        <f t="shared" si="2"/>
        <v>0</v>
      </c>
      <c r="D124" s="236">
        <f t="shared" si="3"/>
        <v>0.9775626664</v>
      </c>
      <c r="E124" s="236">
        <f t="shared" si="7"/>
        <v>0</v>
      </c>
      <c r="F124" s="236">
        <f t="shared" si="8"/>
        <v>1052.871392</v>
      </c>
      <c r="G124" s="238">
        <f t="shared" si="4"/>
        <v>0.01886595814</v>
      </c>
      <c r="H124" s="240" t="str">
        <f t="shared" si="5"/>
        <v>Default standby Charge</v>
      </c>
      <c r="I124" s="182"/>
      <c r="J124" s="182"/>
      <c r="K124" s="11"/>
      <c r="L124" s="182"/>
      <c r="M124" s="182"/>
      <c r="N124" s="182"/>
      <c r="O124" s="182"/>
      <c r="P124" s="11"/>
      <c r="Q124" s="11"/>
      <c r="R124" s="11"/>
      <c r="S124" s="11"/>
      <c r="T124" s="11"/>
      <c r="U124" s="11"/>
      <c r="V124" s="11"/>
      <c r="W124" s="11"/>
      <c r="X124" s="11"/>
      <c r="Y124" s="11"/>
      <c r="Z124" s="11"/>
      <c r="AA124" s="11"/>
    </row>
    <row r="125" ht="15.75" customHeight="1">
      <c r="A125" s="234">
        <f t="shared" si="6"/>
        <v>408</v>
      </c>
      <c r="B125" s="243" t="str">
        <f t="shared" si="1"/>
        <v>Charge</v>
      </c>
      <c r="C125" s="236">
        <f t="shared" si="2"/>
        <v>0</v>
      </c>
      <c r="D125" s="236">
        <f t="shared" si="3"/>
        <v>0.9775626664</v>
      </c>
      <c r="E125" s="236">
        <f t="shared" si="7"/>
        <v>0</v>
      </c>
      <c r="F125" s="236">
        <f t="shared" si="8"/>
        <v>1053.848955</v>
      </c>
      <c r="G125" s="238">
        <f t="shared" si="4"/>
        <v>0.01888347467</v>
      </c>
      <c r="H125" s="240" t="str">
        <f t="shared" si="5"/>
        <v>Default standby Charge</v>
      </c>
      <c r="I125" s="182"/>
      <c r="J125" s="182"/>
      <c r="K125" s="11"/>
      <c r="L125" s="182"/>
      <c r="M125" s="182"/>
      <c r="N125" s="182"/>
      <c r="O125" s="182"/>
      <c r="P125" s="11"/>
      <c r="Q125" s="11"/>
      <c r="R125" s="11"/>
      <c r="S125" s="11"/>
      <c r="T125" s="11"/>
      <c r="U125" s="11"/>
      <c r="V125" s="11"/>
      <c r="W125" s="11"/>
      <c r="X125" s="11"/>
      <c r="Y125" s="11"/>
      <c r="Z125" s="11"/>
      <c r="AA125" s="11"/>
    </row>
    <row r="126" ht="15.75" customHeight="1">
      <c r="A126" s="234">
        <f t="shared" si="6"/>
        <v>412</v>
      </c>
      <c r="B126" s="243" t="str">
        <f t="shared" si="1"/>
        <v>Charge</v>
      </c>
      <c r="C126" s="236">
        <f t="shared" si="2"/>
        <v>0</v>
      </c>
      <c r="D126" s="236">
        <f t="shared" si="3"/>
        <v>0.9775626664</v>
      </c>
      <c r="E126" s="236">
        <f t="shared" si="7"/>
        <v>0</v>
      </c>
      <c r="F126" s="236">
        <f t="shared" si="8"/>
        <v>1054.826517</v>
      </c>
      <c r="G126" s="238">
        <f t="shared" si="4"/>
        <v>0.01890099121</v>
      </c>
      <c r="H126" s="240" t="str">
        <f t="shared" si="5"/>
        <v>Default standby Charge</v>
      </c>
      <c r="I126" s="182"/>
      <c r="J126" s="182"/>
      <c r="K126" s="11"/>
      <c r="L126" s="182"/>
      <c r="M126" s="182"/>
      <c r="N126" s="182"/>
      <c r="O126" s="182"/>
      <c r="P126" s="11"/>
      <c r="Q126" s="11"/>
      <c r="R126" s="11"/>
      <c r="S126" s="11"/>
      <c r="T126" s="11"/>
      <c r="U126" s="11"/>
      <c r="V126" s="11"/>
      <c r="W126" s="11"/>
      <c r="X126" s="11"/>
      <c r="Y126" s="11"/>
      <c r="Z126" s="11"/>
      <c r="AA126" s="11"/>
    </row>
    <row r="127" ht="15.75" customHeight="1">
      <c r="A127" s="234">
        <f t="shared" si="6"/>
        <v>416</v>
      </c>
      <c r="B127" s="243" t="str">
        <f t="shared" si="1"/>
        <v>Charge</v>
      </c>
      <c r="C127" s="236">
        <f t="shared" si="2"/>
        <v>0</v>
      </c>
      <c r="D127" s="236">
        <f t="shared" si="3"/>
        <v>0.9775626664</v>
      </c>
      <c r="E127" s="236">
        <f t="shared" si="7"/>
        <v>0</v>
      </c>
      <c r="F127" s="236">
        <f t="shared" si="8"/>
        <v>1055.80408</v>
      </c>
      <c r="G127" s="238">
        <f t="shared" si="4"/>
        <v>0.01891850774</v>
      </c>
      <c r="H127" s="240" t="str">
        <f t="shared" si="5"/>
        <v>Default standby Charge</v>
      </c>
      <c r="I127" s="182"/>
      <c r="J127" s="182"/>
      <c r="K127" s="11"/>
      <c r="L127" s="182"/>
      <c r="M127" s="182"/>
      <c r="N127" s="182"/>
      <c r="O127" s="182"/>
      <c r="P127" s="11"/>
      <c r="Q127" s="11"/>
      <c r="R127" s="11"/>
      <c r="S127" s="11"/>
      <c r="T127" s="11"/>
      <c r="U127" s="11"/>
      <c r="V127" s="11"/>
      <c r="W127" s="11"/>
      <c r="X127" s="11"/>
      <c r="Y127" s="11"/>
      <c r="Z127" s="11"/>
      <c r="AA127" s="11"/>
    </row>
    <row r="128" ht="15.75" customHeight="1">
      <c r="A128" s="234">
        <f t="shared" si="6"/>
        <v>420</v>
      </c>
      <c r="B128" s="298" t="str">
        <f t="shared" si="1"/>
        <v>Science B</v>
      </c>
      <c r="C128" s="236">
        <f t="shared" si="2"/>
        <v>8</v>
      </c>
      <c r="D128" s="236">
        <f t="shared" si="3"/>
        <v>32.84956267</v>
      </c>
      <c r="E128" s="236">
        <f t="shared" si="7"/>
        <v>0</v>
      </c>
      <c r="F128" s="236">
        <f t="shared" si="8"/>
        <v>1088.653643</v>
      </c>
      <c r="G128" s="238">
        <f t="shared" si="4"/>
        <v>0.01950712519</v>
      </c>
      <c r="H128" s="240" t="str">
        <f t="shared" si="5"/>
        <v>Science data acquisition and storage</v>
      </c>
      <c r="I128" s="182"/>
      <c r="J128" s="182"/>
      <c r="K128" s="11"/>
      <c r="L128" s="182"/>
      <c r="M128" s="182"/>
      <c r="N128" s="182"/>
      <c r="O128" s="182"/>
      <c r="P128" s="11"/>
      <c r="Q128" s="11"/>
      <c r="R128" s="11"/>
      <c r="S128" s="11"/>
      <c r="T128" s="11"/>
      <c r="U128" s="11"/>
      <c r="V128" s="11"/>
      <c r="W128" s="11"/>
      <c r="X128" s="11"/>
      <c r="Y128" s="11"/>
      <c r="Z128" s="11"/>
      <c r="AA128" s="11"/>
    </row>
    <row r="129" ht="15.75" customHeight="1">
      <c r="A129" s="234">
        <f t="shared" si="6"/>
        <v>424</v>
      </c>
      <c r="B129" s="298" t="str">
        <f t="shared" si="1"/>
        <v>Science B</v>
      </c>
      <c r="C129" s="236">
        <f t="shared" si="2"/>
        <v>8</v>
      </c>
      <c r="D129" s="236">
        <f t="shared" si="3"/>
        <v>32.84956267</v>
      </c>
      <c r="E129" s="236">
        <f t="shared" si="7"/>
        <v>0</v>
      </c>
      <c r="F129" s="236">
        <f t="shared" si="8"/>
        <v>1121.503205</v>
      </c>
      <c r="G129" s="238">
        <f t="shared" si="4"/>
        <v>0.02009574264</v>
      </c>
      <c r="H129" s="240" t="str">
        <f t="shared" si="5"/>
        <v>Science data acquisition and storage</v>
      </c>
      <c r="I129" s="182"/>
      <c r="J129" s="182"/>
      <c r="K129" s="11"/>
      <c r="L129" s="182"/>
      <c r="M129" s="182"/>
      <c r="N129" s="182"/>
      <c r="O129" s="182"/>
      <c r="P129" s="11"/>
      <c r="Q129" s="11"/>
      <c r="R129" s="11"/>
      <c r="S129" s="11"/>
      <c r="T129" s="11"/>
      <c r="U129" s="11"/>
      <c r="V129" s="11"/>
      <c r="W129" s="11"/>
      <c r="X129" s="11"/>
      <c r="Y129" s="11"/>
      <c r="Z129" s="11"/>
      <c r="AA129" s="11"/>
    </row>
    <row r="130" ht="15.75" customHeight="1">
      <c r="A130" s="234">
        <f t="shared" si="6"/>
        <v>428</v>
      </c>
      <c r="B130" s="298" t="str">
        <f t="shared" si="1"/>
        <v>Science B</v>
      </c>
      <c r="C130" s="236">
        <f t="shared" si="2"/>
        <v>8</v>
      </c>
      <c r="D130" s="236">
        <f t="shared" si="3"/>
        <v>32.84956267</v>
      </c>
      <c r="E130" s="236">
        <f t="shared" si="7"/>
        <v>0</v>
      </c>
      <c r="F130" s="236">
        <f t="shared" si="8"/>
        <v>1154.352768</v>
      </c>
      <c r="G130" s="238">
        <f t="shared" si="4"/>
        <v>0.02068436009</v>
      </c>
      <c r="H130" s="240" t="str">
        <f t="shared" si="5"/>
        <v>Science data acquisition and storage</v>
      </c>
      <c r="I130" s="182"/>
      <c r="J130" s="182"/>
      <c r="K130" s="11"/>
      <c r="L130" s="182"/>
      <c r="M130" s="182"/>
      <c r="N130" s="182"/>
      <c r="O130" s="182"/>
      <c r="P130" s="11"/>
      <c r="Q130" s="11"/>
      <c r="R130" s="11"/>
      <c r="S130" s="11"/>
      <c r="T130" s="11"/>
      <c r="U130" s="11"/>
      <c r="V130" s="11"/>
      <c r="W130" s="11"/>
      <c r="X130" s="11"/>
      <c r="Y130" s="11"/>
      <c r="Z130" s="11"/>
      <c r="AA130" s="11"/>
    </row>
    <row r="131" ht="15.75" customHeight="1">
      <c r="A131" s="234">
        <f t="shared" si="6"/>
        <v>432</v>
      </c>
      <c r="B131" s="298" t="str">
        <f t="shared" si="1"/>
        <v>Science B</v>
      </c>
      <c r="C131" s="236">
        <f t="shared" si="2"/>
        <v>8</v>
      </c>
      <c r="D131" s="236">
        <f t="shared" si="3"/>
        <v>32.84956267</v>
      </c>
      <c r="E131" s="236">
        <f t="shared" si="7"/>
        <v>0</v>
      </c>
      <c r="F131" s="236">
        <f t="shared" si="8"/>
        <v>1187.202331</v>
      </c>
      <c r="G131" s="238">
        <f t="shared" si="4"/>
        <v>0.02127297754</v>
      </c>
      <c r="H131" s="240" t="str">
        <f t="shared" si="5"/>
        <v>Science data acquisition and storage</v>
      </c>
      <c r="I131" s="182"/>
      <c r="J131" s="182"/>
      <c r="K131" s="11"/>
      <c r="L131" s="182"/>
      <c r="M131" s="182"/>
      <c r="N131" s="182"/>
      <c r="O131" s="182"/>
      <c r="P131" s="11"/>
      <c r="Q131" s="11"/>
      <c r="R131" s="11"/>
      <c r="S131" s="11"/>
      <c r="T131" s="11"/>
      <c r="U131" s="11"/>
      <c r="V131" s="11"/>
      <c r="W131" s="11"/>
      <c r="X131" s="11"/>
      <c r="Y131" s="11"/>
      <c r="Z131" s="11"/>
      <c r="AA131" s="11"/>
    </row>
    <row r="132" ht="15.75" customHeight="1">
      <c r="A132" s="234">
        <f t="shared" si="6"/>
        <v>436</v>
      </c>
      <c r="B132" s="298" t="str">
        <f t="shared" si="1"/>
        <v>Science B</v>
      </c>
      <c r="C132" s="236">
        <f t="shared" si="2"/>
        <v>8</v>
      </c>
      <c r="D132" s="236">
        <f t="shared" si="3"/>
        <v>32.84956267</v>
      </c>
      <c r="E132" s="236">
        <f t="shared" si="7"/>
        <v>0</v>
      </c>
      <c r="F132" s="236">
        <f t="shared" si="8"/>
        <v>1220.051893</v>
      </c>
      <c r="G132" s="238">
        <f t="shared" si="4"/>
        <v>0.02186159499</v>
      </c>
      <c r="H132" s="240" t="str">
        <f t="shared" si="5"/>
        <v>Science data acquisition and storage</v>
      </c>
      <c r="I132" s="182"/>
      <c r="J132" s="182"/>
      <c r="K132" s="11"/>
      <c r="L132" s="182"/>
      <c r="M132" s="182"/>
      <c r="N132" s="182"/>
      <c r="O132" s="182"/>
      <c r="P132" s="11"/>
      <c r="Q132" s="11"/>
      <c r="R132" s="11"/>
      <c r="S132" s="11"/>
      <c r="T132" s="11"/>
      <c r="U132" s="11"/>
      <c r="V132" s="11"/>
      <c r="W132" s="11"/>
      <c r="X132" s="11"/>
      <c r="Y132" s="11"/>
      <c r="Z132" s="11"/>
      <c r="AA132" s="11"/>
    </row>
    <row r="133" ht="15.75" customHeight="1">
      <c r="A133" s="234">
        <f t="shared" si="6"/>
        <v>440</v>
      </c>
      <c r="B133" s="298" t="str">
        <f t="shared" si="1"/>
        <v>Science B</v>
      </c>
      <c r="C133" s="236">
        <f t="shared" si="2"/>
        <v>8</v>
      </c>
      <c r="D133" s="236">
        <f t="shared" si="3"/>
        <v>32.84956267</v>
      </c>
      <c r="E133" s="236">
        <f t="shared" si="7"/>
        <v>0</v>
      </c>
      <c r="F133" s="236">
        <f t="shared" si="8"/>
        <v>1252.901456</v>
      </c>
      <c r="G133" s="238">
        <f t="shared" si="4"/>
        <v>0.02245021244</v>
      </c>
      <c r="H133" s="240" t="str">
        <f t="shared" si="5"/>
        <v>Science data acquisition and storage</v>
      </c>
      <c r="I133" s="182"/>
      <c r="J133" s="182"/>
      <c r="K133" s="11"/>
      <c r="L133" s="182"/>
      <c r="M133" s="182"/>
      <c r="N133" s="182"/>
      <c r="O133" s="182"/>
      <c r="P133" s="11"/>
      <c r="Q133" s="11"/>
      <c r="R133" s="11"/>
      <c r="S133" s="11"/>
      <c r="T133" s="11"/>
      <c r="U133" s="11"/>
      <c r="V133" s="11"/>
      <c r="W133" s="11"/>
      <c r="X133" s="11"/>
      <c r="Y133" s="11"/>
      <c r="Z133" s="11"/>
      <c r="AA133" s="11"/>
    </row>
    <row r="134" ht="15.75" customHeight="1">
      <c r="A134" s="234">
        <f t="shared" si="6"/>
        <v>444</v>
      </c>
      <c r="B134" s="298" t="str">
        <f t="shared" si="1"/>
        <v>Science B</v>
      </c>
      <c r="C134" s="236">
        <f t="shared" si="2"/>
        <v>8</v>
      </c>
      <c r="D134" s="236">
        <f t="shared" si="3"/>
        <v>32.84956267</v>
      </c>
      <c r="E134" s="236">
        <f t="shared" si="7"/>
        <v>0</v>
      </c>
      <c r="F134" s="236">
        <f t="shared" si="8"/>
        <v>1285.751019</v>
      </c>
      <c r="G134" s="238">
        <f t="shared" si="4"/>
        <v>0.02303882989</v>
      </c>
      <c r="H134" s="240" t="str">
        <f t="shared" si="5"/>
        <v>Science data acquisition and storage</v>
      </c>
      <c r="I134" s="182"/>
      <c r="J134" s="182"/>
      <c r="K134" s="11"/>
      <c r="L134" s="182"/>
      <c r="M134" s="182"/>
      <c r="N134" s="182"/>
      <c r="O134" s="182"/>
      <c r="P134" s="11"/>
      <c r="Q134" s="11"/>
      <c r="R134" s="11"/>
      <c r="S134" s="11"/>
      <c r="T134" s="11"/>
      <c r="U134" s="11"/>
      <c r="V134" s="11"/>
      <c r="W134" s="11"/>
      <c r="X134" s="11"/>
      <c r="Y134" s="11"/>
      <c r="Z134" s="11"/>
      <c r="AA134" s="11"/>
    </row>
    <row r="135" ht="15.75" customHeight="1">
      <c r="A135" s="234">
        <f t="shared" si="6"/>
        <v>448</v>
      </c>
      <c r="B135" s="298" t="str">
        <f t="shared" si="1"/>
        <v>Science B</v>
      </c>
      <c r="C135" s="236">
        <f t="shared" si="2"/>
        <v>8</v>
      </c>
      <c r="D135" s="236">
        <f t="shared" si="3"/>
        <v>32.84956267</v>
      </c>
      <c r="E135" s="236">
        <f t="shared" si="7"/>
        <v>0</v>
      </c>
      <c r="F135" s="236">
        <f t="shared" si="8"/>
        <v>1318.600581</v>
      </c>
      <c r="G135" s="238">
        <f t="shared" si="4"/>
        <v>0.02362744734</v>
      </c>
      <c r="H135" s="240" t="str">
        <f t="shared" si="5"/>
        <v>Science data acquisition and storage</v>
      </c>
      <c r="I135" s="182"/>
      <c r="J135" s="182"/>
      <c r="K135" s="11"/>
      <c r="L135" s="182"/>
      <c r="M135" s="182"/>
      <c r="N135" s="182"/>
      <c r="O135" s="182"/>
      <c r="P135" s="11"/>
      <c r="Q135" s="11"/>
      <c r="R135" s="11"/>
      <c r="S135" s="11"/>
      <c r="T135" s="11"/>
      <c r="U135" s="11"/>
      <c r="V135" s="11"/>
      <c r="W135" s="11"/>
      <c r="X135" s="11"/>
      <c r="Y135" s="11"/>
      <c r="Z135" s="11"/>
      <c r="AA135" s="11"/>
    </row>
    <row r="136" ht="15.75" customHeight="1">
      <c r="A136" s="234">
        <f t="shared" si="6"/>
        <v>452</v>
      </c>
      <c r="B136" s="298" t="str">
        <f t="shared" si="1"/>
        <v>Science B</v>
      </c>
      <c r="C136" s="236">
        <f t="shared" si="2"/>
        <v>8</v>
      </c>
      <c r="D136" s="236">
        <f t="shared" si="3"/>
        <v>32.84956267</v>
      </c>
      <c r="E136" s="236">
        <f t="shared" si="7"/>
        <v>0</v>
      </c>
      <c r="F136" s="236">
        <f t="shared" si="8"/>
        <v>1351.450144</v>
      </c>
      <c r="G136" s="238">
        <f t="shared" si="4"/>
        <v>0.02421606479</v>
      </c>
      <c r="H136" s="240" t="str">
        <f t="shared" si="5"/>
        <v>Science data acquisition and storage</v>
      </c>
      <c r="I136" s="182"/>
      <c r="J136" s="182"/>
      <c r="K136" s="11"/>
      <c r="L136" s="182"/>
      <c r="M136" s="182"/>
      <c r="N136" s="182"/>
      <c r="O136" s="182"/>
      <c r="P136" s="11"/>
      <c r="Q136" s="11"/>
      <c r="R136" s="11"/>
      <c r="S136" s="11"/>
      <c r="T136" s="11"/>
      <c r="U136" s="11"/>
      <c r="V136" s="11"/>
      <c r="W136" s="11"/>
      <c r="X136" s="11"/>
      <c r="Y136" s="11"/>
      <c r="Z136" s="11"/>
      <c r="AA136" s="11"/>
    </row>
    <row r="137" ht="15.75" customHeight="1">
      <c r="A137" s="234">
        <f t="shared" si="6"/>
        <v>456</v>
      </c>
      <c r="B137" s="298" t="str">
        <f t="shared" si="1"/>
        <v>Science B</v>
      </c>
      <c r="C137" s="236">
        <f t="shared" si="2"/>
        <v>8</v>
      </c>
      <c r="D137" s="236">
        <f t="shared" si="3"/>
        <v>32.84956267</v>
      </c>
      <c r="E137" s="236">
        <f t="shared" si="7"/>
        <v>0</v>
      </c>
      <c r="F137" s="236">
        <f t="shared" si="8"/>
        <v>1384.299707</v>
      </c>
      <c r="G137" s="238">
        <f t="shared" si="4"/>
        <v>0.02480468224</v>
      </c>
      <c r="H137" s="240" t="str">
        <f t="shared" si="5"/>
        <v>Science data acquisition and storage</v>
      </c>
      <c r="I137" s="182"/>
      <c r="J137" s="182"/>
      <c r="K137" s="11"/>
      <c r="L137" s="182"/>
      <c r="M137" s="182"/>
      <c r="N137" s="182"/>
      <c r="O137" s="182"/>
      <c r="P137" s="11"/>
      <c r="Q137" s="11"/>
      <c r="R137" s="11"/>
      <c r="S137" s="11"/>
      <c r="T137" s="11"/>
      <c r="U137" s="11"/>
      <c r="V137" s="11"/>
      <c r="W137" s="11"/>
      <c r="X137" s="11"/>
      <c r="Y137" s="11"/>
      <c r="Z137" s="11"/>
      <c r="AA137" s="11"/>
    </row>
    <row r="138" ht="15.75" customHeight="1">
      <c r="A138" s="234">
        <f t="shared" si="6"/>
        <v>460</v>
      </c>
      <c r="B138" s="298" t="str">
        <f t="shared" si="1"/>
        <v>Science B</v>
      </c>
      <c r="C138" s="236">
        <f t="shared" si="2"/>
        <v>8</v>
      </c>
      <c r="D138" s="236">
        <f t="shared" si="3"/>
        <v>32.84956267</v>
      </c>
      <c r="E138" s="236">
        <f t="shared" si="7"/>
        <v>0</v>
      </c>
      <c r="F138" s="236">
        <f t="shared" si="8"/>
        <v>1417.149269</v>
      </c>
      <c r="G138" s="238">
        <f t="shared" si="4"/>
        <v>0.02539329969</v>
      </c>
      <c r="H138" s="240" t="str">
        <f t="shared" si="5"/>
        <v>Science data acquisition and storage</v>
      </c>
      <c r="I138" s="182"/>
      <c r="J138" s="182"/>
      <c r="K138" s="11"/>
      <c r="L138" s="182"/>
      <c r="M138" s="182"/>
      <c r="N138" s="182"/>
      <c r="O138" s="182"/>
      <c r="P138" s="11"/>
      <c r="Q138" s="11"/>
      <c r="R138" s="11"/>
      <c r="S138" s="11"/>
      <c r="T138" s="11"/>
      <c r="U138" s="11"/>
      <c r="V138" s="11"/>
      <c r="W138" s="11"/>
      <c r="X138" s="11"/>
      <c r="Y138" s="11"/>
      <c r="Z138" s="11"/>
      <c r="AA138" s="11"/>
    </row>
    <row r="139" ht="15.75" customHeight="1">
      <c r="A139" s="234">
        <f t="shared" si="6"/>
        <v>464</v>
      </c>
      <c r="B139" s="298" t="str">
        <f t="shared" si="1"/>
        <v>Science B</v>
      </c>
      <c r="C139" s="236">
        <f t="shared" si="2"/>
        <v>8</v>
      </c>
      <c r="D139" s="236">
        <f t="shared" si="3"/>
        <v>32.84956267</v>
      </c>
      <c r="E139" s="236">
        <f t="shared" si="7"/>
        <v>0</v>
      </c>
      <c r="F139" s="236">
        <f t="shared" si="8"/>
        <v>1449.998832</v>
      </c>
      <c r="G139" s="238">
        <f t="shared" si="4"/>
        <v>0.02598191714</v>
      </c>
      <c r="H139" s="240" t="str">
        <f t="shared" si="5"/>
        <v>Science data acquisition and storage</v>
      </c>
      <c r="I139" s="182"/>
      <c r="J139" s="182"/>
      <c r="K139" s="11"/>
      <c r="L139" s="182"/>
      <c r="M139" s="182"/>
      <c r="N139" s="182"/>
      <c r="O139" s="182"/>
      <c r="P139" s="11"/>
      <c r="Q139" s="11"/>
      <c r="R139" s="11"/>
      <c r="S139" s="11"/>
      <c r="T139" s="11"/>
      <c r="U139" s="11"/>
      <c r="V139" s="11"/>
      <c r="W139" s="11"/>
      <c r="X139" s="11"/>
      <c r="Y139" s="11"/>
      <c r="Z139" s="11"/>
      <c r="AA139" s="11"/>
    </row>
    <row r="140" ht="15.75" customHeight="1">
      <c r="A140" s="234">
        <f t="shared" si="6"/>
        <v>468</v>
      </c>
      <c r="B140" s="298" t="str">
        <f t="shared" si="1"/>
        <v>Science B</v>
      </c>
      <c r="C140" s="236">
        <f t="shared" si="2"/>
        <v>8</v>
      </c>
      <c r="D140" s="236">
        <f t="shared" si="3"/>
        <v>32.84956267</v>
      </c>
      <c r="E140" s="236">
        <f t="shared" si="7"/>
        <v>0</v>
      </c>
      <c r="F140" s="236">
        <f t="shared" si="8"/>
        <v>1482.848395</v>
      </c>
      <c r="G140" s="238">
        <f t="shared" si="4"/>
        <v>0.02657053459</v>
      </c>
      <c r="H140" s="240" t="str">
        <f t="shared" si="5"/>
        <v>Science data acquisition and storage</v>
      </c>
      <c r="I140" s="182"/>
      <c r="J140" s="182"/>
      <c r="K140" s="11"/>
      <c r="L140" s="182"/>
      <c r="M140" s="182"/>
      <c r="N140" s="182"/>
      <c r="O140" s="182"/>
      <c r="P140" s="11"/>
      <c r="Q140" s="11"/>
      <c r="R140" s="11"/>
      <c r="S140" s="11"/>
      <c r="T140" s="11"/>
      <c r="U140" s="11"/>
      <c r="V140" s="11"/>
      <c r="W140" s="11"/>
      <c r="X140" s="11"/>
      <c r="Y140" s="11"/>
      <c r="Z140" s="11"/>
      <c r="AA140" s="11"/>
    </row>
    <row r="141" ht="15.75" customHeight="1">
      <c r="A141" s="234">
        <f t="shared" si="6"/>
        <v>472</v>
      </c>
      <c r="B141" s="298" t="str">
        <f t="shared" si="1"/>
        <v>Science B</v>
      </c>
      <c r="C141" s="236">
        <f t="shared" si="2"/>
        <v>8</v>
      </c>
      <c r="D141" s="236">
        <f t="shared" si="3"/>
        <v>32.84956267</v>
      </c>
      <c r="E141" s="236">
        <f t="shared" si="7"/>
        <v>0</v>
      </c>
      <c r="F141" s="236">
        <f t="shared" si="8"/>
        <v>1515.697957</v>
      </c>
      <c r="G141" s="238">
        <f t="shared" si="4"/>
        <v>0.02715915204</v>
      </c>
      <c r="H141" s="240" t="str">
        <f t="shared" si="5"/>
        <v>Science data acquisition and storage</v>
      </c>
      <c r="I141" s="182"/>
      <c r="J141" s="182"/>
      <c r="K141" s="11"/>
      <c r="L141" s="182"/>
      <c r="M141" s="182"/>
      <c r="N141" s="182"/>
      <c r="O141" s="182"/>
      <c r="P141" s="11"/>
      <c r="Q141" s="11"/>
      <c r="R141" s="11"/>
      <c r="S141" s="11"/>
      <c r="T141" s="11"/>
      <c r="U141" s="11"/>
      <c r="V141" s="11"/>
      <c r="W141" s="11"/>
      <c r="X141" s="11"/>
      <c r="Y141" s="11"/>
      <c r="Z141" s="11"/>
      <c r="AA141" s="11"/>
    </row>
    <row r="142" ht="15.75" customHeight="1">
      <c r="A142" s="234">
        <f t="shared" si="6"/>
        <v>476</v>
      </c>
      <c r="B142" s="298" t="str">
        <f t="shared" si="1"/>
        <v>Science B</v>
      </c>
      <c r="C142" s="236">
        <f t="shared" si="2"/>
        <v>8</v>
      </c>
      <c r="D142" s="236">
        <f t="shared" si="3"/>
        <v>32.84956267</v>
      </c>
      <c r="E142" s="236">
        <f t="shared" si="7"/>
        <v>0</v>
      </c>
      <c r="F142" s="236">
        <f t="shared" si="8"/>
        <v>1548.54752</v>
      </c>
      <c r="G142" s="238">
        <f t="shared" si="4"/>
        <v>0.02774776949</v>
      </c>
      <c r="H142" s="240" t="str">
        <f t="shared" si="5"/>
        <v>Science data acquisition and storage</v>
      </c>
      <c r="I142" s="182"/>
      <c r="J142" s="182"/>
      <c r="K142" s="11"/>
      <c r="L142" s="182"/>
      <c r="M142" s="182"/>
      <c r="N142" s="182"/>
      <c r="O142" s="182"/>
      <c r="P142" s="11"/>
      <c r="Q142" s="11"/>
      <c r="R142" s="11"/>
      <c r="S142" s="11"/>
      <c r="T142" s="11"/>
      <c r="U142" s="11"/>
      <c r="V142" s="11"/>
      <c r="W142" s="11"/>
      <c r="X142" s="11"/>
      <c r="Y142" s="11"/>
      <c r="Z142" s="11"/>
      <c r="AA142" s="11"/>
    </row>
    <row r="143" ht="15.75" customHeight="1">
      <c r="A143" s="234">
        <f t="shared" si="6"/>
        <v>480</v>
      </c>
      <c r="B143" s="298" t="str">
        <f t="shared" si="1"/>
        <v>Science B</v>
      </c>
      <c r="C143" s="236">
        <f t="shared" si="2"/>
        <v>8</v>
      </c>
      <c r="D143" s="236">
        <f t="shared" si="3"/>
        <v>32.84956267</v>
      </c>
      <c r="E143" s="236">
        <f t="shared" si="7"/>
        <v>0</v>
      </c>
      <c r="F143" s="236">
        <f t="shared" si="8"/>
        <v>1581.397083</v>
      </c>
      <c r="G143" s="238">
        <f t="shared" si="4"/>
        <v>0.02833638695</v>
      </c>
      <c r="H143" s="240" t="str">
        <f t="shared" si="5"/>
        <v>Science data acquisition and storage</v>
      </c>
      <c r="I143" s="182"/>
      <c r="J143" s="182"/>
      <c r="K143" s="11"/>
      <c r="L143" s="182"/>
      <c r="M143" s="182"/>
      <c r="N143" s="182"/>
      <c r="O143" s="182"/>
      <c r="P143" s="11"/>
      <c r="Q143" s="11"/>
      <c r="R143" s="11"/>
      <c r="S143" s="11"/>
      <c r="T143" s="11"/>
      <c r="U143" s="11"/>
      <c r="V143" s="11"/>
      <c r="W143" s="11"/>
      <c r="X143" s="11"/>
      <c r="Y143" s="11"/>
      <c r="Z143" s="11"/>
      <c r="AA143" s="11"/>
    </row>
    <row r="144" ht="15.75" customHeight="1">
      <c r="A144" s="234">
        <f t="shared" si="6"/>
        <v>484</v>
      </c>
      <c r="B144" s="298" t="str">
        <f t="shared" si="1"/>
        <v>Science B</v>
      </c>
      <c r="C144" s="236">
        <f t="shared" si="2"/>
        <v>8</v>
      </c>
      <c r="D144" s="236">
        <f t="shared" si="3"/>
        <v>32.84956267</v>
      </c>
      <c r="E144" s="236">
        <f t="shared" si="7"/>
        <v>0</v>
      </c>
      <c r="F144" s="236">
        <f t="shared" si="8"/>
        <v>1614.246645</v>
      </c>
      <c r="G144" s="238">
        <f t="shared" si="4"/>
        <v>0.0289250044</v>
      </c>
      <c r="H144" s="240" t="str">
        <f t="shared" si="5"/>
        <v>Science data acquisition and storage</v>
      </c>
      <c r="I144" s="182"/>
      <c r="J144" s="182"/>
      <c r="K144" s="11"/>
      <c r="L144" s="182"/>
      <c r="M144" s="182"/>
      <c r="N144" s="182"/>
      <c r="O144" s="182"/>
      <c r="P144" s="11"/>
      <c r="Q144" s="11"/>
      <c r="R144" s="11"/>
      <c r="S144" s="11"/>
      <c r="T144" s="11"/>
      <c r="U144" s="11"/>
      <c r="V144" s="11"/>
      <c r="W144" s="11"/>
      <c r="X144" s="11"/>
      <c r="Y144" s="11"/>
      <c r="Z144" s="11"/>
      <c r="AA144" s="11"/>
    </row>
    <row r="145" ht="15.75" customHeight="1">
      <c r="A145" s="234">
        <f t="shared" si="6"/>
        <v>488</v>
      </c>
      <c r="B145" s="298" t="str">
        <f t="shared" si="1"/>
        <v>Science B</v>
      </c>
      <c r="C145" s="236">
        <f t="shared" si="2"/>
        <v>8</v>
      </c>
      <c r="D145" s="236">
        <f t="shared" si="3"/>
        <v>32.84956267</v>
      </c>
      <c r="E145" s="236">
        <f t="shared" si="7"/>
        <v>0</v>
      </c>
      <c r="F145" s="236">
        <f t="shared" si="8"/>
        <v>1647.096208</v>
      </c>
      <c r="G145" s="238">
        <f t="shared" si="4"/>
        <v>0.02951362185</v>
      </c>
      <c r="H145" s="240" t="str">
        <f t="shared" si="5"/>
        <v>Science data acquisition and storage</v>
      </c>
      <c r="I145" s="182"/>
      <c r="J145" s="182"/>
      <c r="K145" s="11"/>
      <c r="L145" s="182"/>
      <c r="M145" s="182"/>
      <c r="N145" s="182"/>
      <c r="O145" s="182"/>
      <c r="P145" s="11"/>
      <c r="Q145" s="11"/>
      <c r="R145" s="11"/>
      <c r="S145" s="11"/>
      <c r="T145" s="11"/>
      <c r="U145" s="11"/>
      <c r="V145" s="11"/>
      <c r="W145" s="11"/>
      <c r="X145" s="11"/>
      <c r="Y145" s="11"/>
      <c r="Z145" s="11"/>
      <c r="AA145" s="11"/>
    </row>
    <row r="146" ht="15.75" customHeight="1">
      <c r="A146" s="234">
        <f t="shared" si="6"/>
        <v>492</v>
      </c>
      <c r="B146" s="298" t="str">
        <f t="shared" si="1"/>
        <v>Science B</v>
      </c>
      <c r="C146" s="236">
        <f t="shared" si="2"/>
        <v>8</v>
      </c>
      <c r="D146" s="236">
        <f t="shared" si="3"/>
        <v>32.84956267</v>
      </c>
      <c r="E146" s="236">
        <f t="shared" si="7"/>
        <v>0</v>
      </c>
      <c r="F146" s="236">
        <f t="shared" si="8"/>
        <v>1679.945771</v>
      </c>
      <c r="G146" s="238">
        <f t="shared" si="4"/>
        <v>0.0301022393</v>
      </c>
      <c r="H146" s="240" t="str">
        <f t="shared" si="5"/>
        <v>Science data acquisition and storage</v>
      </c>
      <c r="I146" s="182"/>
      <c r="J146" s="182"/>
      <c r="K146" s="11"/>
      <c r="L146" s="182"/>
      <c r="M146" s="182"/>
      <c r="N146" s="182"/>
      <c r="O146" s="182"/>
      <c r="P146" s="11"/>
      <c r="Q146" s="11"/>
      <c r="R146" s="11"/>
      <c r="S146" s="11"/>
      <c r="T146" s="11"/>
      <c r="U146" s="11"/>
      <c r="V146" s="11"/>
      <c r="W146" s="11"/>
      <c r="X146" s="11"/>
      <c r="Y146" s="11"/>
      <c r="Z146" s="11"/>
      <c r="AA146" s="11"/>
    </row>
    <row r="147" ht="15.75" customHeight="1">
      <c r="A147" s="234">
        <f t="shared" si="6"/>
        <v>496</v>
      </c>
      <c r="B147" s="298" t="str">
        <f t="shared" si="1"/>
        <v>Science B</v>
      </c>
      <c r="C147" s="236">
        <f t="shared" si="2"/>
        <v>8</v>
      </c>
      <c r="D147" s="236">
        <f t="shared" si="3"/>
        <v>32.84956267</v>
      </c>
      <c r="E147" s="236">
        <f t="shared" si="7"/>
        <v>0</v>
      </c>
      <c r="F147" s="236">
        <f t="shared" si="8"/>
        <v>1712.795333</v>
      </c>
      <c r="G147" s="238">
        <f t="shared" si="4"/>
        <v>0.03069085675</v>
      </c>
      <c r="H147" s="240" t="str">
        <f t="shared" si="5"/>
        <v>Science data acquisition and storage</v>
      </c>
      <c r="I147" s="182"/>
      <c r="J147" s="182"/>
      <c r="K147" s="11"/>
      <c r="L147" s="182"/>
      <c r="M147" s="182"/>
      <c r="N147" s="182"/>
      <c r="O147" s="182"/>
      <c r="P147" s="11"/>
      <c r="Q147" s="11"/>
      <c r="R147" s="11"/>
      <c r="S147" s="11"/>
      <c r="T147" s="11"/>
      <c r="U147" s="11"/>
      <c r="V147" s="11"/>
      <c r="W147" s="11"/>
      <c r="X147" s="11"/>
      <c r="Y147" s="11"/>
      <c r="Z147" s="11"/>
      <c r="AA147" s="11"/>
    </row>
    <row r="148" ht="15.75" customHeight="1">
      <c r="A148" s="234">
        <f t="shared" si="6"/>
        <v>500</v>
      </c>
      <c r="B148" s="298" t="str">
        <f t="shared" si="1"/>
        <v>Science B</v>
      </c>
      <c r="C148" s="236">
        <f t="shared" si="2"/>
        <v>8</v>
      </c>
      <c r="D148" s="236">
        <f t="shared" si="3"/>
        <v>32.84956267</v>
      </c>
      <c r="E148" s="236">
        <f t="shared" si="7"/>
        <v>0</v>
      </c>
      <c r="F148" s="236">
        <f t="shared" si="8"/>
        <v>1745.644896</v>
      </c>
      <c r="G148" s="238">
        <f t="shared" si="4"/>
        <v>0.0312794742</v>
      </c>
      <c r="H148" s="240" t="str">
        <f t="shared" si="5"/>
        <v>Science data acquisition and storage</v>
      </c>
      <c r="I148" s="182"/>
      <c r="J148" s="182"/>
      <c r="K148" s="11"/>
      <c r="L148" s="182"/>
      <c r="M148" s="182"/>
      <c r="N148" s="182"/>
      <c r="O148" s="182"/>
      <c r="P148" s="11"/>
      <c r="Q148" s="11"/>
      <c r="R148" s="11"/>
      <c r="S148" s="11"/>
      <c r="T148" s="11"/>
      <c r="U148" s="11"/>
      <c r="V148" s="11"/>
      <c r="W148" s="11"/>
      <c r="X148" s="11"/>
      <c r="Y148" s="11"/>
      <c r="Z148" s="11"/>
      <c r="AA148" s="11"/>
    </row>
    <row r="149" ht="15.75" customHeight="1">
      <c r="A149" s="234">
        <f t="shared" si="6"/>
        <v>504</v>
      </c>
      <c r="B149" s="298" t="str">
        <f t="shared" si="1"/>
        <v>Science B</v>
      </c>
      <c r="C149" s="236">
        <f t="shared" si="2"/>
        <v>8</v>
      </c>
      <c r="D149" s="236">
        <f t="shared" si="3"/>
        <v>32.84956267</v>
      </c>
      <c r="E149" s="236">
        <f t="shared" si="7"/>
        <v>0</v>
      </c>
      <c r="F149" s="236">
        <f t="shared" si="8"/>
        <v>1778.494459</v>
      </c>
      <c r="G149" s="238">
        <f t="shared" si="4"/>
        <v>0.03186809165</v>
      </c>
      <c r="H149" s="240" t="str">
        <f t="shared" si="5"/>
        <v>Science data acquisition and storage</v>
      </c>
      <c r="I149" s="182"/>
      <c r="J149" s="182"/>
      <c r="K149" s="11"/>
      <c r="L149" s="182"/>
      <c r="M149" s="182"/>
      <c r="N149" s="182"/>
      <c r="O149" s="182"/>
      <c r="P149" s="11"/>
      <c r="Q149" s="11"/>
      <c r="R149" s="11"/>
      <c r="S149" s="11"/>
      <c r="T149" s="11"/>
      <c r="U149" s="11"/>
      <c r="V149" s="11"/>
      <c r="W149" s="11"/>
      <c r="X149" s="11"/>
      <c r="Y149" s="11"/>
      <c r="Z149" s="11"/>
      <c r="AA149" s="11"/>
    </row>
    <row r="150" ht="15.75" customHeight="1">
      <c r="A150" s="234">
        <f t="shared" si="6"/>
        <v>508</v>
      </c>
      <c r="B150" s="298" t="str">
        <f t="shared" si="1"/>
        <v>Science B</v>
      </c>
      <c r="C150" s="236">
        <f t="shared" si="2"/>
        <v>8</v>
      </c>
      <c r="D150" s="236">
        <f t="shared" si="3"/>
        <v>32.84956267</v>
      </c>
      <c r="E150" s="236">
        <f t="shared" si="7"/>
        <v>0</v>
      </c>
      <c r="F150" s="236">
        <f t="shared" si="8"/>
        <v>1811.344021</v>
      </c>
      <c r="G150" s="238">
        <f t="shared" si="4"/>
        <v>0.0324567091</v>
      </c>
      <c r="H150" s="240" t="str">
        <f t="shared" si="5"/>
        <v>Science data acquisition and storage</v>
      </c>
      <c r="I150" s="182"/>
      <c r="J150" s="182"/>
      <c r="K150" s="11"/>
      <c r="L150" s="182"/>
      <c r="M150" s="182"/>
      <c r="N150" s="182"/>
      <c r="O150" s="182"/>
      <c r="P150" s="11"/>
      <c r="Q150" s="11"/>
      <c r="R150" s="11"/>
      <c r="S150" s="11"/>
      <c r="T150" s="11"/>
      <c r="U150" s="11"/>
      <c r="V150" s="11"/>
      <c r="W150" s="11"/>
      <c r="X150" s="11"/>
      <c r="Y150" s="11"/>
      <c r="Z150" s="11"/>
      <c r="AA150" s="11"/>
    </row>
    <row r="151" ht="15.75" customHeight="1">
      <c r="A151" s="234">
        <f t="shared" si="6"/>
        <v>512</v>
      </c>
      <c r="B151" s="298" t="str">
        <f t="shared" si="1"/>
        <v>Science B</v>
      </c>
      <c r="C151" s="236">
        <f t="shared" si="2"/>
        <v>8</v>
      </c>
      <c r="D151" s="236">
        <f t="shared" si="3"/>
        <v>32.84956267</v>
      </c>
      <c r="E151" s="236">
        <f t="shared" si="7"/>
        <v>0</v>
      </c>
      <c r="F151" s="236">
        <f t="shared" si="8"/>
        <v>1844.193584</v>
      </c>
      <c r="G151" s="238">
        <f t="shared" si="4"/>
        <v>0.03304532655</v>
      </c>
      <c r="H151" s="240" t="str">
        <f t="shared" si="5"/>
        <v>Science data acquisition and storage</v>
      </c>
      <c r="I151" s="182"/>
      <c r="J151" s="182"/>
      <c r="K151" s="11"/>
      <c r="L151" s="182"/>
      <c r="M151" s="182"/>
      <c r="N151" s="182"/>
      <c r="O151" s="182"/>
      <c r="P151" s="11"/>
      <c r="Q151" s="11"/>
      <c r="R151" s="11"/>
      <c r="S151" s="11"/>
      <c r="T151" s="11"/>
      <c r="U151" s="11"/>
      <c r="V151" s="11"/>
      <c r="W151" s="11"/>
      <c r="X151" s="11"/>
      <c r="Y151" s="11"/>
      <c r="Z151" s="11"/>
      <c r="AA151" s="11"/>
    </row>
    <row r="152" ht="15.75" customHeight="1">
      <c r="A152" s="234">
        <f t="shared" si="6"/>
        <v>516</v>
      </c>
      <c r="B152" s="298" t="str">
        <f t="shared" si="1"/>
        <v>Science B</v>
      </c>
      <c r="C152" s="236">
        <f t="shared" si="2"/>
        <v>8</v>
      </c>
      <c r="D152" s="236">
        <f t="shared" si="3"/>
        <v>32.84956267</v>
      </c>
      <c r="E152" s="236">
        <f t="shared" si="7"/>
        <v>0</v>
      </c>
      <c r="F152" s="236">
        <f t="shared" si="8"/>
        <v>1877.043147</v>
      </c>
      <c r="G152" s="238">
        <f t="shared" si="4"/>
        <v>0.033633944</v>
      </c>
      <c r="H152" s="240" t="str">
        <f t="shared" si="5"/>
        <v>Science data acquisition and storage</v>
      </c>
      <c r="I152" s="182"/>
      <c r="J152" s="182"/>
      <c r="K152" s="11"/>
      <c r="L152" s="182"/>
      <c r="M152" s="182"/>
      <c r="N152" s="182"/>
      <c r="O152" s="182"/>
      <c r="P152" s="11"/>
      <c r="Q152" s="11"/>
      <c r="R152" s="11"/>
      <c r="S152" s="11"/>
      <c r="T152" s="11"/>
      <c r="U152" s="11"/>
      <c r="V152" s="11"/>
      <c r="W152" s="11"/>
      <c r="X152" s="11"/>
      <c r="Y152" s="11"/>
      <c r="Z152" s="11"/>
      <c r="AA152" s="11"/>
    </row>
    <row r="153" ht="15.75" customHeight="1">
      <c r="A153" s="234">
        <f t="shared" si="6"/>
        <v>520</v>
      </c>
      <c r="B153" s="298" t="str">
        <f t="shared" si="1"/>
        <v>Science B</v>
      </c>
      <c r="C153" s="236">
        <f t="shared" si="2"/>
        <v>8</v>
      </c>
      <c r="D153" s="236">
        <f t="shared" si="3"/>
        <v>32.84956267</v>
      </c>
      <c r="E153" s="236">
        <f t="shared" si="7"/>
        <v>0</v>
      </c>
      <c r="F153" s="236">
        <f t="shared" si="8"/>
        <v>1909.892709</v>
      </c>
      <c r="G153" s="238">
        <f t="shared" si="4"/>
        <v>0.03422256145</v>
      </c>
      <c r="H153" s="240" t="str">
        <f t="shared" si="5"/>
        <v>Science data acquisition and storage</v>
      </c>
      <c r="I153" s="182"/>
      <c r="J153" s="182"/>
      <c r="K153" s="11"/>
      <c r="L153" s="182"/>
      <c r="M153" s="182"/>
      <c r="N153" s="182"/>
      <c r="O153" s="182"/>
      <c r="P153" s="11"/>
      <c r="Q153" s="11"/>
      <c r="R153" s="11"/>
      <c r="S153" s="11"/>
      <c r="T153" s="11"/>
      <c r="U153" s="11"/>
      <c r="V153" s="11"/>
      <c r="W153" s="11"/>
      <c r="X153" s="11"/>
      <c r="Y153" s="11"/>
      <c r="Z153" s="11"/>
      <c r="AA153" s="11"/>
    </row>
    <row r="154" ht="15.75" customHeight="1">
      <c r="A154" s="234">
        <f t="shared" si="6"/>
        <v>524</v>
      </c>
      <c r="B154" s="298" t="str">
        <f t="shared" si="1"/>
        <v>Science B</v>
      </c>
      <c r="C154" s="236">
        <f t="shared" si="2"/>
        <v>8</v>
      </c>
      <c r="D154" s="236">
        <f t="shared" si="3"/>
        <v>32.84956267</v>
      </c>
      <c r="E154" s="236">
        <f t="shared" si="7"/>
        <v>0</v>
      </c>
      <c r="F154" s="236">
        <f t="shared" si="8"/>
        <v>1942.742272</v>
      </c>
      <c r="G154" s="238">
        <f t="shared" si="4"/>
        <v>0.0348111789</v>
      </c>
      <c r="H154" s="240" t="str">
        <f t="shared" si="5"/>
        <v>Science data acquisition and storage</v>
      </c>
      <c r="I154" s="182"/>
      <c r="J154" s="182"/>
      <c r="K154" s="11"/>
      <c r="L154" s="182"/>
      <c r="M154" s="182"/>
      <c r="N154" s="182"/>
      <c r="O154" s="182"/>
      <c r="P154" s="11"/>
      <c r="Q154" s="11"/>
      <c r="R154" s="11"/>
      <c r="S154" s="11"/>
      <c r="T154" s="11"/>
      <c r="U154" s="11"/>
      <c r="V154" s="11"/>
      <c r="W154" s="11"/>
      <c r="X154" s="11"/>
      <c r="Y154" s="11"/>
      <c r="Z154" s="11"/>
      <c r="AA154" s="11"/>
    </row>
    <row r="155" ht="15.75" customHeight="1">
      <c r="A155" s="234">
        <f t="shared" si="6"/>
        <v>528</v>
      </c>
      <c r="B155" s="298" t="str">
        <f t="shared" si="1"/>
        <v>Science B</v>
      </c>
      <c r="C155" s="236">
        <f t="shared" si="2"/>
        <v>8</v>
      </c>
      <c r="D155" s="236">
        <f t="shared" si="3"/>
        <v>32.84956267</v>
      </c>
      <c r="E155" s="236">
        <f t="shared" si="7"/>
        <v>0</v>
      </c>
      <c r="F155" s="236">
        <f t="shared" si="8"/>
        <v>1975.591835</v>
      </c>
      <c r="G155" s="238">
        <f t="shared" si="4"/>
        <v>0.03539979635</v>
      </c>
      <c r="H155" s="240" t="str">
        <f t="shared" si="5"/>
        <v>Science data acquisition and storage</v>
      </c>
      <c r="I155" s="182"/>
      <c r="J155" s="182"/>
      <c r="K155" s="11"/>
      <c r="L155" s="182"/>
      <c r="M155" s="182"/>
      <c r="N155" s="182"/>
      <c r="O155" s="182"/>
      <c r="P155" s="11"/>
      <c r="Q155" s="11"/>
      <c r="R155" s="11"/>
      <c r="S155" s="11"/>
      <c r="T155" s="11"/>
      <c r="U155" s="11"/>
      <c r="V155" s="11"/>
      <c r="W155" s="11"/>
      <c r="X155" s="11"/>
      <c r="Y155" s="11"/>
      <c r="Z155" s="11"/>
      <c r="AA155" s="11"/>
    </row>
    <row r="156" ht="15.75" customHeight="1">
      <c r="A156" s="234">
        <f t="shared" si="6"/>
        <v>532</v>
      </c>
      <c r="B156" s="298" t="str">
        <f t="shared" si="1"/>
        <v>Science B</v>
      </c>
      <c r="C156" s="236">
        <f t="shared" si="2"/>
        <v>8</v>
      </c>
      <c r="D156" s="236">
        <f t="shared" si="3"/>
        <v>32.84956267</v>
      </c>
      <c r="E156" s="236">
        <f t="shared" si="7"/>
        <v>0</v>
      </c>
      <c r="F156" s="236">
        <f t="shared" si="8"/>
        <v>2008.441397</v>
      </c>
      <c r="G156" s="238">
        <f t="shared" si="4"/>
        <v>0.0359884138</v>
      </c>
      <c r="H156" s="240" t="str">
        <f t="shared" si="5"/>
        <v>Science data acquisition and storage</v>
      </c>
      <c r="I156" s="182"/>
      <c r="J156" s="182"/>
      <c r="K156" s="11"/>
      <c r="L156" s="182"/>
      <c r="M156" s="182"/>
      <c r="N156" s="182"/>
      <c r="O156" s="182"/>
      <c r="P156" s="11"/>
      <c r="Q156" s="11"/>
      <c r="R156" s="11"/>
      <c r="S156" s="11"/>
      <c r="T156" s="11"/>
      <c r="U156" s="11"/>
      <c r="V156" s="11"/>
      <c r="W156" s="11"/>
      <c r="X156" s="11"/>
      <c r="Y156" s="11"/>
      <c r="Z156" s="11"/>
      <c r="AA156" s="11"/>
    </row>
    <row r="157" ht="15.75" customHeight="1">
      <c r="A157" s="234">
        <f t="shared" si="6"/>
        <v>536</v>
      </c>
      <c r="B157" s="298" t="str">
        <f t="shared" si="1"/>
        <v>Science B</v>
      </c>
      <c r="C157" s="236">
        <f t="shared" si="2"/>
        <v>8</v>
      </c>
      <c r="D157" s="236">
        <f t="shared" si="3"/>
        <v>32.84956267</v>
      </c>
      <c r="E157" s="236">
        <f t="shared" si="7"/>
        <v>0</v>
      </c>
      <c r="F157" s="236">
        <f t="shared" si="8"/>
        <v>2041.29096</v>
      </c>
      <c r="G157" s="238">
        <f t="shared" si="4"/>
        <v>0.03657703125</v>
      </c>
      <c r="H157" s="240" t="str">
        <f t="shared" si="5"/>
        <v>Science data acquisition and storage</v>
      </c>
      <c r="I157" s="182"/>
      <c r="J157" s="182"/>
      <c r="K157" s="11"/>
      <c r="L157" s="182"/>
      <c r="M157" s="182"/>
      <c r="N157" s="182"/>
      <c r="O157" s="182"/>
      <c r="P157" s="11"/>
      <c r="Q157" s="11"/>
      <c r="R157" s="11"/>
      <c r="S157" s="11"/>
      <c r="T157" s="11"/>
      <c r="U157" s="11"/>
      <c r="V157" s="11"/>
      <c r="W157" s="11"/>
      <c r="X157" s="11"/>
      <c r="Y157" s="11"/>
      <c r="Z157" s="11"/>
      <c r="AA157" s="11"/>
    </row>
    <row r="158" ht="15.75" customHeight="1">
      <c r="A158" s="234">
        <f t="shared" si="6"/>
        <v>540</v>
      </c>
      <c r="B158" s="243" t="str">
        <f t="shared" si="1"/>
        <v>Charge</v>
      </c>
      <c r="C158" s="236">
        <f t="shared" si="2"/>
        <v>0</v>
      </c>
      <c r="D158" s="236">
        <f t="shared" si="3"/>
        <v>0.9775626664</v>
      </c>
      <c r="E158" s="236">
        <f t="shared" si="7"/>
        <v>0</v>
      </c>
      <c r="F158" s="236">
        <f t="shared" si="8"/>
        <v>2042.268523</v>
      </c>
      <c r="G158" s="238">
        <f t="shared" si="4"/>
        <v>0.03659454778</v>
      </c>
      <c r="H158" s="240" t="str">
        <f t="shared" si="5"/>
        <v>Default standby Charge</v>
      </c>
      <c r="I158" s="182"/>
      <c r="J158" s="182"/>
      <c r="K158" s="11"/>
      <c r="L158" s="182"/>
      <c r="M158" s="182"/>
      <c r="N158" s="182"/>
      <c r="O158" s="182"/>
      <c r="P158" s="11"/>
      <c r="Q158" s="11"/>
      <c r="R158" s="11"/>
      <c r="S158" s="11"/>
      <c r="T158" s="11"/>
      <c r="U158" s="11"/>
      <c r="V158" s="11"/>
      <c r="W158" s="11"/>
      <c r="X158" s="11"/>
      <c r="Y158" s="11"/>
      <c r="Z158" s="11"/>
      <c r="AA158" s="11"/>
    </row>
    <row r="159" ht="15.75" customHeight="1">
      <c r="A159" s="234">
        <f t="shared" si="6"/>
        <v>544</v>
      </c>
      <c r="B159" s="243" t="str">
        <f t="shared" si="1"/>
        <v>Charge</v>
      </c>
      <c r="C159" s="236">
        <f t="shared" si="2"/>
        <v>0</v>
      </c>
      <c r="D159" s="236">
        <f t="shared" si="3"/>
        <v>0.9775626664</v>
      </c>
      <c r="E159" s="236">
        <f t="shared" si="7"/>
        <v>0</v>
      </c>
      <c r="F159" s="236">
        <f t="shared" si="8"/>
        <v>2043.246085</v>
      </c>
      <c r="G159" s="238">
        <f t="shared" si="4"/>
        <v>0.03661206432</v>
      </c>
      <c r="H159" s="240" t="str">
        <f t="shared" si="5"/>
        <v>Default standby Charge</v>
      </c>
      <c r="I159" s="182"/>
      <c r="J159" s="182"/>
      <c r="K159" s="11"/>
      <c r="L159" s="182"/>
      <c r="M159" s="182"/>
      <c r="N159" s="182"/>
      <c r="O159" s="182"/>
      <c r="P159" s="11"/>
      <c r="Q159" s="11"/>
      <c r="R159" s="11"/>
      <c r="S159" s="11"/>
      <c r="T159" s="11"/>
      <c r="U159" s="11"/>
      <c r="V159" s="11"/>
      <c r="W159" s="11"/>
      <c r="X159" s="11"/>
      <c r="Y159" s="11"/>
      <c r="Z159" s="11"/>
      <c r="AA159" s="11"/>
    </row>
    <row r="160" ht="15.75" customHeight="1">
      <c r="A160" s="234">
        <f t="shared" si="6"/>
        <v>548</v>
      </c>
      <c r="B160" s="243" t="str">
        <f t="shared" si="1"/>
        <v>Charge</v>
      </c>
      <c r="C160" s="236">
        <f t="shared" si="2"/>
        <v>0</v>
      </c>
      <c r="D160" s="236">
        <f t="shared" si="3"/>
        <v>0.9775626664</v>
      </c>
      <c r="E160" s="236">
        <f t="shared" si="7"/>
        <v>0</v>
      </c>
      <c r="F160" s="236">
        <f t="shared" si="8"/>
        <v>2044.223648</v>
      </c>
      <c r="G160" s="238">
        <f t="shared" si="4"/>
        <v>0.03662958085</v>
      </c>
      <c r="H160" s="240" t="str">
        <f t="shared" si="5"/>
        <v>Default standby Charge</v>
      </c>
      <c r="I160" s="182"/>
      <c r="J160" s="182"/>
      <c r="K160" s="11"/>
      <c r="L160" s="182"/>
      <c r="M160" s="182"/>
      <c r="N160" s="182"/>
      <c r="O160" s="182"/>
      <c r="P160" s="11"/>
      <c r="Q160" s="11"/>
      <c r="R160" s="11"/>
      <c r="S160" s="11"/>
      <c r="T160" s="11"/>
      <c r="U160" s="11"/>
      <c r="V160" s="11"/>
      <c r="W160" s="11"/>
      <c r="X160" s="11"/>
      <c r="Y160" s="11"/>
      <c r="Z160" s="11"/>
      <c r="AA160" s="11"/>
    </row>
    <row r="161" ht="15.75" customHeight="1">
      <c r="A161" s="234">
        <f t="shared" si="6"/>
        <v>552</v>
      </c>
      <c r="B161" s="243" t="str">
        <f t="shared" si="1"/>
        <v>Charge</v>
      </c>
      <c r="C161" s="236">
        <f t="shared" si="2"/>
        <v>0</v>
      </c>
      <c r="D161" s="236">
        <f t="shared" si="3"/>
        <v>0.9775626664</v>
      </c>
      <c r="E161" s="236">
        <f t="shared" si="7"/>
        <v>0</v>
      </c>
      <c r="F161" s="236">
        <f t="shared" si="8"/>
        <v>2045.201211</v>
      </c>
      <c r="G161" s="238">
        <f t="shared" si="4"/>
        <v>0.03664709738</v>
      </c>
      <c r="H161" s="240" t="str">
        <f t="shared" si="5"/>
        <v>Default standby Charge</v>
      </c>
      <c r="I161" s="182"/>
      <c r="J161" s="182"/>
      <c r="K161" s="11"/>
      <c r="L161" s="182"/>
      <c r="M161" s="182"/>
      <c r="N161" s="182"/>
      <c r="O161" s="182"/>
      <c r="P161" s="11"/>
      <c r="Q161" s="11"/>
      <c r="R161" s="11"/>
      <c r="S161" s="11"/>
      <c r="T161" s="11"/>
      <c r="U161" s="11"/>
      <c r="V161" s="11"/>
      <c r="W161" s="11"/>
      <c r="X161" s="11"/>
      <c r="Y161" s="11"/>
      <c r="Z161" s="11"/>
      <c r="AA161" s="11"/>
    </row>
    <row r="162" ht="15.75" customHeight="1">
      <c r="A162" s="234">
        <f t="shared" si="6"/>
        <v>556</v>
      </c>
      <c r="B162" s="243" t="str">
        <f t="shared" si="1"/>
        <v>Charge</v>
      </c>
      <c r="C162" s="236">
        <f t="shared" si="2"/>
        <v>0</v>
      </c>
      <c r="D162" s="236">
        <f t="shared" si="3"/>
        <v>0.9775626664</v>
      </c>
      <c r="E162" s="236">
        <f t="shared" si="7"/>
        <v>0</v>
      </c>
      <c r="F162" s="236">
        <f t="shared" si="8"/>
        <v>2046.178773</v>
      </c>
      <c r="G162" s="238">
        <f t="shared" si="4"/>
        <v>0.03666461391</v>
      </c>
      <c r="H162" s="240" t="str">
        <f t="shared" si="5"/>
        <v>Default standby Charge</v>
      </c>
      <c r="I162" s="182"/>
      <c r="J162" s="182"/>
      <c r="K162" s="11"/>
      <c r="L162" s="182"/>
      <c r="M162" s="182"/>
      <c r="N162" s="182"/>
      <c r="O162" s="182"/>
      <c r="P162" s="11"/>
      <c r="Q162" s="11"/>
      <c r="R162" s="11"/>
      <c r="S162" s="11"/>
      <c r="T162" s="11"/>
      <c r="U162" s="11"/>
      <c r="V162" s="11"/>
      <c r="W162" s="11"/>
      <c r="X162" s="11"/>
      <c r="Y162" s="11"/>
      <c r="Z162" s="11"/>
      <c r="AA162" s="11"/>
    </row>
    <row r="163" ht="15.75" customHeight="1">
      <c r="A163" s="234">
        <f t="shared" si="6"/>
        <v>560</v>
      </c>
      <c r="B163" s="243" t="str">
        <f t="shared" si="1"/>
        <v>Charge</v>
      </c>
      <c r="C163" s="236">
        <f t="shared" si="2"/>
        <v>0</v>
      </c>
      <c r="D163" s="236">
        <f t="shared" si="3"/>
        <v>0.9775626664</v>
      </c>
      <c r="E163" s="236">
        <f t="shared" si="7"/>
        <v>0</v>
      </c>
      <c r="F163" s="236">
        <f t="shared" si="8"/>
        <v>2047.156336</v>
      </c>
      <c r="G163" s="238">
        <f t="shared" si="4"/>
        <v>0.03668213045</v>
      </c>
      <c r="H163" s="240" t="str">
        <f t="shared" si="5"/>
        <v>Default standby Charge</v>
      </c>
      <c r="I163" s="182"/>
      <c r="J163" s="182"/>
      <c r="K163" s="11"/>
      <c r="L163" s="182"/>
      <c r="M163" s="182"/>
      <c r="N163" s="182"/>
      <c r="O163" s="182"/>
      <c r="P163" s="11"/>
      <c r="Q163" s="11"/>
      <c r="R163" s="11"/>
      <c r="S163" s="11"/>
      <c r="T163" s="11"/>
      <c r="U163" s="11"/>
      <c r="V163" s="11"/>
      <c r="W163" s="11"/>
      <c r="X163" s="11"/>
      <c r="Y163" s="11"/>
      <c r="Z163" s="11"/>
      <c r="AA163" s="11"/>
    </row>
    <row r="164" ht="15.75" customHeight="1">
      <c r="A164" s="234">
        <f t="shared" si="6"/>
        <v>564</v>
      </c>
      <c r="B164" s="243" t="str">
        <f t="shared" si="1"/>
        <v>Charge</v>
      </c>
      <c r="C164" s="236">
        <f t="shared" si="2"/>
        <v>0</v>
      </c>
      <c r="D164" s="236">
        <f t="shared" si="3"/>
        <v>0.9775626664</v>
      </c>
      <c r="E164" s="236">
        <f t="shared" si="7"/>
        <v>0</v>
      </c>
      <c r="F164" s="236">
        <f t="shared" si="8"/>
        <v>2048.133899</v>
      </c>
      <c r="G164" s="238">
        <f t="shared" si="4"/>
        <v>0.03669964698</v>
      </c>
      <c r="H164" s="240" t="str">
        <f t="shared" si="5"/>
        <v>Default standby Charge</v>
      </c>
      <c r="I164" s="182"/>
      <c r="J164" s="182"/>
      <c r="K164" s="11"/>
      <c r="L164" s="182"/>
      <c r="M164" s="182"/>
      <c r="N164" s="182"/>
      <c r="O164" s="182"/>
      <c r="P164" s="11"/>
      <c r="Q164" s="11"/>
      <c r="R164" s="11"/>
      <c r="S164" s="11"/>
      <c r="T164" s="11"/>
      <c r="U164" s="11"/>
      <c r="V164" s="11"/>
      <c r="W164" s="11"/>
      <c r="X164" s="11"/>
      <c r="Y164" s="11"/>
      <c r="Z164" s="11"/>
      <c r="AA164" s="11"/>
    </row>
    <row r="165" ht="15.75" customHeight="1">
      <c r="A165" s="234">
        <f t="shared" si="6"/>
        <v>568</v>
      </c>
      <c r="B165" s="243" t="str">
        <f t="shared" si="1"/>
        <v>Charge</v>
      </c>
      <c r="C165" s="236">
        <f t="shared" si="2"/>
        <v>0</v>
      </c>
      <c r="D165" s="236">
        <f t="shared" si="3"/>
        <v>0.9775626664</v>
      </c>
      <c r="E165" s="236">
        <f t="shared" si="7"/>
        <v>0</v>
      </c>
      <c r="F165" s="236">
        <f t="shared" si="8"/>
        <v>2049.111461</v>
      </c>
      <c r="G165" s="238">
        <f t="shared" si="4"/>
        <v>0.03671716351</v>
      </c>
      <c r="H165" s="240" t="str">
        <f t="shared" si="5"/>
        <v>Default standby Charge</v>
      </c>
      <c r="I165" s="182"/>
      <c r="J165" s="182"/>
      <c r="K165" s="11"/>
      <c r="L165" s="182"/>
      <c r="M165" s="182"/>
      <c r="N165" s="182"/>
      <c r="O165" s="182"/>
      <c r="P165" s="11"/>
      <c r="Q165" s="11"/>
      <c r="R165" s="11"/>
      <c r="S165" s="11"/>
      <c r="T165" s="11"/>
      <c r="U165" s="11"/>
      <c r="V165" s="11"/>
      <c r="W165" s="11"/>
      <c r="X165" s="11"/>
      <c r="Y165" s="11"/>
      <c r="Z165" s="11"/>
      <c r="AA165" s="11"/>
    </row>
    <row r="166" ht="15.75" customHeight="1">
      <c r="A166" s="234">
        <f t="shared" si="6"/>
        <v>572</v>
      </c>
      <c r="B166" s="243" t="str">
        <f t="shared" si="1"/>
        <v>Charge</v>
      </c>
      <c r="C166" s="236">
        <f t="shared" si="2"/>
        <v>0</v>
      </c>
      <c r="D166" s="236">
        <f t="shared" si="3"/>
        <v>0.9775626664</v>
      </c>
      <c r="E166" s="236">
        <f t="shared" si="7"/>
        <v>0</v>
      </c>
      <c r="F166" s="236">
        <f t="shared" si="8"/>
        <v>2050.089024</v>
      </c>
      <c r="G166" s="238">
        <f t="shared" si="4"/>
        <v>0.03673468005</v>
      </c>
      <c r="H166" s="240" t="str">
        <f t="shared" si="5"/>
        <v>Default standby Charge</v>
      </c>
      <c r="I166" s="182"/>
      <c r="J166" s="182"/>
      <c r="K166" s="11"/>
      <c r="L166" s="182"/>
      <c r="M166" s="182"/>
      <c r="N166" s="182"/>
      <c r="O166" s="182"/>
      <c r="P166" s="11"/>
      <c r="Q166" s="11"/>
      <c r="R166" s="11"/>
      <c r="S166" s="11"/>
      <c r="T166" s="11"/>
      <c r="U166" s="11"/>
      <c r="V166" s="11"/>
      <c r="W166" s="11"/>
      <c r="X166" s="11"/>
      <c r="Y166" s="11"/>
      <c r="Z166" s="11"/>
      <c r="AA166" s="11"/>
    </row>
    <row r="167" ht="15.75" customHeight="1">
      <c r="A167" s="234">
        <f t="shared" si="6"/>
        <v>576</v>
      </c>
      <c r="B167" s="243" t="str">
        <f t="shared" si="1"/>
        <v>Charge</v>
      </c>
      <c r="C167" s="236">
        <f t="shared" si="2"/>
        <v>0</v>
      </c>
      <c r="D167" s="236">
        <f t="shared" si="3"/>
        <v>0.9775626664</v>
      </c>
      <c r="E167" s="236">
        <f t="shared" si="7"/>
        <v>0</v>
      </c>
      <c r="F167" s="236">
        <f t="shared" si="8"/>
        <v>2051.066587</v>
      </c>
      <c r="G167" s="238">
        <f t="shared" si="4"/>
        <v>0.03675219658</v>
      </c>
      <c r="H167" s="240" t="str">
        <f t="shared" si="5"/>
        <v>Default standby Charge</v>
      </c>
      <c r="I167" s="182"/>
      <c r="J167" s="182"/>
      <c r="K167" s="11"/>
      <c r="L167" s="182"/>
      <c r="M167" s="182"/>
      <c r="N167" s="182"/>
      <c r="O167" s="182"/>
      <c r="P167" s="11"/>
      <c r="Q167" s="11"/>
      <c r="R167" s="11"/>
      <c r="S167" s="11"/>
      <c r="T167" s="11"/>
      <c r="U167" s="11"/>
      <c r="V167" s="11"/>
      <c r="W167" s="11"/>
      <c r="X167" s="11"/>
      <c r="Y167" s="11"/>
      <c r="Z167" s="11"/>
      <c r="AA167" s="11"/>
    </row>
    <row r="168" ht="15.75" customHeight="1">
      <c r="A168" s="234">
        <f t="shared" si="6"/>
        <v>580</v>
      </c>
      <c r="B168" s="299" t="str">
        <f t="shared" si="1"/>
        <v>Science C</v>
      </c>
      <c r="C168" s="236">
        <f t="shared" si="2"/>
        <v>8</v>
      </c>
      <c r="D168" s="236">
        <f t="shared" si="3"/>
        <v>64.81756267</v>
      </c>
      <c r="E168" s="236">
        <f t="shared" si="7"/>
        <v>0</v>
      </c>
      <c r="F168" s="236">
        <f t="shared" si="8"/>
        <v>2115.884149</v>
      </c>
      <c r="G168" s="238">
        <f t="shared" si="4"/>
        <v>0.03791363513</v>
      </c>
      <c r="H168" s="240" t="str">
        <f t="shared" si="5"/>
        <v>Science data acquisition and storage</v>
      </c>
      <c r="I168" s="182"/>
      <c r="J168" s="182"/>
      <c r="K168" s="11"/>
      <c r="L168" s="182"/>
      <c r="M168" s="182"/>
      <c r="N168" s="182"/>
      <c r="O168" s="182"/>
      <c r="P168" s="11"/>
      <c r="Q168" s="11"/>
      <c r="R168" s="11"/>
      <c r="S168" s="11"/>
      <c r="T168" s="11"/>
      <c r="U168" s="11"/>
      <c r="V168" s="11"/>
      <c r="W168" s="11"/>
      <c r="X168" s="11"/>
      <c r="Y168" s="11"/>
      <c r="Z168" s="11"/>
      <c r="AA168" s="11"/>
    </row>
    <row r="169" ht="15.75" customHeight="1">
      <c r="A169" s="234">
        <f t="shared" si="6"/>
        <v>584</v>
      </c>
      <c r="B169" s="299" t="str">
        <f t="shared" si="1"/>
        <v>Science C</v>
      </c>
      <c r="C169" s="236">
        <f t="shared" si="2"/>
        <v>8</v>
      </c>
      <c r="D169" s="236">
        <f t="shared" si="3"/>
        <v>64.81756267</v>
      </c>
      <c r="E169" s="236">
        <f t="shared" si="7"/>
        <v>0</v>
      </c>
      <c r="F169" s="236">
        <f t="shared" si="8"/>
        <v>2180.701712</v>
      </c>
      <c r="G169" s="238">
        <f t="shared" si="4"/>
        <v>0.03907507368</v>
      </c>
      <c r="H169" s="240" t="str">
        <f t="shared" si="5"/>
        <v>Science data acquisition and storage</v>
      </c>
      <c r="I169" s="182"/>
      <c r="J169" s="182"/>
      <c r="K169" s="11"/>
      <c r="L169" s="182"/>
      <c r="M169" s="182"/>
      <c r="N169" s="182"/>
      <c r="O169" s="182"/>
      <c r="P169" s="11"/>
      <c r="Q169" s="11"/>
      <c r="R169" s="11"/>
      <c r="S169" s="11"/>
      <c r="T169" s="11"/>
      <c r="U169" s="11"/>
      <c r="V169" s="11"/>
      <c r="W169" s="11"/>
      <c r="X169" s="11"/>
      <c r="Y169" s="11"/>
      <c r="Z169" s="11"/>
      <c r="AA169" s="11"/>
    </row>
    <row r="170" ht="15.75" customHeight="1">
      <c r="A170" s="234">
        <f t="shared" si="6"/>
        <v>588</v>
      </c>
      <c r="B170" s="299" t="str">
        <f t="shared" si="1"/>
        <v>Science C</v>
      </c>
      <c r="C170" s="236">
        <f t="shared" si="2"/>
        <v>8</v>
      </c>
      <c r="D170" s="236">
        <f t="shared" si="3"/>
        <v>64.81756267</v>
      </c>
      <c r="E170" s="236">
        <f t="shared" si="7"/>
        <v>0</v>
      </c>
      <c r="F170" s="236">
        <f t="shared" si="8"/>
        <v>2245.519275</v>
      </c>
      <c r="G170" s="238">
        <f t="shared" si="4"/>
        <v>0.04023651223</v>
      </c>
      <c r="H170" s="240" t="str">
        <f t="shared" si="5"/>
        <v>Science data acquisition and storage</v>
      </c>
      <c r="I170" s="182"/>
      <c r="J170" s="182"/>
      <c r="K170" s="11"/>
      <c r="L170" s="182"/>
      <c r="M170" s="182"/>
      <c r="N170" s="182"/>
      <c r="O170" s="182"/>
      <c r="P170" s="11"/>
      <c r="Q170" s="11"/>
      <c r="R170" s="11"/>
      <c r="S170" s="11"/>
      <c r="T170" s="11"/>
      <c r="U170" s="11"/>
      <c r="V170" s="11"/>
      <c r="W170" s="11"/>
      <c r="X170" s="11"/>
      <c r="Y170" s="11"/>
      <c r="Z170" s="11"/>
      <c r="AA170" s="11"/>
    </row>
    <row r="171" ht="15.75" customHeight="1">
      <c r="A171" s="234">
        <f t="shared" si="6"/>
        <v>592</v>
      </c>
      <c r="B171" s="299" t="str">
        <f t="shared" si="1"/>
        <v>Science C</v>
      </c>
      <c r="C171" s="236">
        <f t="shared" si="2"/>
        <v>8</v>
      </c>
      <c r="D171" s="236">
        <f t="shared" si="3"/>
        <v>64.81756267</v>
      </c>
      <c r="E171" s="236">
        <f t="shared" si="7"/>
        <v>0</v>
      </c>
      <c r="F171" s="236">
        <f t="shared" si="8"/>
        <v>2310.336837</v>
      </c>
      <c r="G171" s="238">
        <f t="shared" si="4"/>
        <v>0.04139795078</v>
      </c>
      <c r="H171" s="240" t="str">
        <f t="shared" si="5"/>
        <v>Science data acquisition and storage</v>
      </c>
      <c r="I171" s="182"/>
      <c r="J171" s="182"/>
      <c r="K171" s="11"/>
      <c r="L171" s="182"/>
      <c r="M171" s="182"/>
      <c r="N171" s="182"/>
      <c r="O171" s="182"/>
      <c r="P171" s="11"/>
      <c r="Q171" s="11"/>
      <c r="R171" s="11"/>
      <c r="S171" s="11"/>
      <c r="T171" s="11"/>
      <c r="U171" s="11"/>
      <c r="V171" s="11"/>
      <c r="W171" s="11"/>
      <c r="X171" s="11"/>
      <c r="Y171" s="11"/>
      <c r="Z171" s="11"/>
      <c r="AA171" s="11"/>
    </row>
    <row r="172" ht="15.75" customHeight="1">
      <c r="A172" s="234">
        <f t="shared" si="6"/>
        <v>596</v>
      </c>
      <c r="B172" s="299" t="str">
        <f t="shared" si="1"/>
        <v>Science C</v>
      </c>
      <c r="C172" s="236">
        <f t="shared" si="2"/>
        <v>8</v>
      </c>
      <c r="D172" s="236">
        <f t="shared" si="3"/>
        <v>64.81756267</v>
      </c>
      <c r="E172" s="236">
        <f t="shared" si="7"/>
        <v>0</v>
      </c>
      <c r="F172" s="236">
        <f t="shared" si="8"/>
        <v>2375.1544</v>
      </c>
      <c r="G172" s="238">
        <f t="shared" si="4"/>
        <v>0.04255938933</v>
      </c>
      <c r="H172" s="240" t="str">
        <f t="shared" si="5"/>
        <v>Science data acquisition and storage</v>
      </c>
      <c r="I172" s="182"/>
      <c r="J172" s="182"/>
      <c r="K172" s="11"/>
      <c r="L172" s="182"/>
      <c r="M172" s="182"/>
      <c r="N172" s="182"/>
      <c r="O172" s="182"/>
      <c r="P172" s="11"/>
      <c r="Q172" s="11"/>
      <c r="R172" s="11"/>
      <c r="S172" s="11"/>
      <c r="T172" s="11"/>
      <c r="U172" s="11"/>
      <c r="V172" s="11"/>
      <c r="W172" s="11"/>
      <c r="X172" s="11"/>
      <c r="Y172" s="11"/>
      <c r="Z172" s="11"/>
      <c r="AA172" s="11"/>
    </row>
    <row r="173" ht="15.75" customHeight="1">
      <c r="A173" s="234">
        <f t="shared" si="6"/>
        <v>600</v>
      </c>
      <c r="B173" s="255" t="str">
        <f t="shared" si="1"/>
        <v>Downlink</v>
      </c>
      <c r="C173" s="236">
        <f t="shared" si="2"/>
        <v>0</v>
      </c>
      <c r="D173" s="236">
        <f t="shared" si="3"/>
        <v>0.9775626664</v>
      </c>
      <c r="E173" s="236">
        <f t="shared" si="7"/>
        <v>0.75</v>
      </c>
      <c r="F173" s="236">
        <f t="shared" si="8"/>
        <v>2375.381963</v>
      </c>
      <c r="G173" s="238">
        <f t="shared" si="4"/>
        <v>0.04256346693</v>
      </c>
      <c r="H173" s="240" t="str">
        <f t="shared" si="5"/>
        <v>Validated contact; Downlink preempts Science</v>
      </c>
      <c r="I173" s="182"/>
      <c r="J173" s="182"/>
      <c r="K173" s="11"/>
      <c r="L173" s="182"/>
      <c r="M173" s="182"/>
      <c r="N173" s="182"/>
      <c r="O173" s="182"/>
      <c r="P173" s="11"/>
      <c r="Q173" s="11"/>
      <c r="R173" s="11"/>
      <c r="S173" s="11"/>
      <c r="T173" s="11"/>
      <c r="U173" s="11"/>
      <c r="V173" s="11"/>
      <c r="W173" s="11"/>
      <c r="X173" s="11"/>
      <c r="Y173" s="11"/>
      <c r="Z173" s="11"/>
      <c r="AA173" s="11"/>
    </row>
    <row r="174" ht="15.75" customHeight="1">
      <c r="A174" s="234">
        <f t="shared" si="6"/>
        <v>604</v>
      </c>
      <c r="B174" s="255" t="str">
        <f t="shared" si="1"/>
        <v>Downlink</v>
      </c>
      <c r="C174" s="236">
        <f t="shared" si="2"/>
        <v>0</v>
      </c>
      <c r="D174" s="236">
        <f t="shared" si="3"/>
        <v>0.9775626664</v>
      </c>
      <c r="E174" s="236">
        <f t="shared" si="7"/>
        <v>0.75</v>
      </c>
      <c r="F174" s="236">
        <f t="shared" si="8"/>
        <v>2375.609525</v>
      </c>
      <c r="G174" s="238">
        <f t="shared" si="4"/>
        <v>0.04256754453</v>
      </c>
      <c r="H174" s="240" t="str">
        <f t="shared" si="5"/>
        <v>Validated contact; Downlink preempts Science</v>
      </c>
      <c r="I174" s="182"/>
      <c r="J174" s="182"/>
      <c r="K174" s="11"/>
      <c r="L174" s="182"/>
      <c r="M174" s="182"/>
      <c r="N174" s="182"/>
      <c r="O174" s="182"/>
      <c r="P174" s="11"/>
      <c r="Q174" s="11"/>
      <c r="R174" s="11"/>
      <c r="S174" s="11"/>
      <c r="T174" s="11"/>
      <c r="U174" s="11"/>
      <c r="V174" s="11"/>
      <c r="W174" s="11"/>
      <c r="X174" s="11"/>
      <c r="Y174" s="11"/>
      <c r="Z174" s="11"/>
      <c r="AA174" s="11"/>
    </row>
    <row r="175" ht="15.75" customHeight="1">
      <c r="A175" s="234">
        <f t="shared" si="6"/>
        <v>608</v>
      </c>
      <c r="B175" s="299" t="str">
        <f t="shared" si="1"/>
        <v>Science C</v>
      </c>
      <c r="C175" s="236">
        <f t="shared" si="2"/>
        <v>8</v>
      </c>
      <c r="D175" s="236">
        <f t="shared" si="3"/>
        <v>64.81756267</v>
      </c>
      <c r="E175" s="236">
        <f t="shared" si="7"/>
        <v>0</v>
      </c>
      <c r="F175" s="236">
        <f t="shared" si="8"/>
        <v>2440.427088</v>
      </c>
      <c r="G175" s="238">
        <f t="shared" si="4"/>
        <v>0.04372898308</v>
      </c>
      <c r="H175" s="240" t="str">
        <f t="shared" si="5"/>
        <v>Science data acquisition and storage</v>
      </c>
      <c r="I175" s="182"/>
      <c r="J175" s="182"/>
      <c r="K175" s="11"/>
      <c r="L175" s="182"/>
      <c r="M175" s="182"/>
      <c r="N175" s="182"/>
      <c r="O175" s="182"/>
      <c r="P175" s="11"/>
      <c r="Q175" s="11"/>
      <c r="R175" s="11"/>
      <c r="S175" s="11"/>
      <c r="T175" s="11"/>
      <c r="U175" s="11"/>
      <c r="V175" s="11"/>
      <c r="W175" s="11"/>
      <c r="X175" s="11"/>
      <c r="Y175" s="11"/>
      <c r="Z175" s="11"/>
      <c r="AA175" s="11"/>
    </row>
    <row r="176" ht="15.75" customHeight="1">
      <c r="A176" s="234">
        <f t="shared" si="6"/>
        <v>612</v>
      </c>
      <c r="B176" s="299" t="str">
        <f t="shared" si="1"/>
        <v>Science C</v>
      </c>
      <c r="C176" s="236">
        <f t="shared" si="2"/>
        <v>8</v>
      </c>
      <c r="D176" s="236">
        <f t="shared" si="3"/>
        <v>64.81756267</v>
      </c>
      <c r="E176" s="236">
        <f t="shared" si="7"/>
        <v>0</v>
      </c>
      <c r="F176" s="236">
        <f t="shared" si="8"/>
        <v>2505.244651</v>
      </c>
      <c r="G176" s="238">
        <f t="shared" si="4"/>
        <v>0.04489042164</v>
      </c>
      <c r="H176" s="240" t="str">
        <f t="shared" si="5"/>
        <v>Science data acquisition and storage</v>
      </c>
      <c r="I176" s="182"/>
      <c r="J176" s="182"/>
      <c r="K176" s="11"/>
      <c r="L176" s="182"/>
      <c r="M176" s="182"/>
      <c r="N176" s="182"/>
      <c r="O176" s="182"/>
      <c r="P176" s="11"/>
      <c r="Q176" s="11"/>
      <c r="R176" s="11"/>
      <c r="S176" s="11"/>
      <c r="T176" s="11"/>
      <c r="U176" s="11"/>
      <c r="V176" s="11"/>
      <c r="W176" s="11"/>
      <c r="X176" s="11"/>
      <c r="Y176" s="11"/>
      <c r="Z176" s="11"/>
      <c r="AA176" s="11"/>
    </row>
    <row r="177" ht="15.75" customHeight="1">
      <c r="A177" s="234">
        <f t="shared" si="6"/>
        <v>616</v>
      </c>
      <c r="B177" s="299" t="str">
        <f t="shared" si="1"/>
        <v>Science C</v>
      </c>
      <c r="C177" s="236">
        <f t="shared" si="2"/>
        <v>8</v>
      </c>
      <c r="D177" s="236">
        <f t="shared" si="3"/>
        <v>64.81756267</v>
      </c>
      <c r="E177" s="236">
        <f t="shared" si="7"/>
        <v>0</v>
      </c>
      <c r="F177" s="236">
        <f t="shared" si="8"/>
        <v>2570.062213</v>
      </c>
      <c r="G177" s="238">
        <f t="shared" si="4"/>
        <v>0.04605186019</v>
      </c>
      <c r="H177" s="240" t="str">
        <f t="shared" si="5"/>
        <v>Science data acquisition and storage</v>
      </c>
      <c r="I177" s="182"/>
      <c r="J177" s="182"/>
      <c r="K177" s="11"/>
      <c r="L177" s="182"/>
      <c r="M177" s="182"/>
      <c r="N177" s="182"/>
      <c r="O177" s="182"/>
      <c r="P177" s="11"/>
      <c r="Q177" s="11"/>
      <c r="R177" s="11"/>
      <c r="S177" s="11"/>
      <c r="T177" s="11"/>
      <c r="U177" s="11"/>
      <c r="V177" s="11"/>
      <c r="W177" s="11"/>
      <c r="X177" s="11"/>
      <c r="Y177" s="11"/>
      <c r="Z177" s="11"/>
      <c r="AA177" s="11"/>
    </row>
    <row r="178" ht="15.75" customHeight="1">
      <c r="A178" s="234">
        <f t="shared" si="6"/>
        <v>620</v>
      </c>
      <c r="B178" s="299" t="str">
        <f t="shared" si="1"/>
        <v>Science C</v>
      </c>
      <c r="C178" s="236">
        <f t="shared" si="2"/>
        <v>8</v>
      </c>
      <c r="D178" s="236">
        <f t="shared" si="3"/>
        <v>64.81756267</v>
      </c>
      <c r="E178" s="236">
        <f t="shared" si="7"/>
        <v>0</v>
      </c>
      <c r="F178" s="236">
        <f t="shared" si="8"/>
        <v>2634.879776</v>
      </c>
      <c r="G178" s="238">
        <f t="shared" si="4"/>
        <v>0.04721329874</v>
      </c>
      <c r="H178" s="240" t="str">
        <f t="shared" si="5"/>
        <v>Science data acquisition and storage</v>
      </c>
      <c r="I178" s="182"/>
      <c r="J178" s="182"/>
      <c r="K178" s="11"/>
      <c r="L178" s="182"/>
      <c r="M178" s="182"/>
      <c r="N178" s="182"/>
      <c r="O178" s="182"/>
      <c r="P178" s="11"/>
      <c r="Q178" s="11"/>
      <c r="R178" s="11"/>
      <c r="S178" s="11"/>
      <c r="T178" s="11"/>
      <c r="U178" s="11"/>
      <c r="V178" s="11"/>
      <c r="W178" s="11"/>
      <c r="X178" s="11"/>
      <c r="Y178" s="11"/>
      <c r="Z178" s="11"/>
      <c r="AA178" s="11"/>
    </row>
    <row r="179" ht="15.75" customHeight="1">
      <c r="A179" s="234">
        <f t="shared" si="6"/>
        <v>624</v>
      </c>
      <c r="B179" s="299" t="str">
        <f t="shared" si="1"/>
        <v>Science C</v>
      </c>
      <c r="C179" s="236">
        <f t="shared" si="2"/>
        <v>8</v>
      </c>
      <c r="D179" s="236">
        <f t="shared" si="3"/>
        <v>64.81756267</v>
      </c>
      <c r="E179" s="236">
        <f t="shared" si="7"/>
        <v>0</v>
      </c>
      <c r="F179" s="236">
        <f t="shared" si="8"/>
        <v>2699.697339</v>
      </c>
      <c r="G179" s="238">
        <f t="shared" si="4"/>
        <v>0.04837473729</v>
      </c>
      <c r="H179" s="240" t="str">
        <f t="shared" si="5"/>
        <v>Science data acquisition and storage</v>
      </c>
      <c r="I179" s="182"/>
      <c r="J179" s="182"/>
      <c r="K179" s="11"/>
      <c r="L179" s="182"/>
      <c r="M179" s="182"/>
      <c r="N179" s="182"/>
      <c r="O179" s="182"/>
      <c r="P179" s="11"/>
      <c r="Q179" s="11"/>
      <c r="R179" s="11"/>
      <c r="S179" s="11"/>
      <c r="T179" s="11"/>
      <c r="U179" s="11"/>
      <c r="V179" s="11"/>
      <c r="W179" s="11"/>
      <c r="X179" s="11"/>
      <c r="Y179" s="11"/>
      <c r="Z179" s="11"/>
      <c r="AA179" s="11"/>
    </row>
    <row r="180" ht="15.75" customHeight="1">
      <c r="A180" s="234">
        <f t="shared" si="6"/>
        <v>628</v>
      </c>
      <c r="B180" s="299" t="str">
        <f t="shared" si="1"/>
        <v>Science C</v>
      </c>
      <c r="C180" s="236">
        <f t="shared" si="2"/>
        <v>8</v>
      </c>
      <c r="D180" s="236">
        <f t="shared" si="3"/>
        <v>64.81756267</v>
      </c>
      <c r="E180" s="236">
        <f t="shared" si="7"/>
        <v>0</v>
      </c>
      <c r="F180" s="236">
        <f t="shared" si="8"/>
        <v>2764.514901</v>
      </c>
      <c r="G180" s="238">
        <f t="shared" si="4"/>
        <v>0.04953617584</v>
      </c>
      <c r="H180" s="240" t="str">
        <f t="shared" si="5"/>
        <v>Science data acquisition and storage</v>
      </c>
      <c r="I180" s="182"/>
      <c r="J180" s="182"/>
      <c r="K180" s="11"/>
      <c r="L180" s="182"/>
      <c r="M180" s="182"/>
      <c r="N180" s="182"/>
      <c r="O180" s="182"/>
      <c r="P180" s="11"/>
      <c r="Q180" s="11"/>
      <c r="R180" s="11"/>
      <c r="S180" s="11"/>
      <c r="T180" s="11"/>
      <c r="U180" s="11"/>
      <c r="V180" s="11"/>
      <c r="W180" s="11"/>
      <c r="X180" s="11"/>
      <c r="Y180" s="11"/>
      <c r="Z180" s="11"/>
      <c r="AA180" s="11"/>
    </row>
    <row r="181" ht="15.75" customHeight="1">
      <c r="A181" s="234">
        <f t="shared" si="6"/>
        <v>632</v>
      </c>
      <c r="B181" s="299" t="str">
        <f t="shared" si="1"/>
        <v>Science C</v>
      </c>
      <c r="C181" s="236">
        <f t="shared" si="2"/>
        <v>8</v>
      </c>
      <c r="D181" s="236">
        <f t="shared" si="3"/>
        <v>64.81756267</v>
      </c>
      <c r="E181" s="236">
        <f t="shared" si="7"/>
        <v>0</v>
      </c>
      <c r="F181" s="236">
        <f t="shared" si="8"/>
        <v>2829.332464</v>
      </c>
      <c r="G181" s="238">
        <f t="shared" si="4"/>
        <v>0.05069761439</v>
      </c>
      <c r="H181" s="240" t="str">
        <f t="shared" si="5"/>
        <v>Science data acquisition and storage</v>
      </c>
      <c r="I181" s="182"/>
      <c r="J181" s="182"/>
      <c r="K181" s="11"/>
      <c r="L181" s="182"/>
      <c r="M181" s="182"/>
      <c r="N181" s="182"/>
      <c r="O181" s="182"/>
      <c r="P181" s="11"/>
      <c r="Q181" s="11"/>
      <c r="R181" s="11"/>
      <c r="S181" s="11"/>
      <c r="T181" s="11"/>
      <c r="U181" s="11"/>
      <c r="V181" s="11"/>
      <c r="W181" s="11"/>
      <c r="X181" s="11"/>
      <c r="Y181" s="11"/>
      <c r="Z181" s="11"/>
      <c r="AA181" s="11"/>
    </row>
    <row r="182" ht="15.75" customHeight="1">
      <c r="A182" s="234">
        <f t="shared" si="6"/>
        <v>636</v>
      </c>
      <c r="B182" s="299" t="str">
        <f t="shared" si="1"/>
        <v>Science C</v>
      </c>
      <c r="C182" s="236">
        <f t="shared" si="2"/>
        <v>8</v>
      </c>
      <c r="D182" s="236">
        <f t="shared" si="3"/>
        <v>64.81756267</v>
      </c>
      <c r="E182" s="236">
        <f t="shared" si="7"/>
        <v>0</v>
      </c>
      <c r="F182" s="236">
        <f t="shared" si="8"/>
        <v>2894.150027</v>
      </c>
      <c r="G182" s="238">
        <f t="shared" si="4"/>
        <v>0.05185905294</v>
      </c>
      <c r="H182" s="240" t="str">
        <f t="shared" si="5"/>
        <v>Science data acquisition and storage</v>
      </c>
      <c r="I182" s="182"/>
      <c r="J182" s="182"/>
      <c r="K182" s="11"/>
      <c r="L182" s="182"/>
      <c r="M182" s="182"/>
      <c r="N182" s="182"/>
      <c r="O182" s="182"/>
      <c r="P182" s="11"/>
      <c r="Q182" s="11"/>
      <c r="R182" s="11"/>
      <c r="S182" s="11"/>
      <c r="T182" s="11"/>
      <c r="U182" s="11"/>
      <c r="V182" s="11"/>
      <c r="W182" s="11"/>
      <c r="X182" s="11"/>
      <c r="Y182" s="11"/>
      <c r="Z182" s="11"/>
      <c r="AA182" s="11"/>
    </row>
    <row r="183" ht="15.75" customHeight="1">
      <c r="A183" s="234">
        <f t="shared" si="6"/>
        <v>640</v>
      </c>
      <c r="B183" s="299" t="str">
        <f t="shared" si="1"/>
        <v>Science C</v>
      </c>
      <c r="C183" s="236">
        <f t="shared" si="2"/>
        <v>8</v>
      </c>
      <c r="D183" s="236">
        <f t="shared" si="3"/>
        <v>64.81756267</v>
      </c>
      <c r="E183" s="236">
        <f t="shared" si="7"/>
        <v>0</v>
      </c>
      <c r="F183" s="236">
        <f t="shared" si="8"/>
        <v>2958.967589</v>
      </c>
      <c r="G183" s="238">
        <f t="shared" si="4"/>
        <v>0.05302049149</v>
      </c>
      <c r="H183" s="240" t="str">
        <f t="shared" si="5"/>
        <v>Science data acquisition and storage</v>
      </c>
      <c r="I183" s="182"/>
      <c r="J183" s="182"/>
      <c r="K183" s="11"/>
      <c r="L183" s="182"/>
      <c r="M183" s="182"/>
      <c r="N183" s="182"/>
      <c r="O183" s="182"/>
      <c r="P183" s="11"/>
      <c r="Q183" s="11"/>
      <c r="R183" s="11"/>
      <c r="S183" s="11"/>
      <c r="T183" s="11"/>
      <c r="U183" s="11"/>
      <c r="V183" s="11"/>
      <c r="W183" s="11"/>
      <c r="X183" s="11"/>
      <c r="Y183" s="11"/>
      <c r="Z183" s="11"/>
      <c r="AA183" s="11"/>
    </row>
    <row r="184" ht="15.75" customHeight="1">
      <c r="A184" s="234">
        <f t="shared" si="6"/>
        <v>644</v>
      </c>
      <c r="B184" s="299" t="str">
        <f t="shared" si="1"/>
        <v>Science C</v>
      </c>
      <c r="C184" s="236">
        <f t="shared" si="2"/>
        <v>8</v>
      </c>
      <c r="D184" s="236">
        <f t="shared" si="3"/>
        <v>64.81756267</v>
      </c>
      <c r="E184" s="236">
        <f t="shared" si="7"/>
        <v>0</v>
      </c>
      <c r="F184" s="236">
        <f t="shared" si="8"/>
        <v>3023.785152</v>
      </c>
      <c r="G184" s="238">
        <f t="shared" si="4"/>
        <v>0.05418193005</v>
      </c>
      <c r="H184" s="240" t="str">
        <f t="shared" si="5"/>
        <v>Science data acquisition and storage</v>
      </c>
      <c r="I184" s="182"/>
      <c r="J184" s="182"/>
      <c r="K184" s="11"/>
      <c r="L184" s="182"/>
      <c r="M184" s="182"/>
      <c r="N184" s="182"/>
      <c r="O184" s="182"/>
      <c r="P184" s="11"/>
      <c r="Q184" s="11"/>
      <c r="R184" s="11"/>
      <c r="S184" s="11"/>
      <c r="T184" s="11"/>
      <c r="U184" s="11"/>
      <c r="V184" s="11"/>
      <c r="W184" s="11"/>
      <c r="X184" s="11"/>
      <c r="Y184" s="11"/>
      <c r="Z184" s="11"/>
      <c r="AA184" s="11"/>
    </row>
    <row r="185" ht="15.75" customHeight="1">
      <c r="A185" s="234">
        <f t="shared" si="6"/>
        <v>648</v>
      </c>
      <c r="B185" s="299" t="str">
        <f t="shared" si="1"/>
        <v>Science C</v>
      </c>
      <c r="C185" s="236">
        <f t="shared" si="2"/>
        <v>8</v>
      </c>
      <c r="D185" s="236">
        <f t="shared" si="3"/>
        <v>64.81756267</v>
      </c>
      <c r="E185" s="236">
        <f t="shared" si="7"/>
        <v>0</v>
      </c>
      <c r="F185" s="236">
        <f t="shared" si="8"/>
        <v>3088.602715</v>
      </c>
      <c r="G185" s="238">
        <f t="shared" si="4"/>
        <v>0.0553433686</v>
      </c>
      <c r="H185" s="240" t="str">
        <f t="shared" si="5"/>
        <v>Science data acquisition and storage</v>
      </c>
      <c r="I185" s="182"/>
      <c r="J185" s="182"/>
      <c r="K185" s="11"/>
      <c r="L185" s="182"/>
      <c r="M185" s="182"/>
      <c r="N185" s="182"/>
      <c r="O185" s="182"/>
      <c r="P185" s="11"/>
      <c r="Q185" s="11"/>
      <c r="R185" s="11"/>
      <c r="S185" s="11"/>
      <c r="T185" s="11"/>
      <c r="U185" s="11"/>
      <c r="V185" s="11"/>
      <c r="W185" s="11"/>
      <c r="X185" s="11"/>
      <c r="Y185" s="11"/>
      <c r="Z185" s="11"/>
      <c r="AA185" s="11"/>
    </row>
    <row r="186" ht="15.75" customHeight="1">
      <c r="A186" s="234">
        <f t="shared" si="6"/>
        <v>652</v>
      </c>
      <c r="B186" s="299" t="str">
        <f t="shared" si="1"/>
        <v>Science C</v>
      </c>
      <c r="C186" s="236">
        <f t="shared" si="2"/>
        <v>8</v>
      </c>
      <c r="D186" s="236">
        <f t="shared" si="3"/>
        <v>64.81756267</v>
      </c>
      <c r="E186" s="236">
        <f t="shared" si="7"/>
        <v>0</v>
      </c>
      <c r="F186" s="236">
        <f t="shared" si="8"/>
        <v>3153.420277</v>
      </c>
      <c r="G186" s="238">
        <f t="shared" si="4"/>
        <v>0.05650480715</v>
      </c>
      <c r="H186" s="240" t="str">
        <f t="shared" si="5"/>
        <v>Science data acquisition and storage</v>
      </c>
      <c r="I186" s="182"/>
      <c r="J186" s="182"/>
      <c r="K186" s="11"/>
      <c r="L186" s="182"/>
      <c r="M186" s="182"/>
      <c r="N186" s="182"/>
      <c r="O186" s="182"/>
      <c r="P186" s="11"/>
      <c r="Q186" s="11"/>
      <c r="R186" s="11"/>
      <c r="S186" s="11"/>
      <c r="T186" s="11"/>
      <c r="U186" s="11"/>
      <c r="V186" s="11"/>
      <c r="W186" s="11"/>
      <c r="X186" s="11"/>
      <c r="Y186" s="11"/>
      <c r="Z186" s="11"/>
      <c r="AA186" s="11"/>
    </row>
    <row r="187" ht="15.75" customHeight="1">
      <c r="A187" s="234">
        <f t="shared" si="6"/>
        <v>656</v>
      </c>
      <c r="B187" s="299" t="str">
        <f t="shared" si="1"/>
        <v>Science C</v>
      </c>
      <c r="C187" s="236">
        <f t="shared" si="2"/>
        <v>8</v>
      </c>
      <c r="D187" s="236">
        <f t="shared" si="3"/>
        <v>64.81756267</v>
      </c>
      <c r="E187" s="236">
        <f t="shared" si="7"/>
        <v>0</v>
      </c>
      <c r="F187" s="236">
        <f t="shared" si="8"/>
        <v>3218.23784</v>
      </c>
      <c r="G187" s="238">
        <f t="shared" si="4"/>
        <v>0.0576662457</v>
      </c>
      <c r="H187" s="240" t="str">
        <f t="shared" si="5"/>
        <v>Science data acquisition and storage</v>
      </c>
      <c r="I187" s="182"/>
      <c r="J187" s="182"/>
      <c r="K187" s="11"/>
      <c r="L187" s="182"/>
      <c r="M187" s="182"/>
      <c r="N187" s="182"/>
      <c r="O187" s="182"/>
      <c r="P187" s="11"/>
      <c r="Q187" s="11"/>
      <c r="R187" s="11"/>
      <c r="S187" s="11"/>
      <c r="T187" s="11"/>
      <c r="U187" s="11"/>
      <c r="V187" s="11"/>
      <c r="W187" s="11"/>
      <c r="X187" s="11"/>
      <c r="Y187" s="11"/>
      <c r="Z187" s="11"/>
      <c r="AA187" s="11"/>
    </row>
    <row r="188" ht="15.75" customHeight="1">
      <c r="A188" s="234">
        <f t="shared" si="6"/>
        <v>660</v>
      </c>
      <c r="B188" s="299" t="str">
        <f t="shared" si="1"/>
        <v>Science C</v>
      </c>
      <c r="C188" s="236">
        <f t="shared" si="2"/>
        <v>8</v>
      </c>
      <c r="D188" s="236">
        <f t="shared" si="3"/>
        <v>64.81756267</v>
      </c>
      <c r="E188" s="236">
        <f t="shared" si="7"/>
        <v>0</v>
      </c>
      <c r="F188" s="236">
        <f t="shared" si="8"/>
        <v>3283.055403</v>
      </c>
      <c r="G188" s="238">
        <f t="shared" si="4"/>
        <v>0.05882768425</v>
      </c>
      <c r="H188" s="240" t="str">
        <f t="shared" si="5"/>
        <v>Science data acquisition and storage</v>
      </c>
      <c r="I188" s="182"/>
      <c r="J188" s="182"/>
      <c r="K188" s="11"/>
      <c r="L188" s="182"/>
      <c r="M188" s="182"/>
      <c r="N188" s="182"/>
      <c r="O188" s="182"/>
      <c r="P188" s="11"/>
      <c r="Q188" s="11"/>
      <c r="R188" s="11"/>
      <c r="S188" s="11"/>
      <c r="T188" s="11"/>
      <c r="U188" s="11"/>
      <c r="V188" s="11"/>
      <c r="W188" s="11"/>
      <c r="X188" s="11"/>
      <c r="Y188" s="11"/>
      <c r="Z188" s="11"/>
      <c r="AA188" s="11"/>
    </row>
    <row r="189" ht="15.75" customHeight="1">
      <c r="A189" s="234">
        <f t="shared" si="6"/>
        <v>664</v>
      </c>
      <c r="B189" s="299" t="str">
        <f t="shared" si="1"/>
        <v>Science C</v>
      </c>
      <c r="C189" s="236">
        <f t="shared" si="2"/>
        <v>8</v>
      </c>
      <c r="D189" s="236">
        <f t="shared" si="3"/>
        <v>64.81756267</v>
      </c>
      <c r="E189" s="236">
        <f t="shared" si="7"/>
        <v>0</v>
      </c>
      <c r="F189" s="236">
        <f t="shared" si="8"/>
        <v>3347.872965</v>
      </c>
      <c r="G189" s="238">
        <f t="shared" si="4"/>
        <v>0.0599891228</v>
      </c>
      <c r="H189" s="240" t="str">
        <f t="shared" si="5"/>
        <v>Science data acquisition and storage</v>
      </c>
      <c r="I189" s="182"/>
      <c r="J189" s="182"/>
      <c r="K189" s="11"/>
      <c r="L189" s="182"/>
      <c r="M189" s="182"/>
      <c r="N189" s="182"/>
      <c r="O189" s="182"/>
      <c r="P189" s="11"/>
      <c r="Q189" s="11"/>
      <c r="R189" s="11"/>
      <c r="S189" s="11"/>
      <c r="T189" s="11"/>
      <c r="U189" s="11"/>
      <c r="V189" s="11"/>
      <c r="W189" s="11"/>
      <c r="X189" s="11"/>
      <c r="Y189" s="11"/>
      <c r="Z189" s="11"/>
      <c r="AA189" s="11"/>
    </row>
    <row r="190" ht="15.75" customHeight="1">
      <c r="A190" s="234">
        <f t="shared" si="6"/>
        <v>668</v>
      </c>
      <c r="B190" s="299" t="str">
        <f t="shared" si="1"/>
        <v>Science C</v>
      </c>
      <c r="C190" s="236">
        <f t="shared" si="2"/>
        <v>8</v>
      </c>
      <c r="D190" s="236">
        <f t="shared" si="3"/>
        <v>64.81756267</v>
      </c>
      <c r="E190" s="236">
        <f t="shared" si="7"/>
        <v>0</v>
      </c>
      <c r="F190" s="236">
        <f t="shared" si="8"/>
        <v>3412.690528</v>
      </c>
      <c r="G190" s="238">
        <f t="shared" si="4"/>
        <v>0.06115056135</v>
      </c>
      <c r="H190" s="240" t="str">
        <f t="shared" si="5"/>
        <v>Science data acquisition and storage</v>
      </c>
      <c r="I190" s="182"/>
      <c r="J190" s="182"/>
      <c r="K190" s="11"/>
      <c r="L190" s="182"/>
      <c r="M190" s="182"/>
      <c r="N190" s="182"/>
      <c r="O190" s="182"/>
      <c r="P190" s="11"/>
      <c r="Q190" s="11"/>
      <c r="R190" s="11"/>
      <c r="S190" s="11"/>
      <c r="T190" s="11"/>
      <c r="U190" s="11"/>
      <c r="V190" s="11"/>
      <c r="W190" s="11"/>
      <c r="X190" s="11"/>
      <c r="Y190" s="11"/>
      <c r="Z190" s="11"/>
      <c r="AA190" s="11"/>
    </row>
    <row r="191" ht="15.75" customHeight="1">
      <c r="A191" s="234">
        <f t="shared" si="6"/>
        <v>672</v>
      </c>
      <c r="B191" s="299" t="str">
        <f t="shared" si="1"/>
        <v>Science C</v>
      </c>
      <c r="C191" s="236">
        <f t="shared" si="2"/>
        <v>8</v>
      </c>
      <c r="D191" s="236">
        <f t="shared" si="3"/>
        <v>64.81756267</v>
      </c>
      <c r="E191" s="236">
        <f t="shared" si="7"/>
        <v>0</v>
      </c>
      <c r="F191" s="236">
        <f t="shared" si="8"/>
        <v>3477.508091</v>
      </c>
      <c r="G191" s="238">
        <f t="shared" si="4"/>
        <v>0.0623119999</v>
      </c>
      <c r="H191" s="240" t="str">
        <f t="shared" si="5"/>
        <v>Science data acquisition and storage</v>
      </c>
      <c r="I191" s="182"/>
      <c r="J191" s="182"/>
      <c r="K191" s="11"/>
      <c r="L191" s="182"/>
      <c r="M191" s="182"/>
      <c r="N191" s="182"/>
      <c r="O191" s="182"/>
      <c r="P191" s="11"/>
      <c r="Q191" s="11"/>
      <c r="R191" s="11"/>
      <c r="S191" s="11"/>
      <c r="T191" s="11"/>
      <c r="U191" s="11"/>
      <c r="V191" s="11"/>
      <c r="W191" s="11"/>
      <c r="X191" s="11"/>
      <c r="Y191" s="11"/>
      <c r="Z191" s="11"/>
      <c r="AA191" s="11"/>
    </row>
    <row r="192" ht="15.75" customHeight="1">
      <c r="A192" s="234">
        <f t="shared" si="6"/>
        <v>676</v>
      </c>
      <c r="B192" s="299" t="str">
        <f t="shared" si="1"/>
        <v>Science C</v>
      </c>
      <c r="C192" s="236">
        <f t="shared" si="2"/>
        <v>8</v>
      </c>
      <c r="D192" s="236">
        <f t="shared" si="3"/>
        <v>64.81756267</v>
      </c>
      <c r="E192" s="236">
        <f t="shared" si="7"/>
        <v>0</v>
      </c>
      <c r="F192" s="236">
        <f t="shared" si="8"/>
        <v>3542.325653</v>
      </c>
      <c r="G192" s="238">
        <f t="shared" si="4"/>
        <v>0.06347343845</v>
      </c>
      <c r="H192" s="240" t="str">
        <f t="shared" si="5"/>
        <v>Science data acquisition and storage</v>
      </c>
      <c r="I192" s="182"/>
      <c r="J192" s="182"/>
      <c r="K192" s="11"/>
      <c r="L192" s="182"/>
      <c r="M192" s="182"/>
      <c r="N192" s="182"/>
      <c r="O192" s="182"/>
      <c r="P192" s="11"/>
      <c r="Q192" s="11"/>
      <c r="R192" s="11"/>
      <c r="S192" s="11"/>
      <c r="T192" s="11"/>
      <c r="U192" s="11"/>
      <c r="V192" s="11"/>
      <c r="W192" s="11"/>
      <c r="X192" s="11"/>
      <c r="Y192" s="11"/>
      <c r="Z192" s="11"/>
      <c r="AA192" s="11"/>
    </row>
    <row r="193" ht="15.75" customHeight="1">
      <c r="A193" s="234">
        <f t="shared" si="6"/>
        <v>680</v>
      </c>
      <c r="B193" s="299" t="str">
        <f t="shared" si="1"/>
        <v>Science C</v>
      </c>
      <c r="C193" s="236">
        <f t="shared" si="2"/>
        <v>8</v>
      </c>
      <c r="D193" s="236">
        <f t="shared" si="3"/>
        <v>64.81756267</v>
      </c>
      <c r="E193" s="236">
        <f t="shared" si="7"/>
        <v>0</v>
      </c>
      <c r="F193" s="236">
        <f t="shared" si="8"/>
        <v>3607.143216</v>
      </c>
      <c r="G193" s="238">
        <f t="shared" si="4"/>
        <v>0.06463487701</v>
      </c>
      <c r="H193" s="240" t="str">
        <f t="shared" si="5"/>
        <v>Science data acquisition and storage</v>
      </c>
      <c r="I193" s="182"/>
      <c r="J193" s="182"/>
      <c r="K193" s="11"/>
      <c r="L193" s="182"/>
      <c r="M193" s="182"/>
      <c r="N193" s="182"/>
      <c r="O193" s="182"/>
      <c r="P193" s="11"/>
      <c r="Q193" s="11"/>
      <c r="R193" s="11"/>
      <c r="S193" s="11"/>
      <c r="T193" s="11"/>
      <c r="U193" s="11"/>
      <c r="V193" s="11"/>
      <c r="W193" s="11"/>
      <c r="X193" s="11"/>
      <c r="Y193" s="11"/>
      <c r="Z193" s="11"/>
      <c r="AA193" s="11"/>
    </row>
    <row r="194" ht="15.75" customHeight="1">
      <c r="A194" s="234">
        <f t="shared" si="6"/>
        <v>684</v>
      </c>
      <c r="B194" s="299" t="str">
        <f t="shared" si="1"/>
        <v>Science C</v>
      </c>
      <c r="C194" s="236">
        <f t="shared" si="2"/>
        <v>8</v>
      </c>
      <c r="D194" s="236">
        <f t="shared" si="3"/>
        <v>64.81756267</v>
      </c>
      <c r="E194" s="236">
        <f t="shared" si="7"/>
        <v>0</v>
      </c>
      <c r="F194" s="236">
        <f t="shared" si="8"/>
        <v>3671.960779</v>
      </c>
      <c r="G194" s="238">
        <f t="shared" si="4"/>
        <v>0.06579631556</v>
      </c>
      <c r="H194" s="240" t="str">
        <f t="shared" si="5"/>
        <v>Science data acquisition and storage</v>
      </c>
      <c r="I194" s="182"/>
      <c r="J194" s="182"/>
      <c r="K194" s="11"/>
      <c r="L194" s="182"/>
      <c r="M194" s="182"/>
      <c r="N194" s="182"/>
      <c r="O194" s="182"/>
      <c r="P194" s="11"/>
      <c r="Q194" s="11"/>
      <c r="R194" s="11"/>
      <c r="S194" s="11"/>
      <c r="T194" s="11"/>
      <c r="U194" s="11"/>
      <c r="V194" s="11"/>
      <c r="W194" s="11"/>
      <c r="X194" s="11"/>
      <c r="Y194" s="11"/>
      <c r="Z194" s="11"/>
      <c r="AA194" s="11"/>
    </row>
    <row r="195" ht="15.75" customHeight="1">
      <c r="A195" s="234">
        <f t="shared" si="6"/>
        <v>688</v>
      </c>
      <c r="B195" s="299" t="str">
        <f t="shared" si="1"/>
        <v>Science C</v>
      </c>
      <c r="C195" s="236">
        <f t="shared" si="2"/>
        <v>8</v>
      </c>
      <c r="D195" s="236">
        <f t="shared" si="3"/>
        <v>64.81756267</v>
      </c>
      <c r="E195" s="236">
        <f t="shared" si="7"/>
        <v>0</v>
      </c>
      <c r="F195" s="236">
        <f t="shared" si="8"/>
        <v>3736.778341</v>
      </c>
      <c r="G195" s="238">
        <f t="shared" si="4"/>
        <v>0.06695775411</v>
      </c>
      <c r="H195" s="240" t="str">
        <f t="shared" si="5"/>
        <v>Science data acquisition and storage</v>
      </c>
      <c r="I195" s="182"/>
      <c r="J195" s="182"/>
      <c r="K195" s="11"/>
      <c r="L195" s="182"/>
      <c r="M195" s="182"/>
      <c r="N195" s="182"/>
      <c r="O195" s="182"/>
      <c r="P195" s="11"/>
      <c r="Q195" s="11"/>
      <c r="R195" s="11"/>
      <c r="S195" s="11"/>
      <c r="T195" s="11"/>
      <c r="U195" s="11"/>
      <c r="V195" s="11"/>
      <c r="W195" s="11"/>
      <c r="X195" s="11"/>
      <c r="Y195" s="11"/>
      <c r="Z195" s="11"/>
      <c r="AA195" s="11"/>
    </row>
    <row r="196" ht="15.75" customHeight="1">
      <c r="A196" s="234">
        <f t="shared" si="6"/>
        <v>692</v>
      </c>
      <c r="B196" s="299" t="str">
        <f t="shared" si="1"/>
        <v>Science C</v>
      </c>
      <c r="C196" s="236">
        <f t="shared" si="2"/>
        <v>8</v>
      </c>
      <c r="D196" s="236">
        <f t="shared" si="3"/>
        <v>64.81756267</v>
      </c>
      <c r="E196" s="236">
        <f t="shared" si="7"/>
        <v>0</v>
      </c>
      <c r="F196" s="236">
        <f t="shared" si="8"/>
        <v>3801.595904</v>
      </c>
      <c r="G196" s="238">
        <f t="shared" si="4"/>
        <v>0.06811919266</v>
      </c>
      <c r="H196" s="240" t="str">
        <f t="shared" si="5"/>
        <v>Science data acquisition and storage</v>
      </c>
      <c r="I196" s="182"/>
      <c r="J196" s="182"/>
      <c r="K196" s="11"/>
      <c r="L196" s="182"/>
      <c r="M196" s="182"/>
      <c r="N196" s="182"/>
      <c r="O196" s="182"/>
      <c r="P196" s="11"/>
      <c r="Q196" s="11"/>
      <c r="R196" s="11"/>
      <c r="S196" s="11"/>
      <c r="T196" s="11"/>
      <c r="U196" s="11"/>
      <c r="V196" s="11"/>
      <c r="W196" s="11"/>
      <c r="X196" s="11"/>
      <c r="Y196" s="11"/>
      <c r="Z196" s="11"/>
      <c r="AA196" s="11"/>
    </row>
    <row r="197" ht="15.75" customHeight="1">
      <c r="A197" s="234">
        <f t="shared" si="6"/>
        <v>696</v>
      </c>
      <c r="B197" s="299" t="str">
        <f t="shared" si="1"/>
        <v>Science C</v>
      </c>
      <c r="C197" s="236">
        <f t="shared" si="2"/>
        <v>8</v>
      </c>
      <c r="D197" s="236">
        <f t="shared" si="3"/>
        <v>64.81756267</v>
      </c>
      <c r="E197" s="236">
        <f t="shared" si="7"/>
        <v>0</v>
      </c>
      <c r="F197" s="236">
        <f t="shared" si="8"/>
        <v>3866.413467</v>
      </c>
      <c r="G197" s="238">
        <f t="shared" si="4"/>
        <v>0.06928063121</v>
      </c>
      <c r="H197" s="240" t="str">
        <f t="shared" si="5"/>
        <v>Science data acquisition and storage</v>
      </c>
      <c r="I197" s="182"/>
      <c r="J197" s="182"/>
      <c r="K197" s="11"/>
      <c r="L197" s="182"/>
      <c r="M197" s="182"/>
      <c r="N197" s="182"/>
      <c r="O197" s="182"/>
      <c r="P197" s="11"/>
      <c r="Q197" s="11"/>
      <c r="R197" s="11"/>
      <c r="S197" s="11"/>
      <c r="T197" s="11"/>
      <c r="U197" s="11"/>
      <c r="V197" s="11"/>
      <c r="W197" s="11"/>
      <c r="X197" s="11"/>
      <c r="Y197" s="11"/>
      <c r="Z197" s="11"/>
      <c r="AA197" s="11"/>
    </row>
    <row r="198" ht="15.75" customHeight="1">
      <c r="A198" s="234">
        <f t="shared" si="6"/>
        <v>700</v>
      </c>
      <c r="B198" s="299" t="str">
        <f t="shared" si="1"/>
        <v>Science C</v>
      </c>
      <c r="C198" s="236">
        <f t="shared" si="2"/>
        <v>8</v>
      </c>
      <c r="D198" s="236">
        <f t="shared" si="3"/>
        <v>64.81756267</v>
      </c>
      <c r="E198" s="236">
        <f t="shared" si="7"/>
        <v>0</v>
      </c>
      <c r="F198" s="236">
        <f t="shared" si="8"/>
        <v>3931.231029</v>
      </c>
      <c r="G198" s="238">
        <f t="shared" si="4"/>
        <v>0.07044206976</v>
      </c>
      <c r="H198" s="240" t="str">
        <f t="shared" si="5"/>
        <v>Science data acquisition and storage</v>
      </c>
      <c r="I198" s="182"/>
      <c r="J198" s="182"/>
      <c r="K198" s="11"/>
      <c r="L198" s="182"/>
      <c r="M198" s="182"/>
      <c r="N198" s="182"/>
      <c r="O198" s="182"/>
      <c r="P198" s="11"/>
      <c r="Q198" s="11"/>
      <c r="R198" s="11"/>
      <c r="S198" s="11"/>
      <c r="T198" s="11"/>
      <c r="U198" s="11"/>
      <c r="V198" s="11"/>
      <c r="W198" s="11"/>
      <c r="X198" s="11"/>
      <c r="Y198" s="11"/>
      <c r="Z198" s="11"/>
      <c r="AA198" s="11"/>
    </row>
    <row r="199" ht="15.75" customHeight="1">
      <c r="A199" s="234">
        <f t="shared" si="6"/>
        <v>704</v>
      </c>
      <c r="B199" s="299" t="str">
        <f t="shared" si="1"/>
        <v>Science C</v>
      </c>
      <c r="C199" s="236">
        <f t="shared" si="2"/>
        <v>8</v>
      </c>
      <c r="D199" s="236">
        <f t="shared" si="3"/>
        <v>64.81756267</v>
      </c>
      <c r="E199" s="236">
        <f t="shared" si="7"/>
        <v>0</v>
      </c>
      <c r="F199" s="236">
        <f t="shared" si="8"/>
        <v>3996.048592</v>
      </c>
      <c r="G199" s="238">
        <f t="shared" si="4"/>
        <v>0.07160350831</v>
      </c>
      <c r="H199" s="240" t="str">
        <f t="shared" si="5"/>
        <v>Science data acquisition and storage</v>
      </c>
      <c r="I199" s="182"/>
      <c r="J199" s="182"/>
      <c r="K199" s="11"/>
      <c r="L199" s="182"/>
      <c r="M199" s="182"/>
      <c r="N199" s="182"/>
      <c r="O199" s="182"/>
      <c r="P199" s="11"/>
      <c r="Q199" s="11"/>
      <c r="R199" s="11"/>
      <c r="S199" s="11"/>
      <c r="T199" s="11"/>
      <c r="U199" s="11"/>
      <c r="V199" s="11"/>
      <c r="W199" s="11"/>
      <c r="X199" s="11"/>
      <c r="Y199" s="11"/>
      <c r="Z199" s="11"/>
      <c r="AA199" s="11"/>
    </row>
    <row r="200" ht="15.75" customHeight="1">
      <c r="A200" s="234">
        <f t="shared" si="6"/>
        <v>708</v>
      </c>
      <c r="B200" s="299" t="str">
        <f t="shared" si="1"/>
        <v>Science C</v>
      </c>
      <c r="C200" s="236">
        <f t="shared" si="2"/>
        <v>8</v>
      </c>
      <c r="D200" s="236">
        <f t="shared" si="3"/>
        <v>64.81756267</v>
      </c>
      <c r="E200" s="236">
        <f t="shared" si="7"/>
        <v>0</v>
      </c>
      <c r="F200" s="236">
        <f t="shared" si="8"/>
        <v>4060.866155</v>
      </c>
      <c r="G200" s="238">
        <f t="shared" si="4"/>
        <v>0.07276494686</v>
      </c>
      <c r="H200" s="240" t="str">
        <f t="shared" si="5"/>
        <v>Science data acquisition and storage</v>
      </c>
      <c r="I200" s="182"/>
      <c r="J200" s="182"/>
      <c r="K200" s="11"/>
      <c r="L200" s="182"/>
      <c r="M200" s="182"/>
      <c r="N200" s="182"/>
      <c r="O200" s="182"/>
      <c r="P200" s="11"/>
      <c r="Q200" s="11"/>
      <c r="R200" s="11"/>
      <c r="S200" s="11"/>
      <c r="T200" s="11"/>
      <c r="U200" s="11"/>
      <c r="V200" s="11"/>
      <c r="W200" s="11"/>
      <c r="X200" s="11"/>
      <c r="Y200" s="11"/>
      <c r="Z200" s="11"/>
      <c r="AA200" s="11"/>
    </row>
    <row r="201" ht="15.75" customHeight="1">
      <c r="A201" s="234">
        <f t="shared" si="6"/>
        <v>712</v>
      </c>
      <c r="B201" s="299" t="str">
        <f t="shared" si="1"/>
        <v>Science C</v>
      </c>
      <c r="C201" s="236">
        <f t="shared" si="2"/>
        <v>8</v>
      </c>
      <c r="D201" s="236">
        <f t="shared" si="3"/>
        <v>64.81756267</v>
      </c>
      <c r="E201" s="236">
        <f t="shared" si="7"/>
        <v>0</v>
      </c>
      <c r="F201" s="236">
        <f t="shared" si="8"/>
        <v>4125.683717</v>
      </c>
      <c r="G201" s="238">
        <f t="shared" si="4"/>
        <v>0.07392638542</v>
      </c>
      <c r="H201" s="240" t="str">
        <f t="shared" si="5"/>
        <v>Science data acquisition and storage</v>
      </c>
      <c r="I201" s="182"/>
      <c r="J201" s="182"/>
      <c r="K201" s="11"/>
      <c r="L201" s="182"/>
      <c r="M201" s="182"/>
      <c r="N201" s="182"/>
      <c r="O201" s="182"/>
      <c r="P201" s="11"/>
      <c r="Q201" s="11"/>
      <c r="R201" s="11"/>
      <c r="S201" s="11"/>
      <c r="T201" s="11"/>
      <c r="U201" s="11"/>
      <c r="V201" s="11"/>
      <c r="W201" s="11"/>
      <c r="X201" s="11"/>
      <c r="Y201" s="11"/>
      <c r="Z201" s="11"/>
      <c r="AA201" s="11"/>
    </row>
    <row r="202" ht="15.75" customHeight="1">
      <c r="A202" s="234">
        <f t="shared" si="6"/>
        <v>716</v>
      </c>
      <c r="B202" s="299" t="str">
        <f t="shared" si="1"/>
        <v>Science C</v>
      </c>
      <c r="C202" s="236">
        <f t="shared" si="2"/>
        <v>8</v>
      </c>
      <c r="D202" s="236">
        <f t="shared" si="3"/>
        <v>64.81756267</v>
      </c>
      <c r="E202" s="236">
        <f t="shared" si="7"/>
        <v>0</v>
      </c>
      <c r="F202" s="236">
        <f t="shared" si="8"/>
        <v>4190.50128</v>
      </c>
      <c r="G202" s="238">
        <f t="shared" si="4"/>
        <v>0.07508782397</v>
      </c>
      <c r="H202" s="240" t="str">
        <f t="shared" si="5"/>
        <v>Science data acquisition and storage</v>
      </c>
      <c r="I202" s="182"/>
      <c r="J202" s="182"/>
      <c r="K202" s="11"/>
      <c r="L202" s="182"/>
      <c r="M202" s="182"/>
      <c r="N202" s="182"/>
      <c r="O202" s="182"/>
      <c r="P202" s="11"/>
      <c r="Q202" s="11"/>
      <c r="R202" s="11"/>
      <c r="S202" s="11"/>
      <c r="T202" s="11"/>
      <c r="U202" s="11"/>
      <c r="V202" s="11"/>
      <c r="W202" s="11"/>
      <c r="X202" s="11"/>
      <c r="Y202" s="11"/>
      <c r="Z202" s="11"/>
      <c r="AA202" s="11"/>
    </row>
    <row r="203" ht="15.75" customHeight="1">
      <c r="A203" s="234">
        <f t="shared" si="6"/>
        <v>720</v>
      </c>
      <c r="B203" s="243" t="str">
        <f t="shared" si="1"/>
        <v>Charge</v>
      </c>
      <c r="C203" s="236">
        <f t="shared" si="2"/>
        <v>0</v>
      </c>
      <c r="D203" s="236">
        <f t="shared" si="3"/>
        <v>0.9775626664</v>
      </c>
      <c r="E203" s="236">
        <f t="shared" si="7"/>
        <v>0</v>
      </c>
      <c r="F203" s="236">
        <f t="shared" si="8"/>
        <v>4191.478843</v>
      </c>
      <c r="G203" s="238">
        <f t="shared" si="4"/>
        <v>0.0751053405</v>
      </c>
      <c r="H203" s="240" t="str">
        <f t="shared" si="5"/>
        <v>Default standby Charge</v>
      </c>
      <c r="I203" s="182"/>
      <c r="J203" s="182"/>
      <c r="K203" s="11"/>
      <c r="L203" s="182"/>
      <c r="M203" s="182"/>
      <c r="N203" s="182"/>
      <c r="O203" s="182"/>
      <c r="P203" s="11"/>
      <c r="Q203" s="11"/>
      <c r="R203" s="11"/>
      <c r="S203" s="11"/>
      <c r="T203" s="11"/>
      <c r="U203" s="11"/>
      <c r="V203" s="11"/>
      <c r="W203" s="11"/>
      <c r="X203" s="11"/>
      <c r="Y203" s="11"/>
      <c r="Z203" s="11"/>
      <c r="AA203" s="11"/>
    </row>
    <row r="204" ht="15.75" customHeight="1">
      <c r="A204" s="234">
        <f t="shared" si="6"/>
        <v>724</v>
      </c>
      <c r="B204" s="243" t="str">
        <f t="shared" si="1"/>
        <v>Charge</v>
      </c>
      <c r="C204" s="236">
        <f t="shared" si="2"/>
        <v>0</v>
      </c>
      <c r="D204" s="236">
        <f t="shared" si="3"/>
        <v>0.9775626664</v>
      </c>
      <c r="E204" s="236">
        <f t="shared" si="7"/>
        <v>0</v>
      </c>
      <c r="F204" s="236">
        <f t="shared" si="8"/>
        <v>4192.456405</v>
      </c>
      <c r="G204" s="238">
        <f t="shared" si="4"/>
        <v>0.07512285703</v>
      </c>
      <c r="H204" s="240" t="str">
        <f t="shared" si="5"/>
        <v>Default standby Charge</v>
      </c>
      <c r="I204" s="182"/>
      <c r="J204" s="182"/>
      <c r="K204" s="11"/>
      <c r="L204" s="182"/>
      <c r="M204" s="182"/>
      <c r="N204" s="182"/>
      <c r="O204" s="182"/>
      <c r="P204" s="11"/>
      <c r="Q204" s="11"/>
      <c r="R204" s="11"/>
      <c r="S204" s="11"/>
      <c r="T204" s="11"/>
      <c r="U204" s="11"/>
      <c r="V204" s="11"/>
      <c r="W204" s="11"/>
      <c r="X204" s="11"/>
      <c r="Y204" s="11"/>
      <c r="Z204" s="11"/>
      <c r="AA204" s="11"/>
    </row>
    <row r="205" ht="15.75" customHeight="1">
      <c r="A205" s="234">
        <f t="shared" si="6"/>
        <v>728</v>
      </c>
      <c r="B205" s="243" t="str">
        <f t="shared" si="1"/>
        <v>Charge</v>
      </c>
      <c r="C205" s="236">
        <f t="shared" si="2"/>
        <v>0</v>
      </c>
      <c r="D205" s="236">
        <f t="shared" si="3"/>
        <v>0.9775626664</v>
      </c>
      <c r="E205" s="236">
        <f t="shared" si="7"/>
        <v>0</v>
      </c>
      <c r="F205" s="236">
        <f t="shared" si="8"/>
        <v>4193.433968</v>
      </c>
      <c r="G205" s="238">
        <f t="shared" si="4"/>
        <v>0.07514037357</v>
      </c>
      <c r="H205" s="240" t="str">
        <f t="shared" si="5"/>
        <v>Default standby Charge</v>
      </c>
      <c r="I205" s="182"/>
      <c r="J205" s="182"/>
      <c r="K205" s="11"/>
      <c r="L205" s="182"/>
      <c r="M205" s="182"/>
      <c r="N205" s="182"/>
      <c r="O205" s="182"/>
      <c r="P205" s="11"/>
      <c r="Q205" s="11"/>
      <c r="R205" s="11"/>
      <c r="S205" s="11"/>
      <c r="T205" s="11"/>
      <c r="U205" s="11"/>
      <c r="V205" s="11"/>
      <c r="W205" s="11"/>
      <c r="X205" s="11"/>
      <c r="Y205" s="11"/>
      <c r="Z205" s="11"/>
      <c r="AA205" s="11"/>
    </row>
    <row r="206" ht="15.75" customHeight="1">
      <c r="A206" s="234">
        <f t="shared" si="6"/>
        <v>732</v>
      </c>
      <c r="B206" s="243" t="str">
        <f t="shared" si="1"/>
        <v>Charge</v>
      </c>
      <c r="C206" s="236">
        <f t="shared" si="2"/>
        <v>0</v>
      </c>
      <c r="D206" s="236">
        <f t="shared" si="3"/>
        <v>0.9775626664</v>
      </c>
      <c r="E206" s="236">
        <f t="shared" si="7"/>
        <v>0</v>
      </c>
      <c r="F206" s="236">
        <f t="shared" si="8"/>
        <v>4194.411531</v>
      </c>
      <c r="G206" s="238">
        <f t="shared" si="4"/>
        <v>0.0751578901</v>
      </c>
      <c r="H206" s="240" t="str">
        <f t="shared" si="5"/>
        <v>Default standby Charge</v>
      </c>
      <c r="I206" s="182"/>
      <c r="J206" s="182"/>
      <c r="K206" s="11"/>
      <c r="L206" s="182"/>
      <c r="M206" s="182"/>
      <c r="N206" s="182"/>
      <c r="O206" s="182"/>
      <c r="P206" s="11"/>
      <c r="Q206" s="11"/>
      <c r="R206" s="11"/>
      <c r="S206" s="11"/>
      <c r="T206" s="11"/>
      <c r="U206" s="11"/>
      <c r="V206" s="11"/>
      <c r="W206" s="11"/>
      <c r="X206" s="11"/>
      <c r="Y206" s="11"/>
      <c r="Z206" s="11"/>
      <c r="AA206" s="11"/>
    </row>
    <row r="207" ht="15.75" customHeight="1">
      <c r="A207" s="234">
        <f t="shared" si="6"/>
        <v>736</v>
      </c>
      <c r="B207" s="243" t="str">
        <f t="shared" si="1"/>
        <v>Charge</v>
      </c>
      <c r="C207" s="236">
        <f t="shared" si="2"/>
        <v>0</v>
      </c>
      <c r="D207" s="236">
        <f t="shared" si="3"/>
        <v>0.9775626664</v>
      </c>
      <c r="E207" s="236">
        <f t="shared" si="7"/>
        <v>0</v>
      </c>
      <c r="F207" s="236">
        <f t="shared" si="8"/>
        <v>4195.389093</v>
      </c>
      <c r="G207" s="238">
        <f t="shared" si="4"/>
        <v>0.07517540663</v>
      </c>
      <c r="H207" s="240" t="str">
        <f t="shared" si="5"/>
        <v>Default standby Charge</v>
      </c>
      <c r="I207" s="182"/>
      <c r="J207" s="182"/>
      <c r="K207" s="11"/>
      <c r="L207" s="182"/>
      <c r="M207" s="182"/>
      <c r="N207" s="182"/>
      <c r="O207" s="182"/>
      <c r="P207" s="11"/>
      <c r="Q207" s="11"/>
      <c r="R207" s="11"/>
      <c r="S207" s="11"/>
      <c r="T207" s="11"/>
      <c r="U207" s="11"/>
      <c r="V207" s="11"/>
      <c r="W207" s="11"/>
      <c r="X207" s="11"/>
      <c r="Y207" s="11"/>
      <c r="Z207" s="11"/>
      <c r="AA207" s="11"/>
    </row>
    <row r="208" ht="15.75" customHeight="1">
      <c r="A208" s="234">
        <f t="shared" si="6"/>
        <v>740</v>
      </c>
      <c r="B208" s="243" t="str">
        <f t="shared" si="1"/>
        <v>Charge</v>
      </c>
      <c r="C208" s="236">
        <f t="shared" si="2"/>
        <v>0</v>
      </c>
      <c r="D208" s="236">
        <f t="shared" si="3"/>
        <v>0.9775626664</v>
      </c>
      <c r="E208" s="236">
        <f t="shared" si="7"/>
        <v>0</v>
      </c>
      <c r="F208" s="236">
        <f t="shared" si="8"/>
        <v>4196.366656</v>
      </c>
      <c r="G208" s="238">
        <f t="shared" si="4"/>
        <v>0.07519292316</v>
      </c>
      <c r="H208" s="240" t="str">
        <f t="shared" si="5"/>
        <v>Default standby Charge</v>
      </c>
      <c r="I208" s="182"/>
      <c r="J208" s="182"/>
      <c r="K208" s="11"/>
      <c r="L208" s="182"/>
      <c r="M208" s="182"/>
      <c r="N208" s="182"/>
      <c r="O208" s="182"/>
      <c r="P208" s="11"/>
      <c r="Q208" s="11"/>
      <c r="R208" s="11"/>
      <c r="S208" s="11"/>
      <c r="T208" s="11"/>
      <c r="U208" s="11"/>
      <c r="V208" s="11"/>
      <c r="W208" s="11"/>
      <c r="X208" s="11"/>
      <c r="Y208" s="11"/>
      <c r="Z208" s="11"/>
      <c r="AA208" s="11"/>
    </row>
    <row r="209" ht="15.75" customHeight="1">
      <c r="A209" s="234">
        <f t="shared" si="6"/>
        <v>744</v>
      </c>
      <c r="B209" s="243" t="str">
        <f t="shared" si="1"/>
        <v>Charge</v>
      </c>
      <c r="C209" s="236">
        <f t="shared" si="2"/>
        <v>0</v>
      </c>
      <c r="D209" s="236">
        <f t="shared" si="3"/>
        <v>0.9775626664</v>
      </c>
      <c r="E209" s="236">
        <f t="shared" si="7"/>
        <v>0</v>
      </c>
      <c r="F209" s="236">
        <f t="shared" si="8"/>
        <v>4197.344219</v>
      </c>
      <c r="G209" s="238">
        <f t="shared" si="4"/>
        <v>0.0752104397</v>
      </c>
      <c r="H209" s="240" t="str">
        <f t="shared" si="5"/>
        <v>Default standby Charge</v>
      </c>
      <c r="I209" s="182"/>
      <c r="J209" s="182"/>
      <c r="K209" s="11"/>
      <c r="L209" s="182"/>
      <c r="M209" s="182"/>
      <c r="N209" s="182"/>
      <c r="O209" s="182"/>
      <c r="P209" s="11"/>
      <c r="Q209" s="11"/>
      <c r="R209" s="11"/>
      <c r="S209" s="11"/>
      <c r="T209" s="11"/>
      <c r="U209" s="11"/>
      <c r="V209" s="11"/>
      <c r="W209" s="11"/>
      <c r="X209" s="11"/>
      <c r="Y209" s="11"/>
      <c r="Z209" s="11"/>
      <c r="AA209" s="11"/>
    </row>
    <row r="210" ht="15.75" customHeight="1">
      <c r="A210" s="234">
        <f t="shared" si="6"/>
        <v>748</v>
      </c>
      <c r="B210" s="243" t="str">
        <f t="shared" si="1"/>
        <v>Charge</v>
      </c>
      <c r="C210" s="236">
        <f t="shared" si="2"/>
        <v>0</v>
      </c>
      <c r="D210" s="236">
        <f t="shared" si="3"/>
        <v>0.9775626664</v>
      </c>
      <c r="E210" s="236">
        <f t="shared" si="7"/>
        <v>0</v>
      </c>
      <c r="F210" s="236">
        <f t="shared" si="8"/>
        <v>4198.321781</v>
      </c>
      <c r="G210" s="238">
        <f t="shared" si="4"/>
        <v>0.07522795623</v>
      </c>
      <c r="H210" s="240" t="str">
        <f t="shared" si="5"/>
        <v>Default standby Charge</v>
      </c>
      <c r="I210" s="182"/>
      <c r="J210" s="182"/>
      <c r="K210" s="11"/>
      <c r="L210" s="182"/>
      <c r="M210" s="182"/>
      <c r="N210" s="182"/>
      <c r="O210" s="182"/>
      <c r="P210" s="11"/>
      <c r="Q210" s="11"/>
      <c r="R210" s="11"/>
      <c r="S210" s="11"/>
      <c r="T210" s="11"/>
      <c r="U210" s="11"/>
      <c r="V210" s="11"/>
      <c r="W210" s="11"/>
      <c r="X210" s="11"/>
      <c r="Y210" s="11"/>
      <c r="Z210" s="11"/>
      <c r="AA210" s="11"/>
    </row>
    <row r="211" ht="15.75" customHeight="1">
      <c r="A211" s="234">
        <f t="shared" si="6"/>
        <v>752</v>
      </c>
      <c r="B211" s="243" t="str">
        <f t="shared" si="1"/>
        <v>Charge</v>
      </c>
      <c r="C211" s="236">
        <f t="shared" si="2"/>
        <v>0</v>
      </c>
      <c r="D211" s="236">
        <f t="shared" si="3"/>
        <v>0.9775626664</v>
      </c>
      <c r="E211" s="236">
        <f t="shared" si="7"/>
        <v>0</v>
      </c>
      <c r="F211" s="236">
        <f t="shared" si="8"/>
        <v>4199.299344</v>
      </c>
      <c r="G211" s="238">
        <f t="shared" si="4"/>
        <v>0.07524547276</v>
      </c>
      <c r="H211" s="240" t="str">
        <f t="shared" si="5"/>
        <v>Default standby Charge</v>
      </c>
      <c r="I211" s="182"/>
      <c r="J211" s="182"/>
      <c r="K211" s="11"/>
      <c r="L211" s="182"/>
      <c r="M211" s="182"/>
      <c r="N211" s="182"/>
      <c r="O211" s="182"/>
      <c r="P211" s="11"/>
      <c r="Q211" s="11"/>
      <c r="R211" s="11"/>
      <c r="S211" s="11"/>
      <c r="T211" s="11"/>
      <c r="U211" s="11"/>
      <c r="V211" s="11"/>
      <c r="W211" s="11"/>
      <c r="X211" s="11"/>
      <c r="Y211" s="11"/>
      <c r="Z211" s="11"/>
      <c r="AA211" s="11"/>
    </row>
    <row r="212" ht="15.75" customHeight="1">
      <c r="A212" s="234">
        <f t="shared" si="6"/>
        <v>756</v>
      </c>
      <c r="B212" s="243" t="str">
        <f t="shared" si="1"/>
        <v>Charge</v>
      </c>
      <c r="C212" s="236">
        <f t="shared" si="2"/>
        <v>0</v>
      </c>
      <c r="D212" s="236">
        <f t="shared" si="3"/>
        <v>0.9775626664</v>
      </c>
      <c r="E212" s="236">
        <f t="shared" si="7"/>
        <v>0</v>
      </c>
      <c r="F212" s="236">
        <f t="shared" si="8"/>
        <v>4200.276907</v>
      </c>
      <c r="G212" s="238">
        <f t="shared" si="4"/>
        <v>0.0752629893</v>
      </c>
      <c r="H212" s="240" t="str">
        <f t="shared" si="5"/>
        <v>Default standby Charge</v>
      </c>
      <c r="I212" s="182"/>
      <c r="J212" s="182"/>
      <c r="K212" s="11"/>
      <c r="L212" s="182"/>
      <c r="M212" s="182"/>
      <c r="N212" s="182"/>
      <c r="O212" s="182"/>
      <c r="P212" s="11"/>
      <c r="Q212" s="11"/>
      <c r="R212" s="11"/>
      <c r="S212" s="11"/>
      <c r="T212" s="11"/>
      <c r="U212" s="11"/>
      <c r="V212" s="11"/>
      <c r="W212" s="11"/>
      <c r="X212" s="11"/>
      <c r="Y212" s="11"/>
      <c r="Z212" s="11"/>
      <c r="AA212" s="11"/>
    </row>
    <row r="213" ht="15.75" customHeight="1">
      <c r="A213" s="234">
        <f t="shared" si="6"/>
        <v>760</v>
      </c>
      <c r="B213" s="243" t="str">
        <f t="shared" si="1"/>
        <v>Charge</v>
      </c>
      <c r="C213" s="236">
        <f t="shared" si="2"/>
        <v>0</v>
      </c>
      <c r="D213" s="236">
        <f t="shared" si="3"/>
        <v>0.9775626664</v>
      </c>
      <c r="E213" s="236">
        <f t="shared" si="7"/>
        <v>0</v>
      </c>
      <c r="F213" s="236">
        <f t="shared" si="8"/>
        <v>4201.254469</v>
      </c>
      <c r="G213" s="238">
        <f t="shared" si="4"/>
        <v>0.07528050583</v>
      </c>
      <c r="H213" s="240" t="str">
        <f t="shared" si="5"/>
        <v>Default standby Charge</v>
      </c>
      <c r="I213" s="182"/>
      <c r="J213" s="182"/>
      <c r="K213" s="11"/>
      <c r="L213" s="182"/>
      <c r="M213" s="182"/>
      <c r="N213" s="182"/>
      <c r="O213" s="182"/>
      <c r="P213" s="11"/>
      <c r="Q213" s="11"/>
      <c r="R213" s="11"/>
      <c r="S213" s="11"/>
      <c r="T213" s="11"/>
      <c r="U213" s="11"/>
      <c r="V213" s="11"/>
      <c r="W213" s="11"/>
      <c r="X213" s="11"/>
      <c r="Y213" s="11"/>
      <c r="Z213" s="11"/>
      <c r="AA213" s="11"/>
    </row>
    <row r="214" ht="15.75" customHeight="1">
      <c r="A214" s="234">
        <f t="shared" si="6"/>
        <v>764</v>
      </c>
      <c r="B214" s="243" t="str">
        <f t="shared" si="1"/>
        <v>Charge</v>
      </c>
      <c r="C214" s="236">
        <f t="shared" si="2"/>
        <v>0</v>
      </c>
      <c r="D214" s="236">
        <f t="shared" si="3"/>
        <v>0.9775626664</v>
      </c>
      <c r="E214" s="236">
        <f t="shared" si="7"/>
        <v>0</v>
      </c>
      <c r="F214" s="236">
        <f t="shared" si="8"/>
        <v>4202.232032</v>
      </c>
      <c r="G214" s="238">
        <f t="shared" si="4"/>
        <v>0.07529802236</v>
      </c>
      <c r="H214" s="240" t="str">
        <f t="shared" si="5"/>
        <v>Default standby Charge</v>
      </c>
      <c r="I214" s="182"/>
      <c r="J214" s="182"/>
      <c r="K214" s="11"/>
      <c r="L214" s="182"/>
      <c r="M214" s="182"/>
      <c r="N214" s="182"/>
      <c r="O214" s="182"/>
      <c r="P214" s="11"/>
      <c r="Q214" s="11"/>
      <c r="R214" s="11"/>
      <c r="S214" s="11"/>
      <c r="T214" s="11"/>
      <c r="U214" s="11"/>
      <c r="V214" s="11"/>
      <c r="W214" s="11"/>
      <c r="X214" s="11"/>
      <c r="Y214" s="11"/>
      <c r="Z214" s="11"/>
      <c r="AA214" s="11"/>
    </row>
    <row r="215" ht="15.75" customHeight="1">
      <c r="A215" s="234">
        <f t="shared" si="6"/>
        <v>768</v>
      </c>
      <c r="B215" s="243" t="str">
        <f t="shared" si="1"/>
        <v>Charge</v>
      </c>
      <c r="C215" s="236">
        <f t="shared" si="2"/>
        <v>0</v>
      </c>
      <c r="D215" s="236">
        <f t="shared" si="3"/>
        <v>0.9775626664</v>
      </c>
      <c r="E215" s="236">
        <f t="shared" si="7"/>
        <v>0</v>
      </c>
      <c r="F215" s="236">
        <f t="shared" si="8"/>
        <v>4203.209595</v>
      </c>
      <c r="G215" s="238">
        <f t="shared" si="4"/>
        <v>0.07531553889</v>
      </c>
      <c r="H215" s="240" t="str">
        <f t="shared" si="5"/>
        <v>Default standby Charge</v>
      </c>
      <c r="I215" s="182"/>
      <c r="J215" s="182"/>
      <c r="K215" s="11"/>
      <c r="L215" s="182"/>
      <c r="M215" s="182"/>
      <c r="N215" s="182"/>
      <c r="O215" s="182"/>
      <c r="P215" s="11"/>
      <c r="Q215" s="11"/>
      <c r="R215" s="11"/>
      <c r="S215" s="11"/>
      <c r="T215" s="11"/>
      <c r="U215" s="11"/>
      <c r="V215" s="11"/>
      <c r="W215" s="11"/>
      <c r="X215" s="11"/>
      <c r="Y215" s="11"/>
      <c r="Z215" s="11"/>
      <c r="AA215" s="11"/>
    </row>
    <row r="216" ht="15.75" customHeight="1">
      <c r="A216" s="234">
        <f t="shared" si="6"/>
        <v>772</v>
      </c>
      <c r="B216" s="243" t="str">
        <f t="shared" si="1"/>
        <v>Charge</v>
      </c>
      <c r="C216" s="236">
        <f t="shared" si="2"/>
        <v>0</v>
      </c>
      <c r="D216" s="236">
        <f t="shared" si="3"/>
        <v>0.9775626664</v>
      </c>
      <c r="E216" s="236">
        <f t="shared" si="7"/>
        <v>0</v>
      </c>
      <c r="F216" s="236">
        <f t="shared" si="8"/>
        <v>4204.187157</v>
      </c>
      <c r="G216" s="238">
        <f t="shared" si="4"/>
        <v>0.07533305543</v>
      </c>
      <c r="H216" s="240" t="str">
        <f t="shared" si="5"/>
        <v>Default standby Charge</v>
      </c>
      <c r="I216" s="182"/>
      <c r="J216" s="182"/>
      <c r="K216" s="11"/>
      <c r="L216" s="182"/>
      <c r="M216" s="182"/>
      <c r="N216" s="182"/>
      <c r="O216" s="182"/>
      <c r="P216" s="11"/>
      <c r="Q216" s="11"/>
      <c r="R216" s="11"/>
      <c r="S216" s="11"/>
      <c r="T216" s="11"/>
      <c r="U216" s="11"/>
      <c r="V216" s="11"/>
      <c r="W216" s="11"/>
      <c r="X216" s="11"/>
      <c r="Y216" s="11"/>
      <c r="Z216" s="11"/>
      <c r="AA216" s="11"/>
    </row>
    <row r="217" ht="15.75" customHeight="1">
      <c r="A217" s="234">
        <f t="shared" si="6"/>
        <v>776</v>
      </c>
      <c r="B217" s="243" t="str">
        <f t="shared" si="1"/>
        <v>Charge</v>
      </c>
      <c r="C217" s="236">
        <f t="shared" si="2"/>
        <v>0</v>
      </c>
      <c r="D217" s="236">
        <f t="shared" si="3"/>
        <v>0.9775626664</v>
      </c>
      <c r="E217" s="236">
        <f t="shared" si="7"/>
        <v>0</v>
      </c>
      <c r="F217" s="236">
        <f t="shared" si="8"/>
        <v>4205.16472</v>
      </c>
      <c r="G217" s="238">
        <f t="shared" si="4"/>
        <v>0.07535057196</v>
      </c>
      <c r="H217" s="240" t="str">
        <f t="shared" si="5"/>
        <v>Default standby Charge</v>
      </c>
      <c r="I217" s="182"/>
      <c r="J217" s="182"/>
      <c r="K217" s="11"/>
      <c r="L217" s="182"/>
      <c r="M217" s="182"/>
      <c r="N217" s="182"/>
      <c r="O217" s="182"/>
      <c r="P217" s="11"/>
      <c r="Q217" s="11"/>
      <c r="R217" s="11"/>
      <c r="S217" s="11"/>
      <c r="T217" s="11"/>
      <c r="U217" s="11"/>
      <c r="V217" s="11"/>
      <c r="W217" s="11"/>
      <c r="X217" s="11"/>
      <c r="Y217" s="11"/>
      <c r="Z217" s="11"/>
      <c r="AA217" s="11"/>
    </row>
    <row r="218" ht="15.75" customHeight="1">
      <c r="A218" s="234">
        <f t="shared" si="6"/>
        <v>780</v>
      </c>
      <c r="B218" s="243" t="str">
        <f t="shared" si="1"/>
        <v>Charge</v>
      </c>
      <c r="C218" s="236">
        <f t="shared" si="2"/>
        <v>0</v>
      </c>
      <c r="D218" s="236">
        <f t="shared" si="3"/>
        <v>0.9775626664</v>
      </c>
      <c r="E218" s="236">
        <f t="shared" si="7"/>
        <v>0</v>
      </c>
      <c r="F218" s="236">
        <f t="shared" si="8"/>
        <v>4206.142283</v>
      </c>
      <c r="G218" s="238">
        <f t="shared" si="4"/>
        <v>0.07536808849</v>
      </c>
      <c r="H218" s="240" t="str">
        <f t="shared" si="5"/>
        <v>Default standby Charge</v>
      </c>
      <c r="I218" s="182"/>
      <c r="J218" s="182"/>
      <c r="K218" s="11"/>
      <c r="L218" s="182"/>
      <c r="M218" s="182"/>
      <c r="N218" s="182"/>
      <c r="O218" s="182"/>
      <c r="P218" s="11"/>
      <c r="Q218" s="11"/>
      <c r="R218" s="11"/>
      <c r="S218" s="11"/>
      <c r="T218" s="11"/>
      <c r="U218" s="11"/>
      <c r="V218" s="11"/>
      <c r="W218" s="11"/>
      <c r="X218" s="11"/>
      <c r="Y218" s="11"/>
      <c r="Z218" s="11"/>
      <c r="AA218" s="11"/>
    </row>
    <row r="219" ht="15.75" customHeight="1">
      <c r="A219" s="234">
        <f t="shared" si="6"/>
        <v>784</v>
      </c>
      <c r="B219" s="243" t="str">
        <f t="shared" si="1"/>
        <v>Charge</v>
      </c>
      <c r="C219" s="236">
        <f t="shared" si="2"/>
        <v>0</v>
      </c>
      <c r="D219" s="236">
        <f t="shared" si="3"/>
        <v>0.9775626664</v>
      </c>
      <c r="E219" s="236">
        <f t="shared" si="7"/>
        <v>0</v>
      </c>
      <c r="F219" s="236">
        <f t="shared" si="8"/>
        <v>4207.119845</v>
      </c>
      <c r="G219" s="238">
        <f t="shared" si="4"/>
        <v>0.07538560503</v>
      </c>
      <c r="H219" s="240" t="str">
        <f t="shared" si="5"/>
        <v>Default standby Charge</v>
      </c>
      <c r="I219" s="182"/>
      <c r="J219" s="182"/>
      <c r="K219" s="11"/>
      <c r="L219" s="182"/>
      <c r="M219" s="182"/>
      <c r="N219" s="182"/>
      <c r="O219" s="182"/>
      <c r="P219" s="11"/>
      <c r="Q219" s="11"/>
      <c r="R219" s="11"/>
      <c r="S219" s="11"/>
      <c r="T219" s="11"/>
      <c r="U219" s="11"/>
      <c r="V219" s="11"/>
      <c r="W219" s="11"/>
      <c r="X219" s="11"/>
      <c r="Y219" s="11"/>
      <c r="Z219" s="11"/>
      <c r="AA219" s="11"/>
    </row>
    <row r="220" ht="15.75" customHeight="1">
      <c r="A220" s="234">
        <f t="shared" si="6"/>
        <v>788</v>
      </c>
      <c r="B220" s="243" t="str">
        <f t="shared" si="1"/>
        <v>Charge</v>
      </c>
      <c r="C220" s="236">
        <f t="shared" si="2"/>
        <v>0</v>
      </c>
      <c r="D220" s="236">
        <f t="shared" si="3"/>
        <v>0.9775626664</v>
      </c>
      <c r="E220" s="236">
        <f t="shared" si="7"/>
        <v>0</v>
      </c>
      <c r="F220" s="236">
        <f t="shared" si="8"/>
        <v>4208.097408</v>
      </c>
      <c r="G220" s="238">
        <f t="shared" si="4"/>
        <v>0.07540312156</v>
      </c>
      <c r="H220" s="240" t="str">
        <f t="shared" si="5"/>
        <v>Default standby Charge</v>
      </c>
      <c r="I220" s="182"/>
      <c r="J220" s="182"/>
      <c r="K220" s="11"/>
      <c r="L220" s="182"/>
      <c r="M220" s="182"/>
      <c r="N220" s="182"/>
      <c r="O220" s="182"/>
      <c r="P220" s="11"/>
      <c r="Q220" s="11"/>
      <c r="R220" s="11"/>
      <c r="S220" s="11"/>
      <c r="T220" s="11"/>
      <c r="U220" s="11"/>
      <c r="V220" s="11"/>
      <c r="W220" s="11"/>
      <c r="X220" s="11"/>
      <c r="Y220" s="11"/>
      <c r="Z220" s="11"/>
      <c r="AA220" s="11"/>
    </row>
    <row r="221" ht="15.75" customHeight="1">
      <c r="A221" s="234">
        <f t="shared" si="6"/>
        <v>792</v>
      </c>
      <c r="B221" s="243" t="str">
        <f t="shared" si="1"/>
        <v>Charge</v>
      </c>
      <c r="C221" s="236">
        <f t="shared" si="2"/>
        <v>0</v>
      </c>
      <c r="D221" s="236">
        <f t="shared" si="3"/>
        <v>0.9775626664</v>
      </c>
      <c r="E221" s="236">
        <f t="shared" si="7"/>
        <v>0</v>
      </c>
      <c r="F221" s="236">
        <f t="shared" si="8"/>
        <v>4209.074971</v>
      </c>
      <c r="G221" s="238">
        <f t="shared" si="4"/>
        <v>0.07542063809</v>
      </c>
      <c r="H221" s="240" t="str">
        <f t="shared" si="5"/>
        <v>Default standby Charge</v>
      </c>
      <c r="I221" s="182"/>
      <c r="J221" s="182"/>
      <c r="K221" s="11"/>
      <c r="L221" s="182"/>
      <c r="M221" s="182"/>
      <c r="N221" s="182"/>
      <c r="O221" s="182"/>
      <c r="P221" s="11"/>
      <c r="Q221" s="11"/>
      <c r="R221" s="11"/>
      <c r="S221" s="11"/>
      <c r="T221" s="11"/>
      <c r="U221" s="11"/>
      <c r="V221" s="11"/>
      <c r="W221" s="11"/>
      <c r="X221" s="11"/>
      <c r="Y221" s="11"/>
      <c r="Z221" s="11"/>
      <c r="AA221" s="11"/>
    </row>
    <row r="222" ht="15.75" customHeight="1">
      <c r="A222" s="234">
        <f t="shared" si="6"/>
        <v>796</v>
      </c>
      <c r="B222" s="243" t="str">
        <f t="shared" si="1"/>
        <v>Charge</v>
      </c>
      <c r="C222" s="236">
        <f t="shared" si="2"/>
        <v>0</v>
      </c>
      <c r="D222" s="236">
        <f t="shared" si="3"/>
        <v>0.9775626664</v>
      </c>
      <c r="E222" s="236">
        <f t="shared" si="7"/>
        <v>0</v>
      </c>
      <c r="F222" s="236">
        <f t="shared" si="8"/>
        <v>4210.052533</v>
      </c>
      <c r="G222" s="238">
        <f t="shared" si="4"/>
        <v>0.07543815462</v>
      </c>
      <c r="H222" s="240" t="str">
        <f t="shared" si="5"/>
        <v>Default standby Charge</v>
      </c>
      <c r="I222" s="182"/>
      <c r="J222" s="182"/>
      <c r="K222" s="11"/>
      <c r="L222" s="182"/>
      <c r="M222" s="182"/>
      <c r="N222" s="182"/>
      <c r="O222" s="182"/>
      <c r="P222" s="11"/>
      <c r="Q222" s="11"/>
      <c r="R222" s="11"/>
      <c r="S222" s="11"/>
      <c r="T222" s="11"/>
      <c r="U222" s="11"/>
      <c r="V222" s="11"/>
      <c r="W222" s="11"/>
      <c r="X222" s="11"/>
      <c r="Y222" s="11"/>
      <c r="Z222" s="11"/>
      <c r="AA222" s="11"/>
    </row>
    <row r="223" ht="15.75" customHeight="1">
      <c r="A223" s="234">
        <f t="shared" si="6"/>
        <v>800</v>
      </c>
      <c r="B223" s="255" t="str">
        <f t="shared" si="1"/>
        <v>Downlink</v>
      </c>
      <c r="C223" s="236">
        <f t="shared" si="2"/>
        <v>0</v>
      </c>
      <c r="D223" s="236">
        <f t="shared" si="3"/>
        <v>0.9775626664</v>
      </c>
      <c r="E223" s="236">
        <f t="shared" si="7"/>
        <v>0.75</v>
      </c>
      <c r="F223" s="236">
        <f t="shared" si="8"/>
        <v>4210.280096</v>
      </c>
      <c r="G223" s="238">
        <f t="shared" si="4"/>
        <v>0.07544223222</v>
      </c>
      <c r="H223" s="240" t="str">
        <f t="shared" si="5"/>
        <v>Validated contact; Downlink preempts Science</v>
      </c>
      <c r="I223" s="182"/>
      <c r="J223" s="182"/>
      <c r="K223" s="11"/>
      <c r="L223" s="182"/>
      <c r="M223" s="182"/>
      <c r="N223" s="182"/>
      <c r="O223" s="182"/>
      <c r="P223" s="11"/>
      <c r="Q223" s="11"/>
      <c r="R223" s="11"/>
      <c r="S223" s="11"/>
      <c r="T223" s="11"/>
      <c r="U223" s="11"/>
      <c r="V223" s="11"/>
      <c r="W223" s="11"/>
      <c r="X223" s="11"/>
      <c r="Y223" s="11"/>
      <c r="Z223" s="11"/>
      <c r="AA223" s="11"/>
    </row>
    <row r="224" ht="15.75" customHeight="1">
      <c r="A224" s="234">
        <f t="shared" si="6"/>
        <v>804</v>
      </c>
      <c r="B224" s="255" t="str">
        <f t="shared" si="1"/>
        <v>Downlink</v>
      </c>
      <c r="C224" s="236">
        <f t="shared" si="2"/>
        <v>0</v>
      </c>
      <c r="D224" s="236">
        <f t="shared" si="3"/>
        <v>0.9775626664</v>
      </c>
      <c r="E224" s="236">
        <f t="shared" si="7"/>
        <v>0.75</v>
      </c>
      <c r="F224" s="236">
        <f t="shared" si="8"/>
        <v>4210.507659</v>
      </c>
      <c r="G224" s="238">
        <f t="shared" si="4"/>
        <v>0.07544630982</v>
      </c>
      <c r="H224" s="240" t="str">
        <f t="shared" si="5"/>
        <v>Validated contact; Downlink preempts Science</v>
      </c>
      <c r="I224" s="182"/>
      <c r="J224" s="182"/>
      <c r="K224" s="11"/>
      <c r="L224" s="182"/>
      <c r="M224" s="182"/>
      <c r="N224" s="182"/>
      <c r="O224" s="182"/>
      <c r="P224" s="11"/>
      <c r="Q224" s="11"/>
      <c r="R224" s="11"/>
      <c r="S224" s="11"/>
      <c r="T224" s="11"/>
      <c r="U224" s="11"/>
      <c r="V224" s="11"/>
      <c r="W224" s="11"/>
      <c r="X224" s="11"/>
      <c r="Y224" s="11"/>
      <c r="Z224" s="11"/>
      <c r="AA224" s="11"/>
    </row>
    <row r="225" ht="15.75" customHeight="1">
      <c r="A225" s="234">
        <f t="shared" si="6"/>
        <v>808</v>
      </c>
      <c r="B225" s="243" t="str">
        <f t="shared" si="1"/>
        <v>Charge</v>
      </c>
      <c r="C225" s="236">
        <f t="shared" si="2"/>
        <v>0</v>
      </c>
      <c r="D225" s="236">
        <f t="shared" si="3"/>
        <v>0.9775626664</v>
      </c>
      <c r="E225" s="236">
        <f t="shared" si="7"/>
        <v>0</v>
      </c>
      <c r="F225" s="236">
        <f t="shared" si="8"/>
        <v>4211.485221</v>
      </c>
      <c r="G225" s="238">
        <f t="shared" si="4"/>
        <v>0.07546382636</v>
      </c>
      <c r="H225" s="240" t="str">
        <f t="shared" si="5"/>
        <v>Default standby Charge</v>
      </c>
      <c r="I225" s="182"/>
      <c r="J225" s="182"/>
      <c r="K225" s="11"/>
      <c r="L225" s="182"/>
      <c r="M225" s="182"/>
      <c r="N225" s="182"/>
      <c r="O225" s="182"/>
      <c r="P225" s="11"/>
      <c r="Q225" s="11"/>
      <c r="R225" s="11"/>
      <c r="S225" s="11"/>
      <c r="T225" s="11"/>
      <c r="U225" s="11"/>
      <c r="V225" s="11"/>
      <c r="W225" s="11"/>
      <c r="X225" s="11"/>
      <c r="Y225" s="11"/>
      <c r="Z225" s="11"/>
      <c r="AA225" s="11"/>
    </row>
    <row r="226" ht="15.75" customHeight="1">
      <c r="A226" s="234">
        <f t="shared" si="6"/>
        <v>812</v>
      </c>
      <c r="B226" s="243" t="str">
        <f t="shared" si="1"/>
        <v>Charge</v>
      </c>
      <c r="C226" s="236">
        <f t="shared" si="2"/>
        <v>0</v>
      </c>
      <c r="D226" s="236">
        <f t="shared" si="3"/>
        <v>0.9775626664</v>
      </c>
      <c r="E226" s="236">
        <f t="shared" si="7"/>
        <v>0</v>
      </c>
      <c r="F226" s="236">
        <f t="shared" si="8"/>
        <v>4212.462784</v>
      </c>
      <c r="G226" s="238">
        <f t="shared" si="4"/>
        <v>0.07548134289</v>
      </c>
      <c r="H226" s="240" t="str">
        <f t="shared" si="5"/>
        <v>Default standby Charge</v>
      </c>
      <c r="I226" s="182"/>
      <c r="J226" s="182"/>
      <c r="K226" s="11"/>
      <c r="L226" s="182"/>
      <c r="M226" s="182"/>
      <c r="N226" s="182"/>
      <c r="O226" s="182"/>
      <c r="P226" s="11"/>
      <c r="Q226" s="11"/>
      <c r="R226" s="11"/>
      <c r="S226" s="11"/>
      <c r="T226" s="11"/>
      <c r="U226" s="11"/>
      <c r="V226" s="11"/>
      <c r="W226" s="11"/>
      <c r="X226" s="11"/>
      <c r="Y226" s="11"/>
      <c r="Z226" s="11"/>
      <c r="AA226" s="11"/>
    </row>
    <row r="227" ht="15.75" customHeight="1">
      <c r="A227" s="234">
        <f t="shared" si="6"/>
        <v>816</v>
      </c>
      <c r="B227" s="243" t="str">
        <f t="shared" si="1"/>
        <v>Charge</v>
      </c>
      <c r="C227" s="236">
        <f t="shared" si="2"/>
        <v>0</v>
      </c>
      <c r="D227" s="236">
        <f t="shared" si="3"/>
        <v>0.9775626664</v>
      </c>
      <c r="E227" s="236">
        <f t="shared" si="7"/>
        <v>0</v>
      </c>
      <c r="F227" s="236">
        <f t="shared" si="8"/>
        <v>4213.440347</v>
      </c>
      <c r="G227" s="238">
        <f t="shared" si="4"/>
        <v>0.07549885942</v>
      </c>
      <c r="H227" s="240" t="str">
        <f t="shared" si="5"/>
        <v>Default standby Charge</v>
      </c>
      <c r="I227" s="182"/>
      <c r="J227" s="182"/>
      <c r="K227" s="11"/>
      <c r="L227" s="182"/>
      <c r="M227" s="182"/>
      <c r="N227" s="182"/>
      <c r="O227" s="182"/>
      <c r="P227" s="11"/>
      <c r="Q227" s="11"/>
      <c r="R227" s="11"/>
      <c r="S227" s="11"/>
      <c r="T227" s="11"/>
      <c r="U227" s="11"/>
      <c r="V227" s="11"/>
      <c r="W227" s="11"/>
      <c r="X227" s="11"/>
      <c r="Y227" s="11"/>
      <c r="Z227" s="11"/>
      <c r="AA227" s="11"/>
    </row>
    <row r="228" ht="15.75" customHeight="1">
      <c r="A228" s="234">
        <f t="shared" si="6"/>
        <v>820</v>
      </c>
      <c r="B228" s="243" t="str">
        <f t="shared" si="1"/>
        <v>Charge</v>
      </c>
      <c r="C228" s="236">
        <f t="shared" si="2"/>
        <v>0</v>
      </c>
      <c r="D228" s="236">
        <f t="shared" si="3"/>
        <v>0.9775626664</v>
      </c>
      <c r="E228" s="236">
        <f t="shared" si="7"/>
        <v>0</v>
      </c>
      <c r="F228" s="236">
        <f t="shared" si="8"/>
        <v>4214.417909</v>
      </c>
      <c r="G228" s="238">
        <f t="shared" si="4"/>
        <v>0.07551637595</v>
      </c>
      <c r="H228" s="240" t="str">
        <f t="shared" si="5"/>
        <v>Default standby Charge</v>
      </c>
      <c r="I228" s="182"/>
      <c r="J228" s="182"/>
      <c r="K228" s="11"/>
      <c r="L228" s="182"/>
      <c r="M228" s="182"/>
      <c r="N228" s="182"/>
      <c r="O228" s="182"/>
      <c r="P228" s="11"/>
      <c r="Q228" s="11"/>
      <c r="R228" s="11"/>
      <c r="S228" s="11"/>
      <c r="T228" s="11"/>
      <c r="U228" s="11"/>
      <c r="V228" s="11"/>
      <c r="W228" s="11"/>
      <c r="X228" s="11"/>
      <c r="Y228" s="11"/>
      <c r="Z228" s="11"/>
      <c r="AA228" s="11"/>
    </row>
    <row r="229" ht="15.75" customHeight="1">
      <c r="A229" s="234">
        <f t="shared" si="6"/>
        <v>824</v>
      </c>
      <c r="B229" s="243" t="str">
        <f t="shared" si="1"/>
        <v>Charge</v>
      </c>
      <c r="C229" s="236">
        <f t="shared" si="2"/>
        <v>0</v>
      </c>
      <c r="D229" s="236">
        <f t="shared" si="3"/>
        <v>0.9775626664</v>
      </c>
      <c r="E229" s="236">
        <f t="shared" si="7"/>
        <v>0</v>
      </c>
      <c r="F229" s="236">
        <f t="shared" si="8"/>
        <v>4215.395472</v>
      </c>
      <c r="G229" s="238">
        <f t="shared" si="4"/>
        <v>0.07553389249</v>
      </c>
      <c r="H229" s="240" t="str">
        <f t="shared" si="5"/>
        <v>Default standby Charge</v>
      </c>
      <c r="I229" s="182"/>
      <c r="J229" s="182"/>
      <c r="K229" s="11"/>
      <c r="L229" s="182"/>
      <c r="M229" s="182"/>
      <c r="N229" s="182"/>
      <c r="O229" s="182"/>
      <c r="P229" s="11"/>
      <c r="Q229" s="11"/>
      <c r="R229" s="11"/>
      <c r="S229" s="11"/>
      <c r="T229" s="11"/>
      <c r="U229" s="11"/>
      <c r="V229" s="11"/>
      <c r="W229" s="11"/>
      <c r="X229" s="11"/>
      <c r="Y229" s="11"/>
      <c r="Z229" s="11"/>
      <c r="AA229" s="11"/>
    </row>
    <row r="230" ht="15.75" customHeight="1">
      <c r="A230" s="234">
        <f t="shared" si="6"/>
        <v>828</v>
      </c>
      <c r="B230" s="243" t="str">
        <f t="shared" si="1"/>
        <v>Charge</v>
      </c>
      <c r="C230" s="236">
        <f t="shared" si="2"/>
        <v>0</v>
      </c>
      <c r="D230" s="236">
        <f t="shared" si="3"/>
        <v>0.9775626664</v>
      </c>
      <c r="E230" s="236">
        <f t="shared" si="7"/>
        <v>0</v>
      </c>
      <c r="F230" s="236">
        <f t="shared" si="8"/>
        <v>4216.373035</v>
      </c>
      <c r="G230" s="238">
        <f t="shared" si="4"/>
        <v>0.07555140902</v>
      </c>
      <c r="H230" s="240" t="str">
        <f t="shared" si="5"/>
        <v>Default standby Charge</v>
      </c>
      <c r="I230" s="182"/>
      <c r="J230" s="182"/>
      <c r="K230" s="11"/>
      <c r="L230" s="182"/>
      <c r="M230" s="182"/>
      <c r="N230" s="182"/>
      <c r="O230" s="182"/>
      <c r="P230" s="11"/>
      <c r="Q230" s="11"/>
      <c r="R230" s="11"/>
      <c r="S230" s="11"/>
      <c r="T230" s="11"/>
      <c r="U230" s="11"/>
      <c r="V230" s="11"/>
      <c r="W230" s="11"/>
      <c r="X230" s="11"/>
      <c r="Y230" s="11"/>
      <c r="Z230" s="11"/>
      <c r="AA230" s="11"/>
    </row>
    <row r="231" ht="15.75" customHeight="1">
      <c r="A231" s="234">
        <f t="shared" si="6"/>
        <v>832</v>
      </c>
      <c r="B231" s="243" t="str">
        <f t="shared" si="1"/>
        <v>Charge</v>
      </c>
      <c r="C231" s="236">
        <f t="shared" si="2"/>
        <v>0</v>
      </c>
      <c r="D231" s="236">
        <f t="shared" si="3"/>
        <v>0.9775626664</v>
      </c>
      <c r="E231" s="236">
        <f t="shared" si="7"/>
        <v>0</v>
      </c>
      <c r="F231" s="236">
        <f t="shared" si="8"/>
        <v>4217.350597</v>
      </c>
      <c r="G231" s="238">
        <f t="shared" si="4"/>
        <v>0.07556892555</v>
      </c>
      <c r="H231" s="240" t="str">
        <f t="shared" si="5"/>
        <v>Default standby Charge</v>
      </c>
      <c r="I231" s="182"/>
      <c r="J231" s="182"/>
      <c r="K231" s="11"/>
      <c r="L231" s="182"/>
      <c r="M231" s="182"/>
      <c r="N231" s="182"/>
      <c r="O231" s="182"/>
      <c r="P231" s="11"/>
      <c r="Q231" s="11"/>
      <c r="R231" s="11"/>
      <c r="S231" s="11"/>
      <c r="T231" s="11"/>
      <c r="U231" s="11"/>
      <c r="V231" s="11"/>
      <c r="W231" s="11"/>
      <c r="X231" s="11"/>
      <c r="Y231" s="11"/>
      <c r="Z231" s="11"/>
      <c r="AA231" s="11"/>
    </row>
    <row r="232" ht="15.75" customHeight="1">
      <c r="A232" s="234">
        <f t="shared" si="6"/>
        <v>836</v>
      </c>
      <c r="B232" s="243" t="str">
        <f t="shared" si="1"/>
        <v>Charge</v>
      </c>
      <c r="C232" s="236">
        <f t="shared" si="2"/>
        <v>0</v>
      </c>
      <c r="D232" s="236">
        <f t="shared" si="3"/>
        <v>0.9775626664</v>
      </c>
      <c r="E232" s="236">
        <f t="shared" si="7"/>
        <v>0</v>
      </c>
      <c r="F232" s="236">
        <f t="shared" si="8"/>
        <v>4218.32816</v>
      </c>
      <c r="G232" s="238">
        <f t="shared" si="4"/>
        <v>0.07558644209</v>
      </c>
      <c r="H232" s="240" t="str">
        <f t="shared" si="5"/>
        <v>Default standby Charge</v>
      </c>
      <c r="I232" s="182"/>
      <c r="J232" s="182"/>
      <c r="K232" s="11"/>
      <c r="L232" s="182"/>
      <c r="M232" s="182"/>
      <c r="N232" s="182"/>
      <c r="O232" s="182"/>
      <c r="P232" s="11"/>
      <c r="Q232" s="11"/>
      <c r="R232" s="11"/>
      <c r="S232" s="11"/>
      <c r="T232" s="11"/>
      <c r="U232" s="11"/>
      <c r="V232" s="11"/>
      <c r="W232" s="11"/>
      <c r="X232" s="11"/>
      <c r="Y232" s="11"/>
      <c r="Z232" s="11"/>
      <c r="AA232" s="11"/>
    </row>
    <row r="233" ht="15.75" customHeight="1">
      <c r="A233" s="234">
        <f t="shared" si="6"/>
        <v>840</v>
      </c>
      <c r="B233" s="243" t="str">
        <f t="shared" si="1"/>
        <v>Charge</v>
      </c>
      <c r="C233" s="236">
        <f t="shared" si="2"/>
        <v>0</v>
      </c>
      <c r="D233" s="236">
        <f t="shared" si="3"/>
        <v>0.9775626664</v>
      </c>
      <c r="E233" s="236">
        <f t="shared" si="7"/>
        <v>0</v>
      </c>
      <c r="F233" s="236">
        <f t="shared" si="8"/>
        <v>4219.305723</v>
      </c>
      <c r="G233" s="238">
        <f t="shared" si="4"/>
        <v>0.07560395862</v>
      </c>
      <c r="H233" s="240" t="str">
        <f t="shared" si="5"/>
        <v>Default standby Charge</v>
      </c>
      <c r="I233" s="182"/>
      <c r="J233" s="182"/>
      <c r="K233" s="11"/>
      <c r="L233" s="182"/>
      <c r="M233" s="182"/>
      <c r="N233" s="182"/>
      <c r="O233" s="182"/>
      <c r="P233" s="11"/>
      <c r="Q233" s="11"/>
      <c r="R233" s="11"/>
      <c r="S233" s="11"/>
      <c r="T233" s="11"/>
      <c r="U233" s="11"/>
      <c r="V233" s="11"/>
      <c r="W233" s="11"/>
      <c r="X233" s="11"/>
      <c r="Y233" s="11"/>
      <c r="Z233" s="11"/>
      <c r="AA233" s="11"/>
    </row>
    <row r="234" ht="15.75" customHeight="1">
      <c r="A234" s="234">
        <f t="shared" si="6"/>
        <v>844</v>
      </c>
      <c r="B234" s="243" t="str">
        <f t="shared" si="1"/>
        <v>Charge</v>
      </c>
      <c r="C234" s="236">
        <f t="shared" si="2"/>
        <v>0</v>
      </c>
      <c r="D234" s="236">
        <f t="shared" si="3"/>
        <v>0.9775626664</v>
      </c>
      <c r="E234" s="236">
        <f t="shared" si="7"/>
        <v>0</v>
      </c>
      <c r="F234" s="236">
        <f t="shared" si="8"/>
        <v>4220.283285</v>
      </c>
      <c r="G234" s="238">
        <f t="shared" si="4"/>
        <v>0.07562147515</v>
      </c>
      <c r="H234" s="240" t="str">
        <f t="shared" si="5"/>
        <v>Default standby Charge</v>
      </c>
      <c r="I234" s="182"/>
      <c r="J234" s="182"/>
      <c r="K234" s="11"/>
      <c r="L234" s="182"/>
      <c r="M234" s="182"/>
      <c r="N234" s="182"/>
      <c r="O234" s="182"/>
      <c r="P234" s="11"/>
      <c r="Q234" s="11"/>
      <c r="R234" s="11"/>
      <c r="S234" s="11"/>
      <c r="T234" s="11"/>
      <c r="U234" s="11"/>
      <c r="V234" s="11"/>
      <c r="W234" s="11"/>
      <c r="X234" s="11"/>
      <c r="Y234" s="11"/>
      <c r="Z234" s="11"/>
      <c r="AA234" s="11"/>
    </row>
    <row r="235" ht="15.75" customHeight="1">
      <c r="A235" s="234">
        <f t="shared" si="6"/>
        <v>848</v>
      </c>
      <c r="B235" s="243" t="str">
        <f t="shared" si="1"/>
        <v>Charge</v>
      </c>
      <c r="C235" s="236">
        <f t="shared" si="2"/>
        <v>0</v>
      </c>
      <c r="D235" s="236">
        <f t="shared" si="3"/>
        <v>0.9775626664</v>
      </c>
      <c r="E235" s="236">
        <f t="shared" si="7"/>
        <v>0</v>
      </c>
      <c r="F235" s="236">
        <f t="shared" si="8"/>
        <v>4221.260848</v>
      </c>
      <c r="G235" s="238">
        <f t="shared" si="4"/>
        <v>0.07563899168</v>
      </c>
      <c r="H235" s="240" t="str">
        <f t="shared" si="5"/>
        <v>Default standby Charge</v>
      </c>
      <c r="I235" s="182"/>
      <c r="J235" s="182"/>
      <c r="K235" s="11"/>
      <c r="L235" s="182"/>
      <c r="M235" s="182"/>
      <c r="N235" s="182"/>
      <c r="O235" s="182"/>
      <c r="P235" s="11"/>
      <c r="Q235" s="11"/>
      <c r="R235" s="11"/>
      <c r="S235" s="11"/>
      <c r="T235" s="11"/>
      <c r="U235" s="11"/>
      <c r="V235" s="11"/>
      <c r="W235" s="11"/>
      <c r="X235" s="11"/>
      <c r="Y235" s="11"/>
      <c r="Z235" s="11"/>
      <c r="AA235" s="11"/>
    </row>
    <row r="236" ht="15.75" customHeight="1">
      <c r="A236" s="234">
        <f t="shared" si="6"/>
        <v>852</v>
      </c>
      <c r="B236" s="243" t="str">
        <f t="shared" si="1"/>
        <v>Charge</v>
      </c>
      <c r="C236" s="236">
        <f t="shared" si="2"/>
        <v>0</v>
      </c>
      <c r="D236" s="236">
        <f t="shared" si="3"/>
        <v>0.9775626664</v>
      </c>
      <c r="E236" s="236">
        <f t="shared" si="7"/>
        <v>0</v>
      </c>
      <c r="F236" s="236">
        <f t="shared" si="8"/>
        <v>4222.238411</v>
      </c>
      <c r="G236" s="238">
        <f t="shared" si="4"/>
        <v>0.07565650822</v>
      </c>
      <c r="H236" s="240" t="str">
        <f t="shared" si="5"/>
        <v>Default standby Charge</v>
      </c>
      <c r="I236" s="182"/>
      <c r="J236" s="182"/>
      <c r="K236" s="11"/>
      <c r="L236" s="182"/>
      <c r="M236" s="182"/>
      <c r="N236" s="182"/>
      <c r="O236" s="182"/>
      <c r="P236" s="11"/>
      <c r="Q236" s="11"/>
      <c r="R236" s="11"/>
      <c r="S236" s="11"/>
      <c r="T236" s="11"/>
      <c r="U236" s="11"/>
      <c r="V236" s="11"/>
      <c r="W236" s="11"/>
      <c r="X236" s="11"/>
      <c r="Y236" s="11"/>
      <c r="Z236" s="11"/>
      <c r="AA236" s="11"/>
    </row>
    <row r="237" ht="15.75" customHeight="1">
      <c r="A237" s="234">
        <f t="shared" si="6"/>
        <v>856</v>
      </c>
      <c r="B237" s="243" t="str">
        <f t="shared" si="1"/>
        <v>Charge</v>
      </c>
      <c r="C237" s="236">
        <f t="shared" si="2"/>
        <v>0</v>
      </c>
      <c r="D237" s="236">
        <f t="shared" si="3"/>
        <v>0.9775626664</v>
      </c>
      <c r="E237" s="236">
        <f t="shared" si="7"/>
        <v>0</v>
      </c>
      <c r="F237" s="236">
        <f t="shared" si="8"/>
        <v>4223.215973</v>
      </c>
      <c r="G237" s="238">
        <f t="shared" si="4"/>
        <v>0.07567402475</v>
      </c>
      <c r="H237" s="240" t="str">
        <f t="shared" si="5"/>
        <v>Default standby Charge</v>
      </c>
      <c r="I237" s="182"/>
      <c r="J237" s="182"/>
      <c r="K237" s="11"/>
      <c r="L237" s="182"/>
      <c r="M237" s="182"/>
      <c r="N237" s="182"/>
      <c r="O237" s="182"/>
      <c r="P237" s="11"/>
      <c r="Q237" s="11"/>
      <c r="R237" s="11"/>
      <c r="S237" s="11"/>
      <c r="T237" s="11"/>
      <c r="U237" s="11"/>
      <c r="V237" s="11"/>
      <c r="W237" s="11"/>
      <c r="X237" s="11"/>
      <c r="Y237" s="11"/>
      <c r="Z237" s="11"/>
      <c r="AA237" s="11"/>
    </row>
    <row r="238" ht="15.75" customHeight="1">
      <c r="A238" s="234">
        <f t="shared" si="6"/>
        <v>860</v>
      </c>
      <c r="B238" s="243" t="str">
        <f t="shared" si="1"/>
        <v>Charge</v>
      </c>
      <c r="C238" s="236">
        <f t="shared" si="2"/>
        <v>0</v>
      </c>
      <c r="D238" s="236">
        <f t="shared" si="3"/>
        <v>0.9775626664</v>
      </c>
      <c r="E238" s="236">
        <f t="shared" si="7"/>
        <v>0</v>
      </c>
      <c r="F238" s="236">
        <f t="shared" si="8"/>
        <v>4224.193536</v>
      </c>
      <c r="G238" s="238">
        <f t="shared" si="4"/>
        <v>0.07569154128</v>
      </c>
      <c r="H238" s="240" t="str">
        <f t="shared" si="5"/>
        <v>Default standby Charge</v>
      </c>
      <c r="I238" s="182"/>
      <c r="J238" s="182"/>
      <c r="K238" s="11"/>
      <c r="L238" s="182"/>
      <c r="M238" s="182"/>
      <c r="N238" s="182"/>
      <c r="O238" s="182"/>
      <c r="P238" s="11"/>
      <c r="Q238" s="11"/>
      <c r="R238" s="11"/>
      <c r="S238" s="11"/>
      <c r="T238" s="11"/>
      <c r="U238" s="11"/>
      <c r="V238" s="11"/>
      <c r="W238" s="11"/>
      <c r="X238" s="11"/>
      <c r="Y238" s="11"/>
      <c r="Z238" s="11"/>
      <c r="AA238" s="11"/>
    </row>
    <row r="239" ht="15.75" customHeight="1">
      <c r="A239" s="234">
        <f t="shared" si="6"/>
        <v>864</v>
      </c>
      <c r="B239" s="243" t="str">
        <f t="shared" si="1"/>
        <v>Charge</v>
      </c>
      <c r="C239" s="236">
        <f t="shared" si="2"/>
        <v>0</v>
      </c>
      <c r="D239" s="236">
        <f t="shared" si="3"/>
        <v>0.9775626664</v>
      </c>
      <c r="E239" s="236">
        <f t="shared" si="7"/>
        <v>0</v>
      </c>
      <c r="F239" s="236">
        <f t="shared" si="8"/>
        <v>4225.171099</v>
      </c>
      <c r="G239" s="238">
        <f t="shared" si="4"/>
        <v>0.07570905782</v>
      </c>
      <c r="H239" s="240" t="str">
        <f t="shared" si="5"/>
        <v>Default standby Charge</v>
      </c>
      <c r="I239" s="182"/>
      <c r="J239" s="182"/>
      <c r="K239" s="11"/>
      <c r="L239" s="182"/>
      <c r="M239" s="182"/>
      <c r="N239" s="182"/>
      <c r="O239" s="182"/>
      <c r="P239" s="11"/>
      <c r="Q239" s="11"/>
      <c r="R239" s="11"/>
      <c r="S239" s="11"/>
      <c r="T239" s="11"/>
      <c r="U239" s="11"/>
      <c r="V239" s="11"/>
      <c r="W239" s="11"/>
      <c r="X239" s="11"/>
      <c r="Y239" s="11"/>
      <c r="Z239" s="11"/>
      <c r="AA239" s="11"/>
    </row>
    <row r="240" ht="15.75" customHeight="1">
      <c r="A240" s="234">
        <f t="shared" si="6"/>
        <v>868</v>
      </c>
      <c r="B240" s="243" t="str">
        <f t="shared" si="1"/>
        <v>Charge</v>
      </c>
      <c r="C240" s="236">
        <f t="shared" si="2"/>
        <v>0</v>
      </c>
      <c r="D240" s="236">
        <f t="shared" si="3"/>
        <v>0.9775626664</v>
      </c>
      <c r="E240" s="236">
        <f t="shared" si="7"/>
        <v>0</v>
      </c>
      <c r="F240" s="236">
        <f t="shared" si="8"/>
        <v>4226.148661</v>
      </c>
      <c r="G240" s="238">
        <f t="shared" si="4"/>
        <v>0.07572657435</v>
      </c>
      <c r="H240" s="240" t="str">
        <f t="shared" si="5"/>
        <v>Default standby Charge</v>
      </c>
      <c r="I240" s="182"/>
      <c r="J240" s="182"/>
      <c r="K240" s="11"/>
      <c r="L240" s="182"/>
      <c r="M240" s="182"/>
      <c r="N240" s="182"/>
      <c r="O240" s="182"/>
      <c r="P240" s="11"/>
      <c r="Q240" s="11"/>
      <c r="R240" s="11"/>
      <c r="S240" s="11"/>
      <c r="T240" s="11"/>
      <c r="U240" s="11"/>
      <c r="V240" s="11"/>
      <c r="W240" s="11"/>
      <c r="X240" s="11"/>
      <c r="Y240" s="11"/>
      <c r="Z240" s="11"/>
      <c r="AA240" s="11"/>
    </row>
    <row r="241" ht="15.75" customHeight="1">
      <c r="A241" s="234">
        <f t="shared" si="6"/>
        <v>872</v>
      </c>
      <c r="B241" s="243" t="str">
        <f t="shared" si="1"/>
        <v>Charge</v>
      </c>
      <c r="C241" s="236">
        <f t="shared" si="2"/>
        <v>0</v>
      </c>
      <c r="D241" s="236">
        <f t="shared" si="3"/>
        <v>0.9775626664</v>
      </c>
      <c r="E241" s="236">
        <f t="shared" si="7"/>
        <v>0</v>
      </c>
      <c r="F241" s="236">
        <f t="shared" si="8"/>
        <v>4227.126224</v>
      </c>
      <c r="G241" s="238">
        <f t="shared" si="4"/>
        <v>0.07574409088</v>
      </c>
      <c r="H241" s="240" t="str">
        <f t="shared" si="5"/>
        <v>Default standby Charge</v>
      </c>
      <c r="I241" s="182"/>
      <c r="J241" s="182"/>
      <c r="K241" s="11"/>
      <c r="L241" s="182"/>
      <c r="M241" s="182"/>
      <c r="N241" s="182"/>
      <c r="O241" s="182"/>
      <c r="P241" s="11"/>
      <c r="Q241" s="11"/>
      <c r="R241" s="11"/>
      <c r="S241" s="11"/>
      <c r="T241" s="11"/>
      <c r="U241" s="11"/>
      <c r="V241" s="11"/>
      <c r="W241" s="11"/>
      <c r="X241" s="11"/>
      <c r="Y241" s="11"/>
      <c r="Z241" s="11"/>
      <c r="AA241" s="11"/>
    </row>
    <row r="242" ht="15.75" customHeight="1">
      <c r="A242" s="234">
        <f t="shared" si="6"/>
        <v>876</v>
      </c>
      <c r="B242" s="243" t="str">
        <f t="shared" si="1"/>
        <v>Charge</v>
      </c>
      <c r="C242" s="236">
        <f t="shared" si="2"/>
        <v>0</v>
      </c>
      <c r="D242" s="236">
        <f t="shared" si="3"/>
        <v>0.9775626664</v>
      </c>
      <c r="E242" s="236">
        <f t="shared" si="7"/>
        <v>0</v>
      </c>
      <c r="F242" s="236">
        <f t="shared" si="8"/>
        <v>4228.103787</v>
      </c>
      <c r="G242" s="238">
        <f t="shared" si="4"/>
        <v>0.07576160741</v>
      </c>
      <c r="H242" s="240" t="str">
        <f t="shared" si="5"/>
        <v>Default standby Charge</v>
      </c>
      <c r="I242" s="182"/>
      <c r="J242" s="182"/>
      <c r="K242" s="11"/>
      <c r="L242" s="182"/>
      <c r="M242" s="182"/>
      <c r="N242" s="182"/>
      <c r="O242" s="182"/>
      <c r="P242" s="11"/>
      <c r="Q242" s="11"/>
      <c r="R242" s="11"/>
      <c r="S242" s="11"/>
      <c r="T242" s="11"/>
      <c r="U242" s="11"/>
      <c r="V242" s="11"/>
      <c r="W242" s="11"/>
      <c r="X242" s="11"/>
      <c r="Y242" s="11"/>
      <c r="Z242" s="11"/>
      <c r="AA242" s="11"/>
    </row>
    <row r="243" ht="15.75" customHeight="1">
      <c r="A243" s="234">
        <f t="shared" si="6"/>
        <v>880</v>
      </c>
      <c r="B243" s="243" t="str">
        <f t="shared" si="1"/>
        <v>Charge</v>
      </c>
      <c r="C243" s="236">
        <f t="shared" si="2"/>
        <v>0</v>
      </c>
      <c r="D243" s="236">
        <f t="shared" si="3"/>
        <v>0.9775626664</v>
      </c>
      <c r="E243" s="236">
        <f t="shared" si="7"/>
        <v>0</v>
      </c>
      <c r="F243" s="236">
        <f t="shared" si="8"/>
        <v>4229.081349</v>
      </c>
      <c r="G243" s="238">
        <f t="shared" si="4"/>
        <v>0.07577912395</v>
      </c>
      <c r="H243" s="240" t="str">
        <f t="shared" si="5"/>
        <v>Default standby Charge</v>
      </c>
      <c r="I243" s="182"/>
      <c r="J243" s="182"/>
      <c r="K243" s="11"/>
      <c r="L243" s="182"/>
      <c r="M243" s="182"/>
      <c r="N243" s="182"/>
      <c r="O243" s="182"/>
      <c r="P243" s="11"/>
      <c r="Q243" s="11"/>
      <c r="R243" s="11"/>
      <c r="S243" s="11"/>
      <c r="T243" s="11"/>
      <c r="U243" s="11"/>
      <c r="V243" s="11"/>
      <c r="W243" s="11"/>
      <c r="X243" s="11"/>
      <c r="Y243" s="11"/>
      <c r="Z243" s="11"/>
      <c r="AA243" s="11"/>
    </row>
    <row r="244" ht="15.75" customHeight="1">
      <c r="A244" s="234">
        <f t="shared" si="6"/>
        <v>884</v>
      </c>
      <c r="B244" s="243" t="str">
        <f t="shared" si="1"/>
        <v>Charge</v>
      </c>
      <c r="C244" s="236">
        <f t="shared" si="2"/>
        <v>0</v>
      </c>
      <c r="D244" s="236">
        <f t="shared" si="3"/>
        <v>0.9775626664</v>
      </c>
      <c r="E244" s="236">
        <f t="shared" si="7"/>
        <v>0</v>
      </c>
      <c r="F244" s="236">
        <f t="shared" si="8"/>
        <v>4230.058912</v>
      </c>
      <c r="G244" s="238">
        <f t="shared" si="4"/>
        <v>0.07579664048</v>
      </c>
      <c r="H244" s="240" t="str">
        <f t="shared" si="5"/>
        <v>Default standby Charge</v>
      </c>
      <c r="I244" s="182"/>
      <c r="J244" s="182"/>
      <c r="K244" s="11"/>
      <c r="L244" s="182"/>
      <c r="M244" s="182"/>
      <c r="N244" s="182"/>
      <c r="O244" s="182"/>
      <c r="P244" s="11"/>
      <c r="Q244" s="11"/>
      <c r="R244" s="11"/>
      <c r="S244" s="11"/>
      <c r="T244" s="11"/>
      <c r="U244" s="11"/>
      <c r="V244" s="11"/>
      <c r="W244" s="11"/>
      <c r="X244" s="11"/>
      <c r="Y244" s="11"/>
      <c r="Z244" s="11"/>
      <c r="AA244" s="11"/>
    </row>
    <row r="245" ht="15.75" customHeight="1">
      <c r="A245" s="234">
        <f t="shared" si="6"/>
        <v>888</v>
      </c>
      <c r="B245" s="243" t="str">
        <f t="shared" si="1"/>
        <v>Charge</v>
      </c>
      <c r="C245" s="236">
        <f t="shared" si="2"/>
        <v>0</v>
      </c>
      <c r="D245" s="236">
        <f t="shared" si="3"/>
        <v>0.9775626664</v>
      </c>
      <c r="E245" s="236">
        <f t="shared" si="7"/>
        <v>0</v>
      </c>
      <c r="F245" s="236">
        <f t="shared" si="8"/>
        <v>4231.036475</v>
      </c>
      <c r="G245" s="238">
        <f t="shared" si="4"/>
        <v>0.07581415701</v>
      </c>
      <c r="H245" s="240" t="str">
        <f t="shared" si="5"/>
        <v>Default standby Charge</v>
      </c>
      <c r="I245" s="182"/>
      <c r="J245" s="182"/>
      <c r="K245" s="11"/>
      <c r="L245" s="182"/>
      <c r="M245" s="182"/>
      <c r="N245" s="182"/>
      <c r="O245" s="182"/>
      <c r="P245" s="11"/>
      <c r="Q245" s="11"/>
      <c r="R245" s="11"/>
      <c r="S245" s="11"/>
      <c r="T245" s="11"/>
      <c r="U245" s="11"/>
      <c r="V245" s="11"/>
      <c r="W245" s="11"/>
      <c r="X245" s="11"/>
      <c r="Y245" s="11"/>
      <c r="Z245" s="11"/>
      <c r="AA245" s="11"/>
    </row>
    <row r="246" ht="15.75" customHeight="1">
      <c r="A246" s="234">
        <f t="shared" si="6"/>
        <v>892</v>
      </c>
      <c r="B246" s="243" t="str">
        <f t="shared" si="1"/>
        <v>Charge</v>
      </c>
      <c r="C246" s="236">
        <f t="shared" si="2"/>
        <v>0</v>
      </c>
      <c r="D246" s="236">
        <f t="shared" si="3"/>
        <v>0.9775626664</v>
      </c>
      <c r="E246" s="236">
        <f t="shared" si="7"/>
        <v>0</v>
      </c>
      <c r="F246" s="236">
        <f t="shared" si="8"/>
        <v>4232.014037</v>
      </c>
      <c r="G246" s="238">
        <f t="shared" si="4"/>
        <v>0.07583167355</v>
      </c>
      <c r="H246" s="240" t="str">
        <f t="shared" si="5"/>
        <v>Default standby Charge</v>
      </c>
      <c r="I246" s="182"/>
      <c r="J246" s="182"/>
      <c r="K246" s="11"/>
      <c r="L246" s="182"/>
      <c r="M246" s="182"/>
      <c r="N246" s="182"/>
      <c r="O246" s="182"/>
      <c r="P246" s="11"/>
      <c r="Q246" s="11"/>
      <c r="R246" s="11"/>
      <c r="S246" s="11"/>
      <c r="T246" s="11"/>
      <c r="U246" s="11"/>
      <c r="V246" s="11"/>
      <c r="W246" s="11"/>
      <c r="X246" s="11"/>
      <c r="Y246" s="11"/>
      <c r="Z246" s="11"/>
      <c r="AA246" s="11"/>
    </row>
    <row r="247" ht="15.75" customHeight="1">
      <c r="A247" s="234">
        <f t="shared" si="6"/>
        <v>896</v>
      </c>
      <c r="B247" s="243" t="str">
        <f t="shared" si="1"/>
        <v>Charge</v>
      </c>
      <c r="C247" s="236">
        <f t="shared" si="2"/>
        <v>0</v>
      </c>
      <c r="D247" s="236">
        <f t="shared" si="3"/>
        <v>0.9775626664</v>
      </c>
      <c r="E247" s="236">
        <f t="shared" si="7"/>
        <v>0</v>
      </c>
      <c r="F247" s="236">
        <f t="shared" si="8"/>
        <v>4232.9916</v>
      </c>
      <c r="G247" s="238">
        <f t="shared" si="4"/>
        <v>0.07584919008</v>
      </c>
      <c r="H247" s="240" t="str">
        <f t="shared" si="5"/>
        <v>Default standby Charge</v>
      </c>
      <c r="I247" s="182"/>
      <c r="J247" s="182"/>
      <c r="K247" s="11"/>
      <c r="L247" s="182"/>
      <c r="M247" s="182"/>
      <c r="N247" s="182"/>
      <c r="O247" s="182"/>
      <c r="P247" s="11"/>
      <c r="Q247" s="11"/>
      <c r="R247" s="11"/>
      <c r="S247" s="11"/>
      <c r="T247" s="11"/>
      <c r="U247" s="11"/>
      <c r="V247" s="11"/>
      <c r="W247" s="11"/>
      <c r="X247" s="11"/>
      <c r="Y247" s="11"/>
      <c r="Z247" s="11"/>
      <c r="AA247" s="11"/>
    </row>
    <row r="248" ht="15.75" customHeight="1">
      <c r="A248" s="234">
        <f t="shared" si="6"/>
        <v>900</v>
      </c>
      <c r="B248" s="243" t="str">
        <f t="shared" si="1"/>
        <v>Charge</v>
      </c>
      <c r="C248" s="236">
        <f t="shared" si="2"/>
        <v>0</v>
      </c>
      <c r="D248" s="236">
        <f t="shared" si="3"/>
        <v>0.9775626664</v>
      </c>
      <c r="E248" s="236">
        <f t="shared" si="7"/>
        <v>0</v>
      </c>
      <c r="F248" s="236">
        <f t="shared" si="8"/>
        <v>4233.969163</v>
      </c>
      <c r="G248" s="238">
        <f t="shared" si="4"/>
        <v>0.07586670661</v>
      </c>
      <c r="H248" s="240" t="str">
        <f t="shared" si="5"/>
        <v>Default standby Charge</v>
      </c>
      <c r="I248" s="182"/>
      <c r="J248" s="182"/>
      <c r="K248" s="11"/>
      <c r="L248" s="182"/>
      <c r="M248" s="182"/>
      <c r="N248" s="182"/>
      <c r="O248" s="182"/>
      <c r="P248" s="11"/>
      <c r="Q248" s="11"/>
      <c r="R248" s="11"/>
      <c r="S248" s="11"/>
      <c r="T248" s="11"/>
      <c r="U248" s="11"/>
      <c r="V248" s="11"/>
      <c r="W248" s="11"/>
      <c r="X248" s="11"/>
      <c r="Y248" s="11"/>
      <c r="Z248" s="11"/>
      <c r="AA248" s="11"/>
    </row>
    <row r="249" ht="15.75" customHeight="1">
      <c r="A249" s="234">
        <f t="shared" si="6"/>
        <v>904</v>
      </c>
      <c r="B249" s="243" t="str">
        <f t="shared" si="1"/>
        <v>Charge</v>
      </c>
      <c r="C249" s="236">
        <f t="shared" si="2"/>
        <v>0</v>
      </c>
      <c r="D249" s="236">
        <f t="shared" si="3"/>
        <v>0.9775626664</v>
      </c>
      <c r="E249" s="236">
        <f t="shared" si="7"/>
        <v>0</v>
      </c>
      <c r="F249" s="236">
        <f t="shared" si="8"/>
        <v>4234.946725</v>
      </c>
      <c r="G249" s="238">
        <f t="shared" si="4"/>
        <v>0.07588422314</v>
      </c>
      <c r="H249" s="240" t="str">
        <f t="shared" si="5"/>
        <v>Default standby Charge</v>
      </c>
      <c r="I249" s="182"/>
      <c r="J249" s="182"/>
      <c r="K249" s="11"/>
      <c r="L249" s="182"/>
      <c r="M249" s="182"/>
      <c r="N249" s="182"/>
      <c r="O249" s="182"/>
      <c r="P249" s="11"/>
      <c r="Q249" s="11"/>
      <c r="R249" s="11"/>
      <c r="S249" s="11"/>
      <c r="T249" s="11"/>
      <c r="U249" s="11"/>
      <c r="V249" s="11"/>
      <c r="W249" s="11"/>
      <c r="X249" s="11"/>
      <c r="Y249" s="11"/>
      <c r="Z249" s="11"/>
      <c r="AA249" s="11"/>
    </row>
    <row r="250" ht="15.75" customHeight="1">
      <c r="A250" s="234">
        <f t="shared" si="6"/>
        <v>908</v>
      </c>
      <c r="B250" s="243" t="str">
        <f t="shared" si="1"/>
        <v>Charge</v>
      </c>
      <c r="C250" s="236">
        <f t="shared" si="2"/>
        <v>0</v>
      </c>
      <c r="D250" s="236">
        <f t="shared" si="3"/>
        <v>0.9775626664</v>
      </c>
      <c r="E250" s="236">
        <f t="shared" si="7"/>
        <v>0</v>
      </c>
      <c r="F250" s="236">
        <f t="shared" si="8"/>
        <v>4235.924288</v>
      </c>
      <c r="G250" s="238">
        <f t="shared" si="4"/>
        <v>0.07590173968</v>
      </c>
      <c r="H250" s="240" t="str">
        <f t="shared" si="5"/>
        <v>Default standby Charge</v>
      </c>
      <c r="I250" s="182"/>
      <c r="J250" s="182"/>
      <c r="K250" s="11"/>
      <c r="L250" s="182"/>
      <c r="M250" s="182"/>
      <c r="N250" s="182"/>
      <c r="O250" s="182"/>
      <c r="P250" s="11"/>
      <c r="Q250" s="11"/>
      <c r="R250" s="11"/>
      <c r="S250" s="11"/>
      <c r="T250" s="11"/>
      <c r="U250" s="11"/>
      <c r="V250" s="11"/>
      <c r="W250" s="11"/>
      <c r="X250" s="11"/>
      <c r="Y250" s="11"/>
      <c r="Z250" s="11"/>
      <c r="AA250" s="11"/>
    </row>
    <row r="251" ht="15.75" customHeight="1">
      <c r="A251" s="234">
        <f t="shared" si="6"/>
        <v>912</v>
      </c>
      <c r="B251" s="243" t="str">
        <f t="shared" si="1"/>
        <v>Charge</v>
      </c>
      <c r="C251" s="236">
        <f t="shared" si="2"/>
        <v>0</v>
      </c>
      <c r="D251" s="236">
        <f t="shared" si="3"/>
        <v>0.9775626664</v>
      </c>
      <c r="E251" s="236">
        <f t="shared" si="7"/>
        <v>0</v>
      </c>
      <c r="F251" s="236">
        <f t="shared" si="8"/>
        <v>4236.901851</v>
      </c>
      <c r="G251" s="238">
        <f t="shared" si="4"/>
        <v>0.07591925621</v>
      </c>
      <c r="H251" s="240" t="str">
        <f t="shared" si="5"/>
        <v>Default standby Charge</v>
      </c>
      <c r="I251" s="182"/>
      <c r="J251" s="182"/>
      <c r="K251" s="11"/>
      <c r="L251" s="182"/>
      <c r="M251" s="182"/>
      <c r="N251" s="182"/>
      <c r="O251" s="182"/>
      <c r="P251" s="11"/>
      <c r="Q251" s="11"/>
      <c r="R251" s="11"/>
      <c r="S251" s="11"/>
      <c r="T251" s="11"/>
      <c r="U251" s="11"/>
      <c r="V251" s="11"/>
      <c r="W251" s="11"/>
      <c r="X251" s="11"/>
      <c r="Y251" s="11"/>
      <c r="Z251" s="11"/>
      <c r="AA251" s="11"/>
    </row>
    <row r="252" ht="15.75" customHeight="1">
      <c r="A252" s="234">
        <f t="shared" si="6"/>
        <v>916</v>
      </c>
      <c r="B252" s="243" t="str">
        <f t="shared" si="1"/>
        <v>Charge</v>
      </c>
      <c r="C252" s="236">
        <f t="shared" si="2"/>
        <v>0</v>
      </c>
      <c r="D252" s="236">
        <f t="shared" si="3"/>
        <v>0.9775626664</v>
      </c>
      <c r="E252" s="236">
        <f t="shared" si="7"/>
        <v>0</v>
      </c>
      <c r="F252" s="236">
        <f t="shared" si="8"/>
        <v>4237.879413</v>
      </c>
      <c r="G252" s="238">
        <f t="shared" si="4"/>
        <v>0.07593677274</v>
      </c>
      <c r="H252" s="240" t="str">
        <f t="shared" si="5"/>
        <v>Default standby Charge</v>
      </c>
      <c r="I252" s="182"/>
      <c r="J252" s="182"/>
      <c r="K252" s="11"/>
      <c r="L252" s="182"/>
      <c r="M252" s="182"/>
      <c r="N252" s="182"/>
      <c r="O252" s="182"/>
      <c r="P252" s="11"/>
      <c r="Q252" s="11"/>
      <c r="R252" s="11"/>
      <c r="S252" s="11"/>
      <c r="T252" s="11"/>
      <c r="U252" s="11"/>
      <c r="V252" s="11"/>
      <c r="W252" s="11"/>
      <c r="X252" s="11"/>
      <c r="Y252" s="11"/>
      <c r="Z252" s="11"/>
      <c r="AA252" s="11"/>
    </row>
    <row r="253" ht="15.75" customHeight="1">
      <c r="A253" s="234">
        <f t="shared" si="6"/>
        <v>920</v>
      </c>
      <c r="B253" s="243" t="str">
        <f t="shared" si="1"/>
        <v>Charge</v>
      </c>
      <c r="C253" s="236">
        <f t="shared" si="2"/>
        <v>0</v>
      </c>
      <c r="D253" s="236">
        <f t="shared" si="3"/>
        <v>0.9775626664</v>
      </c>
      <c r="E253" s="236">
        <f t="shared" si="7"/>
        <v>0</v>
      </c>
      <c r="F253" s="236">
        <f t="shared" si="8"/>
        <v>4238.856976</v>
      </c>
      <c r="G253" s="238">
        <f t="shared" si="4"/>
        <v>0.07595428928</v>
      </c>
      <c r="H253" s="240" t="str">
        <f t="shared" si="5"/>
        <v>Default standby Charge</v>
      </c>
      <c r="I253" s="182"/>
      <c r="J253" s="182"/>
      <c r="K253" s="11"/>
      <c r="L253" s="182"/>
      <c r="M253" s="182"/>
      <c r="N253" s="182"/>
      <c r="O253" s="182"/>
      <c r="P253" s="11"/>
      <c r="Q253" s="11"/>
      <c r="R253" s="11"/>
      <c r="S253" s="11"/>
      <c r="T253" s="11"/>
      <c r="U253" s="11"/>
      <c r="V253" s="11"/>
      <c r="W253" s="11"/>
      <c r="X253" s="11"/>
      <c r="Y253" s="11"/>
      <c r="Z253" s="11"/>
      <c r="AA253" s="11"/>
    </row>
    <row r="254" ht="15.75" customHeight="1">
      <c r="A254" s="234">
        <f t="shared" si="6"/>
        <v>924</v>
      </c>
      <c r="B254" s="243" t="str">
        <f t="shared" si="1"/>
        <v>Charge</v>
      </c>
      <c r="C254" s="236">
        <f t="shared" si="2"/>
        <v>0</v>
      </c>
      <c r="D254" s="236">
        <f t="shared" si="3"/>
        <v>0.9775626664</v>
      </c>
      <c r="E254" s="236">
        <f t="shared" si="7"/>
        <v>0</v>
      </c>
      <c r="F254" s="236">
        <f t="shared" si="8"/>
        <v>4239.834539</v>
      </c>
      <c r="G254" s="238">
        <f t="shared" si="4"/>
        <v>0.07597180581</v>
      </c>
      <c r="H254" s="240" t="str">
        <f t="shared" si="5"/>
        <v>Default standby Charge</v>
      </c>
      <c r="I254" s="182"/>
      <c r="J254" s="182"/>
      <c r="K254" s="11"/>
      <c r="L254" s="182"/>
      <c r="M254" s="182"/>
      <c r="N254" s="182"/>
      <c r="O254" s="182"/>
      <c r="P254" s="11"/>
      <c r="Q254" s="11"/>
      <c r="R254" s="11"/>
      <c r="S254" s="11"/>
      <c r="T254" s="11"/>
      <c r="U254" s="11"/>
      <c r="V254" s="11"/>
      <c r="W254" s="11"/>
      <c r="X254" s="11"/>
      <c r="Y254" s="11"/>
      <c r="Z254" s="11"/>
      <c r="AA254" s="11"/>
    </row>
    <row r="255" ht="15.75" customHeight="1">
      <c r="A255" s="234">
        <f t="shared" si="6"/>
        <v>928</v>
      </c>
      <c r="B255" s="243" t="str">
        <f t="shared" si="1"/>
        <v>Charge</v>
      </c>
      <c r="C255" s="236">
        <f t="shared" si="2"/>
        <v>0</v>
      </c>
      <c r="D255" s="236">
        <f t="shared" si="3"/>
        <v>0.9775626664</v>
      </c>
      <c r="E255" s="236">
        <f t="shared" si="7"/>
        <v>0</v>
      </c>
      <c r="F255" s="236">
        <f t="shared" si="8"/>
        <v>4240.812101</v>
      </c>
      <c r="G255" s="238">
        <f t="shared" si="4"/>
        <v>0.07598932234</v>
      </c>
      <c r="H255" s="240" t="str">
        <f t="shared" si="5"/>
        <v>Default standby Charge</v>
      </c>
      <c r="I255" s="182"/>
      <c r="J255" s="182"/>
      <c r="K255" s="11"/>
      <c r="L255" s="182"/>
      <c r="M255" s="182"/>
      <c r="N255" s="182"/>
      <c r="O255" s="182"/>
      <c r="P255" s="11"/>
      <c r="Q255" s="11"/>
      <c r="R255" s="11"/>
      <c r="S255" s="11"/>
      <c r="T255" s="11"/>
      <c r="U255" s="11"/>
      <c r="V255" s="11"/>
      <c r="W255" s="11"/>
      <c r="X255" s="11"/>
      <c r="Y255" s="11"/>
      <c r="Z255" s="11"/>
      <c r="AA255" s="11"/>
    </row>
    <row r="256" ht="15.75" customHeight="1">
      <c r="A256" s="234">
        <f t="shared" si="6"/>
        <v>932</v>
      </c>
      <c r="B256" s="243" t="str">
        <f t="shared" si="1"/>
        <v>Charge</v>
      </c>
      <c r="C256" s="236">
        <f t="shared" si="2"/>
        <v>0</v>
      </c>
      <c r="D256" s="236">
        <f t="shared" si="3"/>
        <v>0.9775626664</v>
      </c>
      <c r="E256" s="236">
        <f t="shared" si="7"/>
        <v>0</v>
      </c>
      <c r="F256" s="236">
        <f t="shared" si="8"/>
        <v>4241.789664</v>
      </c>
      <c r="G256" s="238">
        <f t="shared" si="4"/>
        <v>0.07600683888</v>
      </c>
      <c r="H256" s="240" t="str">
        <f t="shared" si="5"/>
        <v>Default standby Charge</v>
      </c>
      <c r="I256" s="182"/>
      <c r="J256" s="182"/>
      <c r="K256" s="11"/>
      <c r="L256" s="182"/>
      <c r="M256" s="182"/>
      <c r="N256" s="182"/>
      <c r="O256" s="182"/>
      <c r="P256" s="11"/>
      <c r="Q256" s="11"/>
      <c r="R256" s="11"/>
      <c r="S256" s="11"/>
      <c r="T256" s="11"/>
      <c r="U256" s="11"/>
      <c r="V256" s="11"/>
      <c r="W256" s="11"/>
      <c r="X256" s="11"/>
      <c r="Y256" s="11"/>
      <c r="Z256" s="11"/>
      <c r="AA256" s="11"/>
    </row>
    <row r="257" ht="15.75" customHeight="1">
      <c r="A257" s="234">
        <f t="shared" si="6"/>
        <v>936</v>
      </c>
      <c r="B257" s="243" t="str">
        <f t="shared" si="1"/>
        <v>Charge</v>
      </c>
      <c r="C257" s="236">
        <f t="shared" si="2"/>
        <v>0</v>
      </c>
      <c r="D257" s="236">
        <f t="shared" si="3"/>
        <v>0.9775626664</v>
      </c>
      <c r="E257" s="236">
        <f t="shared" si="7"/>
        <v>0</v>
      </c>
      <c r="F257" s="236">
        <f t="shared" si="8"/>
        <v>4242.767227</v>
      </c>
      <c r="G257" s="238">
        <f t="shared" si="4"/>
        <v>0.07602435541</v>
      </c>
      <c r="H257" s="240" t="str">
        <f t="shared" si="5"/>
        <v>Default standby Charge</v>
      </c>
      <c r="I257" s="182"/>
      <c r="J257" s="182"/>
      <c r="K257" s="11"/>
      <c r="L257" s="182"/>
      <c r="M257" s="182"/>
      <c r="N257" s="182"/>
      <c r="O257" s="182"/>
      <c r="P257" s="11"/>
      <c r="Q257" s="11"/>
      <c r="R257" s="11"/>
      <c r="S257" s="11"/>
      <c r="T257" s="11"/>
      <c r="U257" s="11"/>
      <c r="V257" s="11"/>
      <c r="W257" s="11"/>
      <c r="X257" s="11"/>
      <c r="Y257" s="11"/>
      <c r="Z257" s="11"/>
      <c r="AA257" s="11"/>
    </row>
    <row r="258" ht="15.75" customHeight="1">
      <c r="A258" s="234">
        <f t="shared" si="6"/>
        <v>940</v>
      </c>
      <c r="B258" s="243" t="str">
        <f t="shared" si="1"/>
        <v>Charge</v>
      </c>
      <c r="C258" s="236">
        <f t="shared" si="2"/>
        <v>0</v>
      </c>
      <c r="D258" s="236">
        <f t="shared" si="3"/>
        <v>0.9775626664</v>
      </c>
      <c r="E258" s="236">
        <f t="shared" si="7"/>
        <v>0</v>
      </c>
      <c r="F258" s="236">
        <f t="shared" si="8"/>
        <v>4243.744789</v>
      </c>
      <c r="G258" s="238">
        <f t="shared" si="4"/>
        <v>0.07604187194</v>
      </c>
      <c r="H258" s="240" t="str">
        <f t="shared" si="5"/>
        <v>Default standby Charge</v>
      </c>
      <c r="I258" s="182"/>
      <c r="J258" s="182"/>
      <c r="K258" s="11"/>
      <c r="L258" s="182"/>
      <c r="M258" s="182"/>
      <c r="N258" s="182"/>
      <c r="O258" s="182"/>
      <c r="P258" s="11"/>
      <c r="Q258" s="11"/>
      <c r="R258" s="11"/>
      <c r="S258" s="11"/>
      <c r="T258" s="11"/>
      <c r="U258" s="11"/>
      <c r="V258" s="11"/>
      <c r="W258" s="11"/>
      <c r="X258" s="11"/>
      <c r="Y258" s="11"/>
      <c r="Z258" s="11"/>
      <c r="AA258" s="11"/>
    </row>
    <row r="259" ht="15.75" customHeight="1">
      <c r="A259" s="234">
        <f t="shared" si="6"/>
        <v>944</v>
      </c>
      <c r="B259" s="243" t="str">
        <f t="shared" si="1"/>
        <v>Charge</v>
      </c>
      <c r="C259" s="236">
        <f t="shared" si="2"/>
        <v>0</v>
      </c>
      <c r="D259" s="236">
        <f t="shared" si="3"/>
        <v>0.9775626664</v>
      </c>
      <c r="E259" s="236">
        <f t="shared" si="7"/>
        <v>0</v>
      </c>
      <c r="F259" s="236">
        <f t="shared" si="8"/>
        <v>4244.722352</v>
      </c>
      <c r="G259" s="238">
        <f t="shared" si="4"/>
        <v>0.07605938847</v>
      </c>
      <c r="H259" s="240" t="str">
        <f t="shared" si="5"/>
        <v>Default standby Charge</v>
      </c>
      <c r="I259" s="182"/>
      <c r="J259" s="182"/>
      <c r="K259" s="11"/>
      <c r="L259" s="182"/>
      <c r="M259" s="182"/>
      <c r="N259" s="182"/>
      <c r="O259" s="182"/>
      <c r="P259" s="11"/>
      <c r="Q259" s="11"/>
      <c r="R259" s="11"/>
      <c r="S259" s="11"/>
      <c r="T259" s="11"/>
      <c r="U259" s="11"/>
      <c r="V259" s="11"/>
      <c r="W259" s="11"/>
      <c r="X259" s="11"/>
      <c r="Y259" s="11"/>
      <c r="Z259" s="11"/>
      <c r="AA259" s="11"/>
    </row>
    <row r="260" ht="15.75" customHeight="1">
      <c r="A260" s="234">
        <f t="shared" si="6"/>
        <v>948</v>
      </c>
      <c r="B260" s="243" t="str">
        <f t="shared" si="1"/>
        <v>Charge</v>
      </c>
      <c r="C260" s="236">
        <f t="shared" si="2"/>
        <v>0</v>
      </c>
      <c r="D260" s="236">
        <f t="shared" si="3"/>
        <v>0.9775626664</v>
      </c>
      <c r="E260" s="236">
        <f t="shared" si="7"/>
        <v>0</v>
      </c>
      <c r="F260" s="236">
        <f t="shared" si="8"/>
        <v>4245.699915</v>
      </c>
      <c r="G260" s="238">
        <f t="shared" si="4"/>
        <v>0.07607690501</v>
      </c>
      <c r="H260" s="240" t="str">
        <f t="shared" si="5"/>
        <v>Default standby Charge</v>
      </c>
      <c r="I260" s="182"/>
      <c r="J260" s="182"/>
      <c r="K260" s="11"/>
      <c r="L260" s="182"/>
      <c r="M260" s="182"/>
      <c r="N260" s="182"/>
      <c r="O260" s="182"/>
      <c r="P260" s="11"/>
      <c r="Q260" s="11"/>
      <c r="R260" s="11"/>
      <c r="S260" s="11"/>
      <c r="T260" s="11"/>
      <c r="U260" s="11"/>
      <c r="V260" s="11"/>
      <c r="W260" s="11"/>
      <c r="X260" s="11"/>
      <c r="Y260" s="11"/>
      <c r="Z260" s="11"/>
      <c r="AA260" s="11"/>
    </row>
    <row r="261" ht="15.75" customHeight="1">
      <c r="A261" s="234">
        <f t="shared" si="6"/>
        <v>952</v>
      </c>
      <c r="B261" s="243" t="str">
        <f t="shared" si="1"/>
        <v>Charge</v>
      </c>
      <c r="C261" s="236">
        <f t="shared" si="2"/>
        <v>0</v>
      </c>
      <c r="D261" s="236">
        <f t="shared" si="3"/>
        <v>0.9775626664</v>
      </c>
      <c r="E261" s="236">
        <f t="shared" si="7"/>
        <v>0</v>
      </c>
      <c r="F261" s="236">
        <f t="shared" si="8"/>
        <v>4246.677477</v>
      </c>
      <c r="G261" s="238">
        <f t="shared" si="4"/>
        <v>0.07609442154</v>
      </c>
      <c r="H261" s="240" t="str">
        <f t="shared" si="5"/>
        <v>Default standby Charge</v>
      </c>
      <c r="I261" s="182"/>
      <c r="J261" s="182"/>
      <c r="K261" s="11"/>
      <c r="L261" s="182"/>
      <c r="M261" s="182"/>
      <c r="N261" s="182"/>
      <c r="O261" s="182"/>
      <c r="P261" s="11"/>
      <c r="Q261" s="11"/>
      <c r="R261" s="11"/>
      <c r="S261" s="11"/>
      <c r="T261" s="11"/>
      <c r="U261" s="11"/>
      <c r="V261" s="11"/>
      <c r="W261" s="11"/>
      <c r="X261" s="11"/>
      <c r="Y261" s="11"/>
      <c r="Z261" s="11"/>
      <c r="AA261" s="11"/>
    </row>
    <row r="262" ht="15.75" customHeight="1">
      <c r="A262" s="234">
        <f t="shared" si="6"/>
        <v>956</v>
      </c>
      <c r="B262" s="243" t="str">
        <f t="shared" si="1"/>
        <v>Charge</v>
      </c>
      <c r="C262" s="236">
        <f t="shared" si="2"/>
        <v>0</v>
      </c>
      <c r="D262" s="236">
        <f t="shared" si="3"/>
        <v>0.9775626664</v>
      </c>
      <c r="E262" s="236">
        <f t="shared" si="7"/>
        <v>0</v>
      </c>
      <c r="F262" s="236">
        <f t="shared" si="8"/>
        <v>4247.65504</v>
      </c>
      <c r="G262" s="238">
        <f t="shared" si="4"/>
        <v>0.07611193807</v>
      </c>
      <c r="H262" s="240" t="str">
        <f t="shared" si="5"/>
        <v>Default standby Charge</v>
      </c>
      <c r="I262" s="182"/>
      <c r="J262" s="182"/>
      <c r="K262" s="11"/>
      <c r="L262" s="182"/>
      <c r="M262" s="182"/>
      <c r="N262" s="182"/>
      <c r="O262" s="182"/>
      <c r="P262" s="11"/>
      <c r="Q262" s="11"/>
      <c r="R262" s="11"/>
      <c r="S262" s="11"/>
      <c r="T262" s="11"/>
      <c r="U262" s="11"/>
      <c r="V262" s="11"/>
      <c r="W262" s="11"/>
      <c r="X262" s="11"/>
      <c r="Y262" s="11"/>
      <c r="Z262" s="11"/>
      <c r="AA262" s="11"/>
    </row>
    <row r="263" ht="15.75" customHeight="1">
      <c r="A263" s="234">
        <f t="shared" si="6"/>
        <v>960</v>
      </c>
      <c r="B263" s="243" t="str">
        <f t="shared" si="1"/>
        <v>Charge</v>
      </c>
      <c r="C263" s="236">
        <f t="shared" si="2"/>
        <v>0</v>
      </c>
      <c r="D263" s="236">
        <f t="shared" si="3"/>
        <v>0.9775626664</v>
      </c>
      <c r="E263" s="236">
        <f t="shared" si="7"/>
        <v>0</v>
      </c>
      <c r="F263" s="236">
        <f t="shared" si="8"/>
        <v>4248.632603</v>
      </c>
      <c r="G263" s="238">
        <f t="shared" si="4"/>
        <v>0.07612945461</v>
      </c>
      <c r="H263" s="240" t="str">
        <f t="shared" si="5"/>
        <v>Default standby Charge</v>
      </c>
      <c r="I263" s="182"/>
      <c r="J263" s="182"/>
      <c r="K263" s="11"/>
      <c r="L263" s="182"/>
      <c r="M263" s="182"/>
      <c r="N263" s="182"/>
      <c r="O263" s="182"/>
      <c r="P263" s="11"/>
      <c r="Q263" s="11"/>
      <c r="R263" s="11"/>
      <c r="S263" s="11"/>
      <c r="T263" s="11"/>
      <c r="U263" s="11"/>
      <c r="V263" s="11"/>
      <c r="W263" s="11"/>
      <c r="X263" s="11"/>
      <c r="Y263" s="11"/>
      <c r="Z263" s="11"/>
      <c r="AA263" s="11"/>
    </row>
    <row r="264" ht="15.75" customHeight="1">
      <c r="A264" s="234">
        <f t="shared" si="6"/>
        <v>964</v>
      </c>
      <c r="B264" s="243" t="str">
        <f t="shared" si="1"/>
        <v>Charge</v>
      </c>
      <c r="C264" s="236">
        <f t="shared" si="2"/>
        <v>0</v>
      </c>
      <c r="D264" s="236">
        <f t="shared" si="3"/>
        <v>0.9775626664</v>
      </c>
      <c r="E264" s="236">
        <f t="shared" si="7"/>
        <v>0</v>
      </c>
      <c r="F264" s="236">
        <f t="shared" si="8"/>
        <v>4249.610165</v>
      </c>
      <c r="G264" s="238">
        <f t="shared" si="4"/>
        <v>0.07614697114</v>
      </c>
      <c r="H264" s="240" t="str">
        <f t="shared" si="5"/>
        <v>Default standby Charge</v>
      </c>
      <c r="I264" s="182"/>
      <c r="J264" s="182"/>
      <c r="K264" s="11"/>
      <c r="L264" s="182"/>
      <c r="M264" s="182"/>
      <c r="N264" s="182"/>
      <c r="O264" s="182"/>
      <c r="P264" s="11"/>
      <c r="Q264" s="11"/>
      <c r="R264" s="11"/>
      <c r="S264" s="11"/>
      <c r="T264" s="11"/>
      <c r="U264" s="11"/>
      <c r="V264" s="11"/>
      <c r="W264" s="11"/>
      <c r="X264" s="11"/>
      <c r="Y264" s="11"/>
      <c r="Z264" s="11"/>
      <c r="AA264" s="11"/>
    </row>
    <row r="265" ht="15.75" customHeight="1">
      <c r="A265" s="234">
        <f t="shared" si="6"/>
        <v>968</v>
      </c>
      <c r="B265" s="243" t="str">
        <f t="shared" si="1"/>
        <v>Charge</v>
      </c>
      <c r="C265" s="236">
        <f t="shared" si="2"/>
        <v>0</v>
      </c>
      <c r="D265" s="236">
        <f t="shared" si="3"/>
        <v>0.9775626664</v>
      </c>
      <c r="E265" s="236">
        <f t="shared" si="7"/>
        <v>0</v>
      </c>
      <c r="F265" s="236">
        <f t="shared" si="8"/>
        <v>4250.587728</v>
      </c>
      <c r="G265" s="238">
        <f t="shared" si="4"/>
        <v>0.07616448767</v>
      </c>
      <c r="H265" s="240" t="str">
        <f t="shared" si="5"/>
        <v>Default standby Charge</v>
      </c>
      <c r="I265" s="182"/>
      <c r="J265" s="182"/>
      <c r="K265" s="11"/>
      <c r="L265" s="182"/>
      <c r="M265" s="182"/>
      <c r="N265" s="182"/>
      <c r="O265" s="182"/>
      <c r="P265" s="11"/>
      <c r="Q265" s="11"/>
      <c r="R265" s="11"/>
      <c r="S265" s="11"/>
      <c r="T265" s="11"/>
      <c r="U265" s="11"/>
      <c r="V265" s="11"/>
      <c r="W265" s="11"/>
      <c r="X265" s="11"/>
      <c r="Y265" s="11"/>
      <c r="Z265" s="11"/>
      <c r="AA265" s="11"/>
    </row>
    <row r="266" ht="15.75" customHeight="1">
      <c r="A266" s="234">
        <f t="shared" si="6"/>
        <v>972</v>
      </c>
      <c r="B266" s="243" t="str">
        <f t="shared" si="1"/>
        <v>Charge</v>
      </c>
      <c r="C266" s="236">
        <f t="shared" si="2"/>
        <v>0</v>
      </c>
      <c r="D266" s="236">
        <f t="shared" si="3"/>
        <v>0.9775626664</v>
      </c>
      <c r="E266" s="236">
        <f t="shared" si="7"/>
        <v>0</v>
      </c>
      <c r="F266" s="236">
        <f t="shared" si="8"/>
        <v>4251.565291</v>
      </c>
      <c r="G266" s="238">
        <f t="shared" si="4"/>
        <v>0.0761820042</v>
      </c>
      <c r="H266" s="240" t="str">
        <f t="shared" si="5"/>
        <v>Default standby Charge</v>
      </c>
      <c r="I266" s="182"/>
      <c r="J266" s="182"/>
      <c r="K266" s="11"/>
      <c r="L266" s="182"/>
      <c r="M266" s="182"/>
      <c r="N266" s="182"/>
      <c r="O266" s="182"/>
      <c r="P266" s="11"/>
      <c r="Q266" s="11"/>
      <c r="R266" s="11"/>
      <c r="S266" s="11"/>
      <c r="T266" s="11"/>
      <c r="U266" s="11"/>
      <c r="V266" s="11"/>
      <c r="W266" s="11"/>
      <c r="X266" s="11"/>
      <c r="Y266" s="11"/>
      <c r="Z266" s="11"/>
      <c r="AA266" s="11"/>
    </row>
    <row r="267" ht="15.75" customHeight="1">
      <c r="A267" s="234">
        <f t="shared" si="6"/>
        <v>976</v>
      </c>
      <c r="B267" s="243" t="str">
        <f t="shared" si="1"/>
        <v>Charge</v>
      </c>
      <c r="C267" s="236">
        <f t="shared" si="2"/>
        <v>0</v>
      </c>
      <c r="D267" s="236">
        <f t="shared" si="3"/>
        <v>0.9775626664</v>
      </c>
      <c r="E267" s="236">
        <f t="shared" si="7"/>
        <v>0</v>
      </c>
      <c r="F267" s="236">
        <f t="shared" si="8"/>
        <v>4252.542853</v>
      </c>
      <c r="G267" s="238">
        <f t="shared" si="4"/>
        <v>0.07619952074</v>
      </c>
      <c r="H267" s="240" t="str">
        <f t="shared" si="5"/>
        <v>Default standby Charge</v>
      </c>
      <c r="I267" s="182"/>
      <c r="J267" s="182"/>
      <c r="K267" s="11"/>
      <c r="L267" s="182"/>
      <c r="M267" s="182"/>
      <c r="N267" s="182"/>
      <c r="O267" s="182"/>
      <c r="P267" s="11"/>
      <c r="Q267" s="11"/>
      <c r="R267" s="11"/>
      <c r="S267" s="11"/>
      <c r="T267" s="11"/>
      <c r="U267" s="11"/>
      <c r="V267" s="11"/>
      <c r="W267" s="11"/>
      <c r="X267" s="11"/>
      <c r="Y267" s="11"/>
      <c r="Z267" s="11"/>
      <c r="AA267" s="11"/>
    </row>
    <row r="268" ht="15.75" customHeight="1">
      <c r="A268" s="234">
        <f t="shared" si="6"/>
        <v>980</v>
      </c>
      <c r="B268" s="243" t="str">
        <f t="shared" si="1"/>
        <v>Charge</v>
      </c>
      <c r="C268" s="236">
        <f t="shared" si="2"/>
        <v>0</v>
      </c>
      <c r="D268" s="236">
        <f t="shared" si="3"/>
        <v>0.9775626664</v>
      </c>
      <c r="E268" s="236">
        <f t="shared" si="7"/>
        <v>0</v>
      </c>
      <c r="F268" s="236">
        <f t="shared" si="8"/>
        <v>4253.520416</v>
      </c>
      <c r="G268" s="238">
        <f t="shared" si="4"/>
        <v>0.07621703727</v>
      </c>
      <c r="H268" s="240" t="str">
        <f t="shared" si="5"/>
        <v>Default standby Charge</v>
      </c>
      <c r="I268" s="182"/>
      <c r="J268" s="182"/>
      <c r="K268" s="11"/>
      <c r="L268" s="182"/>
      <c r="M268" s="182"/>
      <c r="N268" s="182"/>
      <c r="O268" s="182"/>
      <c r="P268" s="11"/>
      <c r="Q268" s="11"/>
      <c r="R268" s="11"/>
      <c r="S268" s="11"/>
      <c r="T268" s="11"/>
      <c r="U268" s="11"/>
      <c r="V268" s="11"/>
      <c r="W268" s="11"/>
      <c r="X268" s="11"/>
      <c r="Y268" s="11"/>
      <c r="Z268" s="11"/>
      <c r="AA268" s="11"/>
    </row>
    <row r="269" ht="15.75" customHeight="1">
      <c r="A269" s="234">
        <f t="shared" si="6"/>
        <v>984</v>
      </c>
      <c r="B269" s="243" t="str">
        <f t="shared" si="1"/>
        <v>Charge</v>
      </c>
      <c r="C269" s="236">
        <f t="shared" si="2"/>
        <v>0</v>
      </c>
      <c r="D269" s="236">
        <f t="shared" si="3"/>
        <v>0.9775626664</v>
      </c>
      <c r="E269" s="236">
        <f t="shared" si="7"/>
        <v>0</v>
      </c>
      <c r="F269" s="236">
        <f t="shared" si="8"/>
        <v>4254.497979</v>
      </c>
      <c r="G269" s="238">
        <f t="shared" si="4"/>
        <v>0.0762345538</v>
      </c>
      <c r="H269" s="240" t="str">
        <f t="shared" si="5"/>
        <v>Default standby Charge</v>
      </c>
      <c r="I269" s="182"/>
      <c r="J269" s="182"/>
      <c r="K269" s="11"/>
      <c r="L269" s="182"/>
      <c r="M269" s="182"/>
      <c r="N269" s="182"/>
      <c r="O269" s="182"/>
      <c r="P269" s="11"/>
      <c r="Q269" s="11"/>
      <c r="R269" s="11"/>
      <c r="S269" s="11"/>
      <c r="T269" s="11"/>
      <c r="U269" s="11"/>
      <c r="V269" s="11"/>
      <c r="W269" s="11"/>
      <c r="X269" s="11"/>
      <c r="Y269" s="11"/>
      <c r="Z269" s="11"/>
      <c r="AA269" s="11"/>
    </row>
    <row r="270" ht="15.75" customHeight="1">
      <c r="A270" s="234">
        <f t="shared" si="6"/>
        <v>988</v>
      </c>
      <c r="B270" s="243" t="str">
        <f t="shared" si="1"/>
        <v>Charge</v>
      </c>
      <c r="C270" s="236">
        <f t="shared" si="2"/>
        <v>0</v>
      </c>
      <c r="D270" s="236">
        <f t="shared" si="3"/>
        <v>0.9775626664</v>
      </c>
      <c r="E270" s="236">
        <f t="shared" si="7"/>
        <v>0</v>
      </c>
      <c r="F270" s="236">
        <f t="shared" si="8"/>
        <v>4255.475541</v>
      </c>
      <c r="G270" s="238">
        <f t="shared" si="4"/>
        <v>0.07625207034</v>
      </c>
      <c r="H270" s="240" t="str">
        <f t="shared" si="5"/>
        <v>Default standby Charge</v>
      </c>
      <c r="I270" s="182"/>
      <c r="J270" s="182"/>
      <c r="K270" s="11"/>
      <c r="L270" s="182"/>
      <c r="M270" s="182"/>
      <c r="N270" s="182"/>
      <c r="O270" s="182"/>
      <c r="P270" s="11"/>
      <c r="Q270" s="11"/>
      <c r="R270" s="11"/>
      <c r="S270" s="11"/>
      <c r="T270" s="11"/>
      <c r="U270" s="11"/>
      <c r="V270" s="11"/>
      <c r="W270" s="11"/>
      <c r="X270" s="11"/>
      <c r="Y270" s="11"/>
      <c r="Z270" s="11"/>
      <c r="AA270" s="11"/>
    </row>
    <row r="271" ht="15.75" customHeight="1">
      <c r="A271" s="234">
        <f t="shared" si="6"/>
        <v>992</v>
      </c>
      <c r="B271" s="243" t="str">
        <f t="shared" si="1"/>
        <v>Charge</v>
      </c>
      <c r="C271" s="236">
        <f t="shared" si="2"/>
        <v>0</v>
      </c>
      <c r="D271" s="236">
        <f t="shared" si="3"/>
        <v>0.9775626664</v>
      </c>
      <c r="E271" s="236">
        <f t="shared" si="7"/>
        <v>0</v>
      </c>
      <c r="F271" s="236">
        <f t="shared" si="8"/>
        <v>4256.453104</v>
      </c>
      <c r="G271" s="238">
        <f t="shared" si="4"/>
        <v>0.07626958687</v>
      </c>
      <c r="H271" s="240" t="str">
        <f t="shared" si="5"/>
        <v>Default standby Charge</v>
      </c>
      <c r="I271" s="182"/>
      <c r="J271" s="182"/>
      <c r="K271" s="11"/>
      <c r="L271" s="182"/>
      <c r="M271" s="182"/>
      <c r="N271" s="182"/>
      <c r="O271" s="182"/>
      <c r="P271" s="11"/>
      <c r="Q271" s="11"/>
      <c r="R271" s="11"/>
      <c r="S271" s="11"/>
      <c r="T271" s="11"/>
      <c r="U271" s="11"/>
      <c r="V271" s="11"/>
      <c r="W271" s="11"/>
      <c r="X271" s="11"/>
      <c r="Y271" s="11"/>
      <c r="Z271" s="11"/>
      <c r="AA271" s="11"/>
    </row>
    <row r="272" ht="15.75" customHeight="1">
      <c r="A272" s="234">
        <f t="shared" si="6"/>
        <v>996</v>
      </c>
      <c r="B272" s="243" t="str">
        <f t="shared" si="1"/>
        <v>Charge</v>
      </c>
      <c r="C272" s="236">
        <f t="shared" si="2"/>
        <v>0</v>
      </c>
      <c r="D272" s="236">
        <f t="shared" si="3"/>
        <v>0.9775626664</v>
      </c>
      <c r="E272" s="236">
        <f t="shared" si="7"/>
        <v>0</v>
      </c>
      <c r="F272" s="236">
        <f t="shared" si="8"/>
        <v>4257.430667</v>
      </c>
      <c r="G272" s="238">
        <f t="shared" si="4"/>
        <v>0.0762871034</v>
      </c>
      <c r="H272" s="240" t="str">
        <f t="shared" si="5"/>
        <v>Default standby Charge</v>
      </c>
      <c r="I272" s="182"/>
      <c r="J272" s="182"/>
      <c r="K272" s="11"/>
      <c r="L272" s="182"/>
      <c r="M272" s="182"/>
      <c r="N272" s="182"/>
      <c r="O272" s="182"/>
      <c r="P272" s="11"/>
      <c r="Q272" s="11"/>
      <c r="R272" s="11"/>
      <c r="S272" s="11"/>
      <c r="T272" s="11"/>
      <c r="U272" s="11"/>
      <c r="V272" s="11"/>
      <c r="W272" s="11"/>
      <c r="X272" s="11"/>
      <c r="Y272" s="11"/>
      <c r="Z272" s="11"/>
      <c r="AA272" s="11"/>
    </row>
    <row r="273" ht="15.75" customHeight="1">
      <c r="A273" s="234">
        <f t="shared" si="6"/>
        <v>1000</v>
      </c>
      <c r="B273" s="255" t="str">
        <f t="shared" si="1"/>
        <v>Downlink</v>
      </c>
      <c r="C273" s="236">
        <f t="shared" si="2"/>
        <v>0</v>
      </c>
      <c r="D273" s="236">
        <f t="shared" si="3"/>
        <v>0.9775626664</v>
      </c>
      <c r="E273" s="236">
        <f t="shared" si="7"/>
        <v>0.75</v>
      </c>
      <c r="F273" s="236">
        <f t="shared" si="8"/>
        <v>4257.658229</v>
      </c>
      <c r="G273" s="238">
        <f t="shared" si="4"/>
        <v>0.076291181</v>
      </c>
      <c r="H273" s="240" t="str">
        <f t="shared" si="5"/>
        <v>Validated contact; Downlink preempts Science</v>
      </c>
      <c r="I273" s="182"/>
      <c r="J273" s="182"/>
      <c r="K273" s="11"/>
      <c r="L273" s="182"/>
      <c r="M273" s="182"/>
      <c r="N273" s="182"/>
      <c r="O273" s="182"/>
      <c r="P273" s="11"/>
      <c r="Q273" s="11"/>
      <c r="R273" s="11"/>
      <c r="S273" s="11"/>
      <c r="T273" s="11"/>
      <c r="U273" s="11"/>
      <c r="V273" s="11"/>
      <c r="W273" s="11"/>
      <c r="X273" s="11"/>
      <c r="Y273" s="11"/>
      <c r="Z273" s="11"/>
      <c r="AA273" s="11"/>
    </row>
    <row r="274" ht="15.75" customHeight="1">
      <c r="A274" s="234">
        <f t="shared" si="6"/>
        <v>1004</v>
      </c>
      <c r="B274" s="255" t="str">
        <f t="shared" si="1"/>
        <v>Downlink</v>
      </c>
      <c r="C274" s="236">
        <f t="shared" si="2"/>
        <v>0</v>
      </c>
      <c r="D274" s="236">
        <f t="shared" si="3"/>
        <v>0.9775626664</v>
      </c>
      <c r="E274" s="236">
        <f t="shared" si="7"/>
        <v>0.75</v>
      </c>
      <c r="F274" s="236">
        <f t="shared" si="8"/>
        <v>4257.885792</v>
      </c>
      <c r="G274" s="238">
        <f t="shared" si="4"/>
        <v>0.0762952586</v>
      </c>
      <c r="H274" s="240" t="str">
        <f t="shared" si="5"/>
        <v>Validated contact; Downlink preempts Science</v>
      </c>
      <c r="I274" s="182"/>
      <c r="J274" s="182"/>
      <c r="K274" s="11"/>
      <c r="L274" s="182"/>
      <c r="M274" s="182"/>
      <c r="N274" s="182"/>
      <c r="O274" s="182"/>
      <c r="P274" s="11"/>
      <c r="Q274" s="11"/>
      <c r="R274" s="11"/>
      <c r="S274" s="11"/>
      <c r="T274" s="11"/>
      <c r="U274" s="11"/>
      <c r="V274" s="11"/>
      <c r="W274" s="11"/>
      <c r="X274" s="11"/>
      <c r="Y274" s="11"/>
      <c r="Z274" s="11"/>
      <c r="AA274" s="11"/>
    </row>
    <row r="275" ht="15.75" customHeight="1">
      <c r="A275" s="234">
        <f t="shared" si="6"/>
        <v>1008</v>
      </c>
      <c r="B275" s="243" t="str">
        <f t="shared" si="1"/>
        <v>Charge</v>
      </c>
      <c r="C275" s="236">
        <f t="shared" si="2"/>
        <v>0</v>
      </c>
      <c r="D275" s="236">
        <f t="shared" si="3"/>
        <v>0.9775626664</v>
      </c>
      <c r="E275" s="236">
        <f t="shared" si="7"/>
        <v>0</v>
      </c>
      <c r="F275" s="236">
        <f t="shared" si="8"/>
        <v>4258.863355</v>
      </c>
      <c r="G275" s="238">
        <f t="shared" si="4"/>
        <v>0.07631277513</v>
      </c>
      <c r="H275" s="240" t="str">
        <f t="shared" si="5"/>
        <v>Default standby Charge</v>
      </c>
      <c r="I275" s="182"/>
      <c r="J275" s="182"/>
      <c r="K275" s="11"/>
      <c r="L275" s="182"/>
      <c r="M275" s="182"/>
      <c r="N275" s="182"/>
      <c r="O275" s="182"/>
      <c r="P275" s="11"/>
      <c r="Q275" s="11"/>
      <c r="R275" s="11"/>
      <c r="S275" s="11"/>
      <c r="T275" s="11"/>
      <c r="U275" s="11"/>
      <c r="V275" s="11"/>
      <c r="W275" s="11"/>
      <c r="X275" s="11"/>
      <c r="Y275" s="11"/>
      <c r="Z275" s="11"/>
      <c r="AA275" s="11"/>
    </row>
    <row r="276" ht="15.75" customHeight="1">
      <c r="A276" s="234">
        <f t="shared" si="6"/>
        <v>1012</v>
      </c>
      <c r="B276" s="243" t="str">
        <f t="shared" si="1"/>
        <v>Charge</v>
      </c>
      <c r="C276" s="236">
        <f t="shared" si="2"/>
        <v>0</v>
      </c>
      <c r="D276" s="236">
        <f t="shared" si="3"/>
        <v>0.9775626664</v>
      </c>
      <c r="E276" s="236">
        <f t="shared" si="7"/>
        <v>0</v>
      </c>
      <c r="F276" s="236">
        <f t="shared" si="8"/>
        <v>4259.840917</v>
      </c>
      <c r="G276" s="238">
        <f t="shared" si="4"/>
        <v>0.07633029167</v>
      </c>
      <c r="H276" s="240" t="str">
        <f t="shared" si="5"/>
        <v>Default standby Charge</v>
      </c>
      <c r="I276" s="182"/>
      <c r="J276" s="182"/>
      <c r="K276" s="11"/>
      <c r="L276" s="182"/>
      <c r="M276" s="182"/>
      <c r="N276" s="182"/>
      <c r="O276" s="182"/>
      <c r="P276" s="11"/>
      <c r="Q276" s="11"/>
      <c r="R276" s="11"/>
      <c r="S276" s="11"/>
      <c r="T276" s="11"/>
      <c r="U276" s="11"/>
      <c r="V276" s="11"/>
      <c r="W276" s="11"/>
      <c r="X276" s="11"/>
      <c r="Y276" s="11"/>
      <c r="Z276" s="11"/>
      <c r="AA276" s="11"/>
    </row>
    <row r="277" ht="15.75" customHeight="1">
      <c r="A277" s="234">
        <f t="shared" si="6"/>
        <v>1016</v>
      </c>
      <c r="B277" s="243" t="str">
        <f t="shared" si="1"/>
        <v>Charge</v>
      </c>
      <c r="C277" s="236">
        <f t="shared" si="2"/>
        <v>0</v>
      </c>
      <c r="D277" s="236">
        <f t="shared" si="3"/>
        <v>0.9775626664</v>
      </c>
      <c r="E277" s="236">
        <f t="shared" si="7"/>
        <v>0</v>
      </c>
      <c r="F277" s="236">
        <f t="shared" si="8"/>
        <v>4260.81848</v>
      </c>
      <c r="G277" s="238">
        <f t="shared" si="4"/>
        <v>0.0763478082</v>
      </c>
      <c r="H277" s="240" t="str">
        <f t="shared" si="5"/>
        <v>Default standby Charge</v>
      </c>
      <c r="I277" s="182"/>
      <c r="J277" s="182"/>
      <c r="K277" s="11"/>
      <c r="L277" s="182"/>
      <c r="M277" s="182"/>
      <c r="N277" s="182"/>
      <c r="O277" s="182"/>
      <c r="P277" s="11"/>
      <c r="Q277" s="11"/>
      <c r="R277" s="11"/>
      <c r="S277" s="11"/>
      <c r="T277" s="11"/>
      <c r="U277" s="11"/>
      <c r="V277" s="11"/>
      <c r="W277" s="11"/>
      <c r="X277" s="11"/>
      <c r="Y277" s="11"/>
      <c r="Z277" s="11"/>
      <c r="AA277" s="11"/>
    </row>
    <row r="278" ht="15.75" customHeight="1">
      <c r="A278" s="234">
        <f t="shared" si="6"/>
        <v>1020</v>
      </c>
      <c r="B278" s="243" t="str">
        <f t="shared" si="1"/>
        <v>Charge</v>
      </c>
      <c r="C278" s="236">
        <f t="shared" si="2"/>
        <v>0</v>
      </c>
      <c r="D278" s="236">
        <f t="shared" si="3"/>
        <v>0.9775626664</v>
      </c>
      <c r="E278" s="236">
        <f t="shared" si="7"/>
        <v>0</v>
      </c>
      <c r="F278" s="236">
        <f t="shared" si="8"/>
        <v>4261.796043</v>
      </c>
      <c r="G278" s="238">
        <f t="shared" si="4"/>
        <v>0.07636532473</v>
      </c>
      <c r="H278" s="240" t="str">
        <f t="shared" si="5"/>
        <v>Default standby Charge</v>
      </c>
      <c r="I278" s="182"/>
      <c r="J278" s="182"/>
      <c r="K278" s="11"/>
      <c r="L278" s="182"/>
      <c r="M278" s="182"/>
      <c r="N278" s="182"/>
      <c r="O278" s="182"/>
      <c r="P278" s="11"/>
      <c r="Q278" s="11"/>
      <c r="R278" s="11"/>
      <c r="S278" s="11"/>
      <c r="T278" s="11"/>
      <c r="U278" s="11"/>
      <c r="V278" s="11"/>
      <c r="W278" s="11"/>
      <c r="X278" s="11"/>
      <c r="Y278" s="11"/>
      <c r="Z278" s="11"/>
      <c r="AA278" s="11"/>
    </row>
    <row r="279" ht="15.75" customHeight="1">
      <c r="A279" s="234">
        <f t="shared" si="6"/>
        <v>1024</v>
      </c>
      <c r="B279" s="243" t="str">
        <f t="shared" si="1"/>
        <v>Charge</v>
      </c>
      <c r="C279" s="236">
        <f t="shared" si="2"/>
        <v>0</v>
      </c>
      <c r="D279" s="236">
        <f t="shared" si="3"/>
        <v>0.9775626664</v>
      </c>
      <c r="E279" s="236">
        <f t="shared" si="7"/>
        <v>0</v>
      </c>
      <c r="F279" s="236">
        <f t="shared" si="8"/>
        <v>4262.773605</v>
      </c>
      <c r="G279" s="238">
        <f t="shared" si="4"/>
        <v>0.07638284126</v>
      </c>
      <c r="H279" s="240" t="str">
        <f t="shared" si="5"/>
        <v>Default standby Charge</v>
      </c>
      <c r="I279" s="182"/>
      <c r="J279" s="182"/>
      <c r="K279" s="11"/>
      <c r="L279" s="182"/>
      <c r="M279" s="182"/>
      <c r="N279" s="182"/>
      <c r="O279" s="182"/>
      <c r="P279" s="11"/>
      <c r="Q279" s="11"/>
      <c r="R279" s="11"/>
      <c r="S279" s="11"/>
      <c r="T279" s="11"/>
      <c r="U279" s="11"/>
      <c r="V279" s="11"/>
      <c r="W279" s="11"/>
      <c r="X279" s="11"/>
      <c r="Y279" s="11"/>
      <c r="Z279" s="11"/>
      <c r="AA279" s="11"/>
    </row>
    <row r="280" ht="15.75" customHeight="1">
      <c r="A280" s="234">
        <f t="shared" si="6"/>
        <v>1028</v>
      </c>
      <c r="B280" s="243" t="str">
        <f t="shared" si="1"/>
        <v>Charge</v>
      </c>
      <c r="C280" s="236">
        <f t="shared" si="2"/>
        <v>0</v>
      </c>
      <c r="D280" s="236">
        <f t="shared" si="3"/>
        <v>0.9775626664</v>
      </c>
      <c r="E280" s="236">
        <f t="shared" si="7"/>
        <v>0</v>
      </c>
      <c r="F280" s="236">
        <f t="shared" si="8"/>
        <v>4263.751168</v>
      </c>
      <c r="G280" s="238">
        <f t="shared" si="4"/>
        <v>0.0764003578</v>
      </c>
      <c r="H280" s="240" t="str">
        <f t="shared" si="5"/>
        <v>Default standby Charge</v>
      </c>
      <c r="I280" s="182"/>
      <c r="J280" s="182"/>
      <c r="K280" s="11"/>
      <c r="L280" s="182"/>
      <c r="M280" s="182"/>
      <c r="N280" s="182"/>
      <c r="O280" s="182"/>
      <c r="P280" s="11"/>
      <c r="Q280" s="11"/>
      <c r="R280" s="11"/>
      <c r="S280" s="11"/>
      <c r="T280" s="11"/>
      <c r="U280" s="11"/>
      <c r="V280" s="11"/>
      <c r="W280" s="11"/>
      <c r="X280" s="11"/>
      <c r="Y280" s="11"/>
      <c r="Z280" s="11"/>
      <c r="AA280" s="11"/>
    </row>
    <row r="281" ht="15.75" customHeight="1">
      <c r="A281" s="234">
        <f t="shared" si="6"/>
        <v>1032</v>
      </c>
      <c r="B281" s="243" t="str">
        <f t="shared" si="1"/>
        <v>Charge</v>
      </c>
      <c r="C281" s="236">
        <f t="shared" si="2"/>
        <v>0</v>
      </c>
      <c r="D281" s="236">
        <f t="shared" si="3"/>
        <v>0.9775626664</v>
      </c>
      <c r="E281" s="236">
        <f t="shared" si="7"/>
        <v>0</v>
      </c>
      <c r="F281" s="236">
        <f t="shared" si="8"/>
        <v>4264.728731</v>
      </c>
      <c r="G281" s="238">
        <f t="shared" si="4"/>
        <v>0.07641787433</v>
      </c>
      <c r="H281" s="240" t="str">
        <f t="shared" si="5"/>
        <v>Default standby Charge</v>
      </c>
      <c r="I281" s="182"/>
      <c r="J281" s="182"/>
      <c r="K281" s="11"/>
      <c r="L281" s="182"/>
      <c r="M281" s="182"/>
      <c r="N281" s="182"/>
      <c r="O281" s="182"/>
      <c r="P281" s="11"/>
      <c r="Q281" s="11"/>
      <c r="R281" s="11"/>
      <c r="S281" s="11"/>
      <c r="T281" s="11"/>
      <c r="U281" s="11"/>
      <c r="V281" s="11"/>
      <c r="W281" s="11"/>
      <c r="X281" s="11"/>
      <c r="Y281" s="11"/>
      <c r="Z281" s="11"/>
      <c r="AA281" s="11"/>
    </row>
    <row r="282" ht="15.75" customHeight="1">
      <c r="A282" s="234">
        <f t="shared" si="6"/>
        <v>1036</v>
      </c>
      <c r="B282" s="243" t="str">
        <f t="shared" si="1"/>
        <v>Charge</v>
      </c>
      <c r="C282" s="236">
        <f t="shared" si="2"/>
        <v>0</v>
      </c>
      <c r="D282" s="236">
        <f t="shared" si="3"/>
        <v>0.9775626664</v>
      </c>
      <c r="E282" s="236">
        <f t="shared" si="7"/>
        <v>0</v>
      </c>
      <c r="F282" s="236">
        <f t="shared" si="8"/>
        <v>4265.706293</v>
      </c>
      <c r="G282" s="238">
        <f t="shared" si="4"/>
        <v>0.07643539086</v>
      </c>
      <c r="H282" s="240" t="str">
        <f t="shared" si="5"/>
        <v>Default standby Charge</v>
      </c>
      <c r="I282" s="182"/>
      <c r="J282" s="182"/>
      <c r="K282" s="11"/>
      <c r="L282" s="182"/>
      <c r="M282" s="182"/>
      <c r="N282" s="182"/>
      <c r="O282" s="182"/>
      <c r="P282" s="11"/>
      <c r="Q282" s="11"/>
      <c r="R282" s="11"/>
      <c r="S282" s="11"/>
      <c r="T282" s="11"/>
      <c r="U282" s="11"/>
      <c r="V282" s="11"/>
      <c r="W282" s="11"/>
      <c r="X282" s="11"/>
      <c r="Y282" s="11"/>
      <c r="Z282" s="11"/>
      <c r="AA282" s="11"/>
    </row>
    <row r="283" ht="15.75" customHeight="1">
      <c r="A283" s="234">
        <f t="shared" si="6"/>
        <v>1040</v>
      </c>
      <c r="B283" s="243" t="str">
        <f t="shared" si="1"/>
        <v>Charge</v>
      </c>
      <c r="C283" s="236">
        <f t="shared" si="2"/>
        <v>0</v>
      </c>
      <c r="D283" s="236">
        <f t="shared" si="3"/>
        <v>0.9775626664</v>
      </c>
      <c r="E283" s="236">
        <f t="shared" si="7"/>
        <v>0</v>
      </c>
      <c r="F283" s="236">
        <f t="shared" si="8"/>
        <v>4266.683856</v>
      </c>
      <c r="G283" s="238">
        <f t="shared" si="4"/>
        <v>0.0764529074</v>
      </c>
      <c r="H283" s="240" t="str">
        <f t="shared" si="5"/>
        <v>Default standby Charge</v>
      </c>
      <c r="I283" s="182"/>
      <c r="J283" s="182"/>
      <c r="K283" s="11"/>
      <c r="L283" s="182"/>
      <c r="M283" s="182"/>
      <c r="N283" s="182"/>
      <c r="O283" s="182"/>
      <c r="P283" s="11"/>
      <c r="Q283" s="11"/>
      <c r="R283" s="11"/>
      <c r="S283" s="11"/>
      <c r="T283" s="11"/>
      <c r="U283" s="11"/>
      <c r="V283" s="11"/>
      <c r="W283" s="11"/>
      <c r="X283" s="11"/>
      <c r="Y283" s="11"/>
      <c r="Z283" s="11"/>
      <c r="AA283" s="11"/>
    </row>
    <row r="284" ht="15.75" customHeight="1">
      <c r="A284" s="234">
        <f t="shared" si="6"/>
        <v>1044</v>
      </c>
      <c r="B284" s="243" t="str">
        <f t="shared" si="1"/>
        <v>Charge</v>
      </c>
      <c r="C284" s="236">
        <f t="shared" si="2"/>
        <v>0</v>
      </c>
      <c r="D284" s="236">
        <f t="shared" si="3"/>
        <v>0.9775626664</v>
      </c>
      <c r="E284" s="236">
        <f t="shared" si="7"/>
        <v>0</v>
      </c>
      <c r="F284" s="236">
        <f t="shared" si="8"/>
        <v>4267.661419</v>
      </c>
      <c r="G284" s="238">
        <f t="shared" si="4"/>
        <v>0.07647042393</v>
      </c>
      <c r="H284" s="240" t="str">
        <f t="shared" si="5"/>
        <v>Default standby Charge</v>
      </c>
      <c r="I284" s="182"/>
      <c r="J284" s="182"/>
      <c r="K284" s="11"/>
      <c r="L284" s="182"/>
      <c r="M284" s="182"/>
      <c r="N284" s="182"/>
      <c r="O284" s="182"/>
      <c r="P284" s="11"/>
      <c r="Q284" s="11"/>
      <c r="R284" s="11"/>
      <c r="S284" s="11"/>
      <c r="T284" s="11"/>
      <c r="U284" s="11"/>
      <c r="V284" s="11"/>
      <c r="W284" s="11"/>
      <c r="X284" s="11"/>
      <c r="Y284" s="11"/>
      <c r="Z284" s="11"/>
      <c r="AA284" s="11"/>
    </row>
    <row r="285" ht="15.75" customHeight="1">
      <c r="A285" s="234">
        <f t="shared" si="6"/>
        <v>1048</v>
      </c>
      <c r="B285" s="243" t="str">
        <f t="shared" si="1"/>
        <v>Charge</v>
      </c>
      <c r="C285" s="236">
        <f t="shared" si="2"/>
        <v>0</v>
      </c>
      <c r="D285" s="236">
        <f t="shared" si="3"/>
        <v>0.9775626664</v>
      </c>
      <c r="E285" s="236">
        <f t="shared" si="7"/>
        <v>0</v>
      </c>
      <c r="F285" s="236">
        <f t="shared" si="8"/>
        <v>4268.638981</v>
      </c>
      <c r="G285" s="238">
        <f t="shared" si="4"/>
        <v>0.07648794046</v>
      </c>
      <c r="H285" s="240" t="str">
        <f t="shared" si="5"/>
        <v>Default standby Charge</v>
      </c>
      <c r="I285" s="182"/>
      <c r="J285" s="182"/>
      <c r="K285" s="11"/>
      <c r="L285" s="182"/>
      <c r="M285" s="182"/>
      <c r="N285" s="182"/>
      <c r="O285" s="182"/>
      <c r="P285" s="11"/>
      <c r="Q285" s="11"/>
      <c r="R285" s="11"/>
      <c r="S285" s="11"/>
      <c r="T285" s="11"/>
      <c r="U285" s="11"/>
      <c r="V285" s="11"/>
      <c r="W285" s="11"/>
      <c r="X285" s="11"/>
      <c r="Y285" s="11"/>
      <c r="Z285" s="11"/>
      <c r="AA285" s="11"/>
    </row>
    <row r="286" ht="15.75" customHeight="1">
      <c r="A286" s="234">
        <f t="shared" si="6"/>
        <v>1052</v>
      </c>
      <c r="B286" s="243" t="str">
        <f t="shared" si="1"/>
        <v>Charge</v>
      </c>
      <c r="C286" s="236">
        <f t="shared" si="2"/>
        <v>0</v>
      </c>
      <c r="D286" s="236">
        <f t="shared" si="3"/>
        <v>0.9775626664</v>
      </c>
      <c r="E286" s="236">
        <f t="shared" si="7"/>
        <v>0</v>
      </c>
      <c r="F286" s="236">
        <f t="shared" si="8"/>
        <v>4269.616544</v>
      </c>
      <c r="G286" s="238">
        <f t="shared" si="4"/>
        <v>0.07650545699</v>
      </c>
      <c r="H286" s="240" t="str">
        <f t="shared" si="5"/>
        <v>Default standby Charge</v>
      </c>
      <c r="I286" s="182"/>
      <c r="J286" s="182"/>
      <c r="K286" s="11"/>
      <c r="L286" s="182"/>
      <c r="M286" s="182"/>
      <c r="N286" s="182"/>
      <c r="O286" s="182"/>
      <c r="P286" s="11"/>
      <c r="Q286" s="11"/>
      <c r="R286" s="11"/>
      <c r="S286" s="11"/>
      <c r="T286" s="11"/>
      <c r="U286" s="11"/>
      <c r="V286" s="11"/>
      <c r="W286" s="11"/>
      <c r="X286" s="11"/>
      <c r="Y286" s="11"/>
      <c r="Z286" s="11"/>
      <c r="AA286" s="11"/>
    </row>
    <row r="287" ht="15.75" customHeight="1">
      <c r="A287" s="234">
        <f t="shared" si="6"/>
        <v>1056</v>
      </c>
      <c r="B287" s="243" t="str">
        <f t="shared" si="1"/>
        <v>Charge</v>
      </c>
      <c r="C287" s="236">
        <f t="shared" si="2"/>
        <v>0</v>
      </c>
      <c r="D287" s="236">
        <f t="shared" si="3"/>
        <v>0.9775626664</v>
      </c>
      <c r="E287" s="236">
        <f t="shared" si="7"/>
        <v>0</v>
      </c>
      <c r="F287" s="236">
        <f t="shared" si="8"/>
        <v>4270.594107</v>
      </c>
      <c r="G287" s="238">
        <f t="shared" si="4"/>
        <v>0.07652297353</v>
      </c>
      <c r="H287" s="240" t="str">
        <f t="shared" si="5"/>
        <v>Default standby Charge</v>
      </c>
      <c r="I287" s="182"/>
      <c r="J287" s="182"/>
      <c r="K287" s="11"/>
      <c r="L287" s="182"/>
      <c r="M287" s="182"/>
      <c r="N287" s="182"/>
      <c r="O287" s="182"/>
      <c r="P287" s="11"/>
      <c r="Q287" s="11"/>
      <c r="R287" s="11"/>
      <c r="S287" s="11"/>
      <c r="T287" s="11"/>
      <c r="U287" s="11"/>
      <c r="V287" s="11"/>
      <c r="W287" s="11"/>
      <c r="X287" s="11"/>
      <c r="Y287" s="11"/>
      <c r="Z287" s="11"/>
      <c r="AA287" s="11"/>
    </row>
    <row r="288" ht="15.75" customHeight="1">
      <c r="A288" s="234">
        <f t="shared" si="6"/>
        <v>1060</v>
      </c>
      <c r="B288" s="243" t="str">
        <f t="shared" si="1"/>
        <v>Charge</v>
      </c>
      <c r="C288" s="236">
        <f t="shared" si="2"/>
        <v>0</v>
      </c>
      <c r="D288" s="236">
        <f t="shared" si="3"/>
        <v>0.9775626664</v>
      </c>
      <c r="E288" s="236">
        <f t="shared" si="7"/>
        <v>0</v>
      </c>
      <c r="F288" s="236">
        <f t="shared" si="8"/>
        <v>4271.571669</v>
      </c>
      <c r="G288" s="238">
        <f t="shared" si="4"/>
        <v>0.07654049006</v>
      </c>
      <c r="H288" s="240" t="str">
        <f t="shared" si="5"/>
        <v>Default standby Charge</v>
      </c>
      <c r="I288" s="182"/>
      <c r="J288" s="182"/>
      <c r="K288" s="11"/>
      <c r="L288" s="182"/>
      <c r="M288" s="182"/>
      <c r="N288" s="182"/>
      <c r="O288" s="182"/>
      <c r="P288" s="11"/>
      <c r="Q288" s="11"/>
      <c r="R288" s="11"/>
      <c r="S288" s="11"/>
      <c r="T288" s="11"/>
      <c r="U288" s="11"/>
      <c r="V288" s="11"/>
      <c r="W288" s="11"/>
      <c r="X288" s="11"/>
      <c r="Y288" s="11"/>
      <c r="Z288" s="11"/>
      <c r="AA288" s="11"/>
    </row>
    <row r="289" ht="15.75" customHeight="1">
      <c r="A289" s="234">
        <f t="shared" si="6"/>
        <v>1064</v>
      </c>
      <c r="B289" s="243" t="str">
        <f t="shared" si="1"/>
        <v>Charge</v>
      </c>
      <c r="C289" s="236">
        <f t="shared" si="2"/>
        <v>0</v>
      </c>
      <c r="D289" s="236">
        <f t="shared" si="3"/>
        <v>0.9775626664</v>
      </c>
      <c r="E289" s="236">
        <f t="shared" si="7"/>
        <v>0</v>
      </c>
      <c r="F289" s="236">
        <f t="shared" si="8"/>
        <v>4272.549232</v>
      </c>
      <c r="G289" s="238">
        <f t="shared" si="4"/>
        <v>0.07655800659</v>
      </c>
      <c r="H289" s="240" t="str">
        <f t="shared" si="5"/>
        <v>Default standby Charge</v>
      </c>
      <c r="I289" s="182"/>
      <c r="J289" s="182"/>
      <c r="K289" s="11"/>
      <c r="L289" s="182"/>
      <c r="M289" s="182"/>
      <c r="N289" s="182"/>
      <c r="O289" s="182"/>
      <c r="P289" s="11"/>
      <c r="Q289" s="11"/>
      <c r="R289" s="11"/>
      <c r="S289" s="11"/>
      <c r="T289" s="11"/>
      <c r="U289" s="11"/>
      <c r="V289" s="11"/>
      <c r="W289" s="11"/>
      <c r="X289" s="11"/>
      <c r="Y289" s="11"/>
      <c r="Z289" s="11"/>
      <c r="AA289" s="11"/>
    </row>
    <row r="290" ht="15.75" customHeight="1">
      <c r="A290" s="234">
        <f t="shared" si="6"/>
        <v>1068</v>
      </c>
      <c r="B290" s="243" t="str">
        <f t="shared" si="1"/>
        <v>Charge</v>
      </c>
      <c r="C290" s="236">
        <f t="shared" si="2"/>
        <v>0</v>
      </c>
      <c r="D290" s="236">
        <f t="shared" si="3"/>
        <v>0.9775626664</v>
      </c>
      <c r="E290" s="236">
        <f t="shared" si="7"/>
        <v>0</v>
      </c>
      <c r="F290" s="236">
        <f t="shared" si="8"/>
        <v>4273.526795</v>
      </c>
      <c r="G290" s="238">
        <f t="shared" si="4"/>
        <v>0.07657552313</v>
      </c>
      <c r="H290" s="240" t="str">
        <f t="shared" si="5"/>
        <v>Default standby Charge</v>
      </c>
      <c r="I290" s="182"/>
      <c r="J290" s="182"/>
      <c r="K290" s="11"/>
      <c r="L290" s="182"/>
      <c r="M290" s="182"/>
      <c r="N290" s="182"/>
      <c r="O290" s="182"/>
      <c r="P290" s="11"/>
      <c r="Q290" s="11"/>
      <c r="R290" s="11"/>
      <c r="S290" s="11"/>
      <c r="T290" s="11"/>
      <c r="U290" s="11"/>
      <c r="V290" s="11"/>
      <c r="W290" s="11"/>
      <c r="X290" s="11"/>
      <c r="Y290" s="11"/>
      <c r="Z290" s="11"/>
      <c r="AA290" s="11"/>
    </row>
    <row r="291" ht="15.75" customHeight="1">
      <c r="A291" s="234">
        <f t="shared" si="6"/>
        <v>1072</v>
      </c>
      <c r="B291" s="243" t="str">
        <f t="shared" si="1"/>
        <v>Charge</v>
      </c>
      <c r="C291" s="236">
        <f t="shared" si="2"/>
        <v>0</v>
      </c>
      <c r="D291" s="236">
        <f t="shared" si="3"/>
        <v>0.9775626664</v>
      </c>
      <c r="E291" s="236">
        <f t="shared" si="7"/>
        <v>0</v>
      </c>
      <c r="F291" s="236">
        <f t="shared" si="8"/>
        <v>4274.504357</v>
      </c>
      <c r="G291" s="238">
        <f t="shared" si="4"/>
        <v>0.07659303966</v>
      </c>
      <c r="H291" s="240" t="str">
        <f t="shared" si="5"/>
        <v>Default standby Charge</v>
      </c>
      <c r="I291" s="182"/>
      <c r="J291" s="182"/>
      <c r="K291" s="11"/>
      <c r="L291" s="182"/>
      <c r="M291" s="182"/>
      <c r="N291" s="182"/>
      <c r="O291" s="182"/>
      <c r="P291" s="11"/>
      <c r="Q291" s="11"/>
      <c r="R291" s="11"/>
      <c r="S291" s="11"/>
      <c r="T291" s="11"/>
      <c r="U291" s="11"/>
      <c r="V291" s="11"/>
      <c r="W291" s="11"/>
      <c r="X291" s="11"/>
      <c r="Y291" s="11"/>
      <c r="Z291" s="11"/>
      <c r="AA291" s="11"/>
    </row>
    <row r="292" ht="15.75" customHeight="1">
      <c r="A292" s="234">
        <f t="shared" si="6"/>
        <v>1076</v>
      </c>
      <c r="B292" s="243" t="str">
        <f t="shared" si="1"/>
        <v>Charge</v>
      </c>
      <c r="C292" s="236">
        <f t="shared" si="2"/>
        <v>0</v>
      </c>
      <c r="D292" s="236">
        <f t="shared" si="3"/>
        <v>0.9775626664</v>
      </c>
      <c r="E292" s="236">
        <f t="shared" si="7"/>
        <v>0</v>
      </c>
      <c r="F292" s="236">
        <f t="shared" si="8"/>
        <v>4275.48192</v>
      </c>
      <c r="G292" s="238">
        <f t="shared" si="4"/>
        <v>0.07661055619</v>
      </c>
      <c r="H292" s="240" t="str">
        <f t="shared" si="5"/>
        <v>Default standby Charge</v>
      </c>
      <c r="I292" s="182"/>
      <c r="J292" s="182"/>
      <c r="K292" s="11"/>
      <c r="L292" s="182"/>
      <c r="M292" s="182"/>
      <c r="N292" s="182"/>
      <c r="O292" s="182"/>
      <c r="P292" s="11"/>
      <c r="Q292" s="11"/>
      <c r="R292" s="11"/>
      <c r="S292" s="11"/>
      <c r="T292" s="11"/>
      <c r="U292" s="11"/>
      <c r="V292" s="11"/>
      <c r="W292" s="11"/>
      <c r="X292" s="11"/>
      <c r="Y292" s="11"/>
      <c r="Z292" s="11"/>
      <c r="AA292" s="11"/>
    </row>
    <row r="293" ht="15.75" customHeight="1">
      <c r="A293" s="234">
        <f t="shared" si="6"/>
        <v>1080</v>
      </c>
      <c r="B293" s="243" t="str">
        <f t="shared" si="1"/>
        <v>Charge</v>
      </c>
      <c r="C293" s="236">
        <f t="shared" si="2"/>
        <v>0</v>
      </c>
      <c r="D293" s="236">
        <f t="shared" si="3"/>
        <v>0.9775626664</v>
      </c>
      <c r="E293" s="236">
        <f t="shared" si="7"/>
        <v>0</v>
      </c>
      <c r="F293" s="236">
        <f t="shared" si="8"/>
        <v>4276.459483</v>
      </c>
      <c r="G293" s="238">
        <f t="shared" si="4"/>
        <v>0.07662807272</v>
      </c>
      <c r="H293" s="240" t="str">
        <f t="shared" si="5"/>
        <v>Default standby Charge</v>
      </c>
      <c r="I293" s="182"/>
      <c r="J293" s="182"/>
      <c r="K293" s="11"/>
      <c r="L293" s="182"/>
      <c r="M293" s="182"/>
      <c r="N293" s="182"/>
      <c r="O293" s="182"/>
      <c r="P293" s="11"/>
      <c r="Q293" s="11"/>
      <c r="R293" s="11"/>
      <c r="S293" s="11"/>
      <c r="T293" s="11"/>
      <c r="U293" s="11"/>
      <c r="V293" s="11"/>
      <c r="W293" s="11"/>
      <c r="X293" s="11"/>
      <c r="Y293" s="11"/>
      <c r="Z293" s="11"/>
      <c r="AA293" s="11"/>
    </row>
    <row r="294" ht="15.75" customHeight="1">
      <c r="A294" s="234">
        <f t="shared" si="6"/>
        <v>1084</v>
      </c>
      <c r="B294" s="243" t="str">
        <f t="shared" si="1"/>
        <v>Charge</v>
      </c>
      <c r="C294" s="236">
        <f t="shared" si="2"/>
        <v>0</v>
      </c>
      <c r="D294" s="236">
        <f t="shared" si="3"/>
        <v>0.9775626664</v>
      </c>
      <c r="E294" s="236">
        <f t="shared" si="7"/>
        <v>0</v>
      </c>
      <c r="F294" s="236">
        <f t="shared" si="8"/>
        <v>4277.437045</v>
      </c>
      <c r="G294" s="238">
        <f t="shared" si="4"/>
        <v>0.07664558926</v>
      </c>
      <c r="H294" s="240" t="str">
        <f t="shared" si="5"/>
        <v>Default standby Charge</v>
      </c>
      <c r="I294" s="182"/>
      <c r="J294" s="182"/>
      <c r="K294" s="11"/>
      <c r="L294" s="182"/>
      <c r="M294" s="182"/>
      <c r="N294" s="182"/>
      <c r="O294" s="182"/>
      <c r="P294" s="11"/>
      <c r="Q294" s="11"/>
      <c r="R294" s="11"/>
      <c r="S294" s="11"/>
      <c r="T294" s="11"/>
      <c r="U294" s="11"/>
      <c r="V294" s="11"/>
      <c r="W294" s="11"/>
      <c r="X294" s="11"/>
      <c r="Y294" s="11"/>
      <c r="Z294" s="11"/>
      <c r="AA294" s="11"/>
    </row>
    <row r="295" ht="15.75" customHeight="1">
      <c r="A295" s="234">
        <f t="shared" si="6"/>
        <v>1088</v>
      </c>
      <c r="B295" s="243" t="str">
        <f t="shared" si="1"/>
        <v>Charge</v>
      </c>
      <c r="C295" s="236">
        <f t="shared" si="2"/>
        <v>0</v>
      </c>
      <c r="D295" s="236">
        <f t="shared" si="3"/>
        <v>0.9775626664</v>
      </c>
      <c r="E295" s="236">
        <f t="shared" si="7"/>
        <v>0</v>
      </c>
      <c r="F295" s="236">
        <f t="shared" si="8"/>
        <v>4278.414608</v>
      </c>
      <c r="G295" s="238">
        <f t="shared" si="4"/>
        <v>0.07666310579</v>
      </c>
      <c r="H295" s="240" t="str">
        <f t="shared" si="5"/>
        <v>Default standby Charge</v>
      </c>
      <c r="I295" s="182"/>
      <c r="J295" s="182"/>
      <c r="K295" s="11"/>
      <c r="L295" s="182"/>
      <c r="M295" s="182"/>
      <c r="N295" s="182"/>
      <c r="O295" s="182"/>
      <c r="P295" s="11"/>
      <c r="Q295" s="11"/>
      <c r="R295" s="11"/>
      <c r="S295" s="11"/>
      <c r="T295" s="11"/>
      <c r="U295" s="11"/>
      <c r="V295" s="11"/>
      <c r="W295" s="11"/>
      <c r="X295" s="11"/>
      <c r="Y295" s="11"/>
      <c r="Z295" s="11"/>
      <c r="AA295" s="11"/>
    </row>
    <row r="296" ht="15.75" customHeight="1">
      <c r="A296" s="234">
        <f t="shared" si="6"/>
        <v>1092</v>
      </c>
      <c r="B296" s="243" t="str">
        <f t="shared" si="1"/>
        <v>Charge</v>
      </c>
      <c r="C296" s="236">
        <f t="shared" si="2"/>
        <v>0</v>
      </c>
      <c r="D296" s="236">
        <f t="shared" si="3"/>
        <v>0.9775626664</v>
      </c>
      <c r="E296" s="236">
        <f t="shared" si="7"/>
        <v>0</v>
      </c>
      <c r="F296" s="236">
        <f t="shared" si="8"/>
        <v>4279.392171</v>
      </c>
      <c r="G296" s="238">
        <f t="shared" si="4"/>
        <v>0.07668062232</v>
      </c>
      <c r="H296" s="240" t="str">
        <f t="shared" si="5"/>
        <v>Default standby Charge</v>
      </c>
      <c r="I296" s="182"/>
      <c r="J296" s="182"/>
      <c r="K296" s="11"/>
      <c r="L296" s="182"/>
      <c r="M296" s="182"/>
      <c r="N296" s="182"/>
      <c r="O296" s="182"/>
      <c r="P296" s="11"/>
      <c r="Q296" s="11"/>
      <c r="R296" s="11"/>
      <c r="S296" s="11"/>
      <c r="T296" s="11"/>
      <c r="U296" s="11"/>
      <c r="V296" s="11"/>
      <c r="W296" s="11"/>
      <c r="X296" s="11"/>
      <c r="Y296" s="11"/>
      <c r="Z296" s="11"/>
      <c r="AA296" s="11"/>
    </row>
    <row r="297" ht="15.75" customHeight="1">
      <c r="A297" s="234">
        <f t="shared" si="6"/>
        <v>1096</v>
      </c>
      <c r="B297" s="243" t="str">
        <f t="shared" si="1"/>
        <v>Charge</v>
      </c>
      <c r="C297" s="236">
        <f t="shared" si="2"/>
        <v>0</v>
      </c>
      <c r="D297" s="236">
        <f t="shared" si="3"/>
        <v>0.9775626664</v>
      </c>
      <c r="E297" s="236">
        <f t="shared" si="7"/>
        <v>0</v>
      </c>
      <c r="F297" s="236">
        <f t="shared" si="8"/>
        <v>4280.369733</v>
      </c>
      <c r="G297" s="238">
        <f t="shared" si="4"/>
        <v>0.07669813886</v>
      </c>
      <c r="H297" s="240" t="str">
        <f t="shared" si="5"/>
        <v>Default standby Charge</v>
      </c>
      <c r="I297" s="182"/>
      <c r="J297" s="182"/>
      <c r="K297" s="11"/>
      <c r="L297" s="182"/>
      <c r="M297" s="182"/>
      <c r="N297" s="182"/>
      <c r="O297" s="182"/>
      <c r="P297" s="11"/>
      <c r="Q297" s="11"/>
      <c r="R297" s="11"/>
      <c r="S297" s="11"/>
      <c r="T297" s="11"/>
      <c r="U297" s="11"/>
      <c r="V297" s="11"/>
      <c r="W297" s="11"/>
      <c r="X297" s="11"/>
      <c r="Y297" s="11"/>
      <c r="Z297" s="11"/>
      <c r="AA297" s="11"/>
    </row>
    <row r="298" ht="15.75" customHeight="1">
      <c r="A298" s="234">
        <f t="shared" si="6"/>
        <v>1100</v>
      </c>
      <c r="B298" s="243" t="str">
        <f t="shared" si="1"/>
        <v>Charge</v>
      </c>
      <c r="C298" s="236">
        <f t="shared" si="2"/>
        <v>0</v>
      </c>
      <c r="D298" s="236">
        <f t="shared" si="3"/>
        <v>0.9775626664</v>
      </c>
      <c r="E298" s="236">
        <f t="shared" si="7"/>
        <v>0</v>
      </c>
      <c r="F298" s="236">
        <f t="shared" si="8"/>
        <v>4281.347296</v>
      </c>
      <c r="G298" s="238">
        <f t="shared" si="4"/>
        <v>0.07671565539</v>
      </c>
      <c r="H298" s="240" t="str">
        <f t="shared" si="5"/>
        <v>Default standby Charge</v>
      </c>
      <c r="I298" s="182"/>
      <c r="J298" s="182"/>
      <c r="K298" s="11"/>
      <c r="L298" s="182"/>
      <c r="M298" s="182"/>
      <c r="N298" s="182"/>
      <c r="O298" s="182"/>
      <c r="P298" s="11"/>
      <c r="Q298" s="11"/>
      <c r="R298" s="11"/>
      <c r="S298" s="11"/>
      <c r="T298" s="11"/>
      <c r="U298" s="11"/>
      <c r="V298" s="11"/>
      <c r="W298" s="11"/>
      <c r="X298" s="11"/>
      <c r="Y298" s="11"/>
      <c r="Z298" s="11"/>
      <c r="AA298" s="11"/>
    </row>
    <row r="299" ht="15.75" customHeight="1">
      <c r="A299" s="234">
        <f t="shared" si="6"/>
        <v>1104</v>
      </c>
      <c r="B299" s="243" t="str">
        <f t="shared" si="1"/>
        <v>Charge</v>
      </c>
      <c r="C299" s="236">
        <f t="shared" si="2"/>
        <v>0</v>
      </c>
      <c r="D299" s="236">
        <f t="shared" si="3"/>
        <v>0.9775626664</v>
      </c>
      <c r="E299" s="236">
        <f t="shared" si="7"/>
        <v>0</v>
      </c>
      <c r="F299" s="236">
        <f t="shared" si="8"/>
        <v>4282.324859</v>
      </c>
      <c r="G299" s="238">
        <f t="shared" si="4"/>
        <v>0.07673317192</v>
      </c>
      <c r="H299" s="240" t="str">
        <f t="shared" si="5"/>
        <v>Default standby Charge</v>
      </c>
      <c r="I299" s="182"/>
      <c r="J299" s="182"/>
      <c r="K299" s="11"/>
      <c r="L299" s="182"/>
      <c r="M299" s="182"/>
      <c r="N299" s="182"/>
      <c r="O299" s="182"/>
      <c r="P299" s="11"/>
      <c r="Q299" s="11"/>
      <c r="R299" s="11"/>
      <c r="S299" s="11"/>
      <c r="T299" s="11"/>
      <c r="U299" s="11"/>
      <c r="V299" s="11"/>
      <c r="W299" s="11"/>
      <c r="X299" s="11"/>
      <c r="Y299" s="11"/>
      <c r="Z299" s="11"/>
      <c r="AA299" s="11"/>
    </row>
    <row r="300" ht="15.75" customHeight="1">
      <c r="A300" s="234">
        <f t="shared" si="6"/>
        <v>1108</v>
      </c>
      <c r="B300" s="243" t="str">
        <f t="shared" si="1"/>
        <v>Charge</v>
      </c>
      <c r="C300" s="236">
        <f t="shared" si="2"/>
        <v>0</v>
      </c>
      <c r="D300" s="236">
        <f t="shared" si="3"/>
        <v>0.9775626664</v>
      </c>
      <c r="E300" s="236">
        <f t="shared" si="7"/>
        <v>0</v>
      </c>
      <c r="F300" s="236">
        <f t="shared" si="8"/>
        <v>4283.302421</v>
      </c>
      <c r="G300" s="238">
        <f t="shared" si="4"/>
        <v>0.07675068845</v>
      </c>
      <c r="H300" s="240" t="str">
        <f t="shared" si="5"/>
        <v>Default standby Charge</v>
      </c>
      <c r="I300" s="182"/>
      <c r="J300" s="182"/>
      <c r="K300" s="11"/>
      <c r="L300" s="182"/>
      <c r="M300" s="182"/>
      <c r="N300" s="182"/>
      <c r="O300" s="182"/>
      <c r="P300" s="11"/>
      <c r="Q300" s="11"/>
      <c r="R300" s="11"/>
      <c r="S300" s="11"/>
      <c r="T300" s="11"/>
      <c r="U300" s="11"/>
      <c r="V300" s="11"/>
      <c r="W300" s="11"/>
      <c r="X300" s="11"/>
      <c r="Y300" s="11"/>
      <c r="Z300" s="11"/>
      <c r="AA300" s="11"/>
    </row>
    <row r="301" ht="15.75" customHeight="1">
      <c r="A301" s="234">
        <f t="shared" si="6"/>
        <v>1112</v>
      </c>
      <c r="B301" s="243" t="str">
        <f t="shared" si="1"/>
        <v>Charge</v>
      </c>
      <c r="C301" s="236">
        <f t="shared" si="2"/>
        <v>0</v>
      </c>
      <c r="D301" s="236">
        <f t="shared" si="3"/>
        <v>0.9775626664</v>
      </c>
      <c r="E301" s="236">
        <f t="shared" si="7"/>
        <v>0</v>
      </c>
      <c r="F301" s="236">
        <f t="shared" si="8"/>
        <v>4284.279984</v>
      </c>
      <c r="G301" s="238">
        <f t="shared" si="4"/>
        <v>0.07676820499</v>
      </c>
      <c r="H301" s="240" t="str">
        <f t="shared" si="5"/>
        <v>Default standby Charge</v>
      </c>
      <c r="I301" s="182"/>
      <c r="J301" s="182"/>
      <c r="K301" s="11"/>
      <c r="L301" s="182"/>
      <c r="M301" s="182"/>
      <c r="N301" s="182"/>
      <c r="O301" s="182"/>
      <c r="P301" s="11"/>
      <c r="Q301" s="11"/>
      <c r="R301" s="11"/>
      <c r="S301" s="11"/>
      <c r="T301" s="11"/>
      <c r="U301" s="11"/>
      <c r="V301" s="11"/>
      <c r="W301" s="11"/>
      <c r="X301" s="11"/>
      <c r="Y301" s="11"/>
      <c r="Z301" s="11"/>
      <c r="AA301" s="11"/>
    </row>
    <row r="302" ht="15.75" customHeight="1">
      <c r="A302" s="234">
        <f t="shared" si="6"/>
        <v>1116</v>
      </c>
      <c r="B302" s="243" t="str">
        <f t="shared" si="1"/>
        <v>Charge</v>
      </c>
      <c r="C302" s="236">
        <f t="shared" si="2"/>
        <v>0</v>
      </c>
      <c r="D302" s="236">
        <f t="shared" si="3"/>
        <v>0.9775626664</v>
      </c>
      <c r="E302" s="236">
        <f t="shared" si="7"/>
        <v>0</v>
      </c>
      <c r="F302" s="236">
        <f t="shared" si="8"/>
        <v>4285.257547</v>
      </c>
      <c r="G302" s="238">
        <f t="shared" si="4"/>
        <v>0.07678572152</v>
      </c>
      <c r="H302" s="240" t="str">
        <f t="shared" si="5"/>
        <v>Default standby Charge</v>
      </c>
      <c r="I302" s="182"/>
      <c r="J302" s="182"/>
      <c r="K302" s="11"/>
      <c r="L302" s="182"/>
      <c r="M302" s="182"/>
      <c r="N302" s="182"/>
      <c r="O302" s="182"/>
      <c r="P302" s="11"/>
      <c r="Q302" s="11"/>
      <c r="R302" s="11"/>
      <c r="S302" s="11"/>
      <c r="T302" s="11"/>
      <c r="U302" s="11"/>
      <c r="V302" s="11"/>
      <c r="W302" s="11"/>
      <c r="X302" s="11"/>
      <c r="Y302" s="11"/>
      <c r="Z302" s="11"/>
      <c r="AA302" s="11"/>
    </row>
    <row r="303" ht="15.75" customHeight="1">
      <c r="A303" s="234">
        <f t="shared" si="6"/>
        <v>1120</v>
      </c>
      <c r="B303" s="243" t="str">
        <f t="shared" si="1"/>
        <v>Charge</v>
      </c>
      <c r="C303" s="236">
        <f t="shared" si="2"/>
        <v>0</v>
      </c>
      <c r="D303" s="236">
        <f t="shared" si="3"/>
        <v>0.9775626664</v>
      </c>
      <c r="E303" s="236">
        <f t="shared" si="7"/>
        <v>0</v>
      </c>
      <c r="F303" s="236">
        <f t="shared" si="8"/>
        <v>4286.235109</v>
      </c>
      <c r="G303" s="238">
        <f t="shared" si="4"/>
        <v>0.07680323805</v>
      </c>
      <c r="H303" s="240" t="str">
        <f t="shared" si="5"/>
        <v>Default standby Charge</v>
      </c>
      <c r="I303" s="182"/>
      <c r="J303" s="182"/>
      <c r="K303" s="11"/>
      <c r="L303" s="182"/>
      <c r="M303" s="182"/>
      <c r="N303" s="182"/>
      <c r="O303" s="182"/>
      <c r="P303" s="11"/>
      <c r="Q303" s="11"/>
      <c r="R303" s="11"/>
      <c r="S303" s="11"/>
      <c r="T303" s="11"/>
      <c r="U303" s="11"/>
      <c r="V303" s="11"/>
      <c r="W303" s="11"/>
      <c r="X303" s="11"/>
      <c r="Y303" s="11"/>
      <c r="Z303" s="11"/>
      <c r="AA303" s="11"/>
    </row>
    <row r="304" ht="15.75" customHeight="1">
      <c r="A304" s="234">
        <f t="shared" si="6"/>
        <v>1124</v>
      </c>
      <c r="B304" s="243" t="str">
        <f t="shared" si="1"/>
        <v>Charge</v>
      </c>
      <c r="C304" s="236">
        <f t="shared" si="2"/>
        <v>0</v>
      </c>
      <c r="D304" s="236">
        <f t="shared" si="3"/>
        <v>0.9775626664</v>
      </c>
      <c r="E304" s="236">
        <f t="shared" si="7"/>
        <v>0</v>
      </c>
      <c r="F304" s="236">
        <f t="shared" si="8"/>
        <v>4287.212672</v>
      </c>
      <c r="G304" s="238">
        <f t="shared" si="4"/>
        <v>0.07682075459</v>
      </c>
      <c r="H304" s="240" t="str">
        <f t="shared" si="5"/>
        <v>Default standby Charge</v>
      </c>
      <c r="I304" s="182"/>
      <c r="J304" s="182"/>
      <c r="K304" s="11"/>
      <c r="L304" s="182"/>
      <c r="M304" s="182"/>
      <c r="N304" s="182"/>
      <c r="O304" s="182"/>
      <c r="P304" s="11"/>
      <c r="Q304" s="11"/>
      <c r="R304" s="11"/>
      <c r="S304" s="11"/>
      <c r="T304" s="11"/>
      <c r="U304" s="11"/>
      <c r="V304" s="11"/>
      <c r="W304" s="11"/>
      <c r="X304" s="11"/>
      <c r="Y304" s="11"/>
      <c r="Z304" s="11"/>
      <c r="AA304" s="11"/>
    </row>
    <row r="305" ht="15.75" customHeight="1">
      <c r="A305" s="234">
        <f t="shared" si="6"/>
        <v>1128</v>
      </c>
      <c r="B305" s="243" t="str">
        <f t="shared" si="1"/>
        <v>Charge</v>
      </c>
      <c r="C305" s="236">
        <f t="shared" si="2"/>
        <v>0</v>
      </c>
      <c r="D305" s="236">
        <f t="shared" si="3"/>
        <v>0.9775626664</v>
      </c>
      <c r="E305" s="236">
        <f t="shared" si="7"/>
        <v>0</v>
      </c>
      <c r="F305" s="236">
        <f t="shared" si="8"/>
        <v>4288.190235</v>
      </c>
      <c r="G305" s="238">
        <f t="shared" si="4"/>
        <v>0.07683827112</v>
      </c>
      <c r="H305" s="240" t="str">
        <f t="shared" si="5"/>
        <v>Default standby Charge</v>
      </c>
      <c r="I305" s="182"/>
      <c r="J305" s="182"/>
      <c r="K305" s="11"/>
      <c r="L305" s="182"/>
      <c r="M305" s="182"/>
      <c r="N305" s="182"/>
      <c r="O305" s="182"/>
      <c r="P305" s="11"/>
      <c r="Q305" s="11"/>
      <c r="R305" s="11"/>
      <c r="S305" s="11"/>
      <c r="T305" s="11"/>
      <c r="U305" s="11"/>
      <c r="V305" s="11"/>
      <c r="W305" s="11"/>
      <c r="X305" s="11"/>
      <c r="Y305" s="11"/>
      <c r="Z305" s="11"/>
      <c r="AA305" s="11"/>
    </row>
    <row r="306" ht="15.75" customHeight="1">
      <c r="A306" s="234">
        <f t="shared" si="6"/>
        <v>1132</v>
      </c>
      <c r="B306" s="243" t="str">
        <f t="shared" si="1"/>
        <v>Charge</v>
      </c>
      <c r="C306" s="236">
        <f t="shared" si="2"/>
        <v>0</v>
      </c>
      <c r="D306" s="236">
        <f t="shared" si="3"/>
        <v>0.9775626664</v>
      </c>
      <c r="E306" s="236">
        <f t="shared" si="7"/>
        <v>0</v>
      </c>
      <c r="F306" s="236">
        <f t="shared" si="8"/>
        <v>4289.167797</v>
      </c>
      <c r="G306" s="238">
        <f t="shared" si="4"/>
        <v>0.07685578765</v>
      </c>
      <c r="H306" s="240" t="str">
        <f t="shared" si="5"/>
        <v>Default standby Charge</v>
      </c>
      <c r="I306" s="182"/>
      <c r="J306" s="182"/>
      <c r="K306" s="11"/>
      <c r="L306" s="182"/>
      <c r="M306" s="182"/>
      <c r="N306" s="182"/>
      <c r="O306" s="182"/>
      <c r="P306" s="11"/>
      <c r="Q306" s="11"/>
      <c r="R306" s="11"/>
      <c r="S306" s="11"/>
      <c r="T306" s="11"/>
      <c r="U306" s="11"/>
      <c r="V306" s="11"/>
      <c r="W306" s="11"/>
      <c r="X306" s="11"/>
      <c r="Y306" s="11"/>
      <c r="Z306" s="11"/>
      <c r="AA306" s="11"/>
    </row>
    <row r="307" ht="15.75" customHeight="1">
      <c r="A307" s="234">
        <f t="shared" si="6"/>
        <v>1136</v>
      </c>
      <c r="B307" s="243" t="str">
        <f t="shared" si="1"/>
        <v>Charge</v>
      </c>
      <c r="C307" s="236">
        <f t="shared" si="2"/>
        <v>0</v>
      </c>
      <c r="D307" s="236">
        <f t="shared" si="3"/>
        <v>0.9775626664</v>
      </c>
      <c r="E307" s="236">
        <f t="shared" si="7"/>
        <v>0</v>
      </c>
      <c r="F307" s="236">
        <f t="shared" si="8"/>
        <v>4290.14536</v>
      </c>
      <c r="G307" s="238">
        <f t="shared" si="4"/>
        <v>0.07687330418</v>
      </c>
      <c r="H307" s="240" t="str">
        <f t="shared" si="5"/>
        <v>Default standby Charge</v>
      </c>
      <c r="I307" s="182"/>
      <c r="J307" s="182"/>
      <c r="K307" s="11"/>
      <c r="L307" s="182"/>
      <c r="M307" s="182"/>
      <c r="N307" s="182"/>
      <c r="O307" s="182"/>
      <c r="P307" s="11"/>
      <c r="Q307" s="11"/>
      <c r="R307" s="11"/>
      <c r="S307" s="11"/>
      <c r="T307" s="11"/>
      <c r="U307" s="11"/>
      <c r="V307" s="11"/>
      <c r="W307" s="11"/>
      <c r="X307" s="11"/>
      <c r="Y307" s="11"/>
      <c r="Z307" s="11"/>
      <c r="AA307" s="11"/>
    </row>
    <row r="308" ht="15.75" customHeight="1">
      <c r="A308" s="234">
        <f t="shared" si="6"/>
        <v>1140</v>
      </c>
      <c r="B308" s="243" t="str">
        <f t="shared" si="1"/>
        <v>Charge</v>
      </c>
      <c r="C308" s="236">
        <f t="shared" si="2"/>
        <v>0</v>
      </c>
      <c r="D308" s="236">
        <f t="shared" si="3"/>
        <v>0.9775626664</v>
      </c>
      <c r="E308" s="236">
        <f t="shared" si="7"/>
        <v>0</v>
      </c>
      <c r="F308" s="236">
        <f t="shared" si="8"/>
        <v>4291.122923</v>
      </c>
      <c r="G308" s="238">
        <f t="shared" si="4"/>
        <v>0.07689082072</v>
      </c>
      <c r="H308" s="240" t="str">
        <f t="shared" si="5"/>
        <v>Default standby Charge</v>
      </c>
      <c r="I308" s="182"/>
      <c r="J308" s="182"/>
      <c r="K308" s="11"/>
      <c r="L308" s="182"/>
      <c r="M308" s="182"/>
      <c r="N308" s="182"/>
      <c r="O308" s="182"/>
      <c r="P308" s="11"/>
      <c r="Q308" s="11"/>
      <c r="R308" s="11"/>
      <c r="S308" s="11"/>
      <c r="T308" s="11"/>
      <c r="U308" s="11"/>
      <c r="V308" s="11"/>
      <c r="W308" s="11"/>
      <c r="X308" s="11"/>
      <c r="Y308" s="11"/>
      <c r="Z308" s="11"/>
      <c r="AA308" s="11"/>
    </row>
    <row r="309" ht="15.75" customHeight="1">
      <c r="A309" s="234">
        <f t="shared" si="6"/>
        <v>1144</v>
      </c>
      <c r="B309" s="243" t="str">
        <f t="shared" si="1"/>
        <v>Charge</v>
      </c>
      <c r="C309" s="236">
        <f t="shared" si="2"/>
        <v>0</v>
      </c>
      <c r="D309" s="236">
        <f t="shared" si="3"/>
        <v>0.9775626664</v>
      </c>
      <c r="E309" s="236">
        <f t="shared" si="7"/>
        <v>0</v>
      </c>
      <c r="F309" s="236">
        <f t="shared" si="8"/>
        <v>4292.100485</v>
      </c>
      <c r="G309" s="238">
        <f t="shared" si="4"/>
        <v>0.07690833725</v>
      </c>
      <c r="H309" s="240" t="str">
        <f t="shared" si="5"/>
        <v>Default standby Charge</v>
      </c>
      <c r="I309" s="182"/>
      <c r="J309" s="182"/>
      <c r="K309" s="11"/>
      <c r="L309" s="182"/>
      <c r="M309" s="182"/>
      <c r="N309" s="182"/>
      <c r="O309" s="182"/>
      <c r="P309" s="11"/>
      <c r="Q309" s="11"/>
      <c r="R309" s="11"/>
      <c r="S309" s="11"/>
      <c r="T309" s="11"/>
      <c r="U309" s="11"/>
      <c r="V309" s="11"/>
      <c r="W309" s="11"/>
      <c r="X309" s="11"/>
      <c r="Y309" s="11"/>
      <c r="Z309" s="11"/>
      <c r="AA309" s="11"/>
    </row>
    <row r="310" ht="15.75" customHeight="1">
      <c r="A310" s="234">
        <f t="shared" si="6"/>
        <v>1148</v>
      </c>
      <c r="B310" s="243" t="str">
        <f t="shared" si="1"/>
        <v>Charge</v>
      </c>
      <c r="C310" s="236">
        <f t="shared" si="2"/>
        <v>0</v>
      </c>
      <c r="D310" s="236">
        <f t="shared" si="3"/>
        <v>0.9775626664</v>
      </c>
      <c r="E310" s="236">
        <f t="shared" si="7"/>
        <v>0</v>
      </c>
      <c r="F310" s="236">
        <f t="shared" si="8"/>
        <v>4293.078048</v>
      </c>
      <c r="G310" s="238">
        <f t="shared" si="4"/>
        <v>0.07692585378</v>
      </c>
      <c r="H310" s="240" t="str">
        <f t="shared" si="5"/>
        <v>Default standby Charge</v>
      </c>
      <c r="I310" s="182"/>
      <c r="J310" s="182"/>
      <c r="K310" s="11"/>
      <c r="L310" s="182"/>
      <c r="M310" s="182"/>
      <c r="N310" s="182"/>
      <c r="O310" s="182"/>
      <c r="P310" s="11"/>
      <c r="Q310" s="11"/>
      <c r="R310" s="11"/>
      <c r="S310" s="11"/>
      <c r="T310" s="11"/>
      <c r="U310" s="11"/>
      <c r="V310" s="11"/>
      <c r="W310" s="11"/>
      <c r="X310" s="11"/>
      <c r="Y310" s="11"/>
      <c r="Z310" s="11"/>
      <c r="AA310" s="11"/>
    </row>
    <row r="311" ht="15.75" customHeight="1">
      <c r="A311" s="234">
        <f t="shared" si="6"/>
        <v>1152</v>
      </c>
      <c r="B311" s="243" t="str">
        <f t="shared" si="1"/>
        <v>Charge</v>
      </c>
      <c r="C311" s="236">
        <f t="shared" si="2"/>
        <v>0</v>
      </c>
      <c r="D311" s="236">
        <f t="shared" si="3"/>
        <v>0.9775626664</v>
      </c>
      <c r="E311" s="236">
        <f t="shared" si="7"/>
        <v>0</v>
      </c>
      <c r="F311" s="236">
        <f t="shared" si="8"/>
        <v>4294.055611</v>
      </c>
      <c r="G311" s="238">
        <f t="shared" si="4"/>
        <v>0.07694337032</v>
      </c>
      <c r="H311" s="240" t="str">
        <f t="shared" si="5"/>
        <v>Default standby Charge</v>
      </c>
      <c r="I311" s="182"/>
      <c r="J311" s="182"/>
      <c r="K311" s="11"/>
      <c r="L311" s="182"/>
      <c r="M311" s="182"/>
      <c r="N311" s="182"/>
      <c r="O311" s="182"/>
      <c r="P311" s="11"/>
      <c r="Q311" s="11"/>
      <c r="R311" s="11"/>
      <c r="S311" s="11"/>
      <c r="T311" s="11"/>
      <c r="U311" s="11"/>
      <c r="V311" s="11"/>
      <c r="W311" s="11"/>
      <c r="X311" s="11"/>
      <c r="Y311" s="11"/>
      <c r="Z311" s="11"/>
      <c r="AA311" s="11"/>
    </row>
    <row r="312" ht="15.75" customHeight="1">
      <c r="A312" s="234">
        <f t="shared" si="6"/>
        <v>1156</v>
      </c>
      <c r="B312" s="243" t="str">
        <f t="shared" si="1"/>
        <v>Charge</v>
      </c>
      <c r="C312" s="236">
        <f t="shared" si="2"/>
        <v>0</v>
      </c>
      <c r="D312" s="236">
        <f t="shared" si="3"/>
        <v>0.9775626664</v>
      </c>
      <c r="E312" s="236">
        <f t="shared" si="7"/>
        <v>0</v>
      </c>
      <c r="F312" s="236">
        <f t="shared" si="8"/>
        <v>4295.033173</v>
      </c>
      <c r="G312" s="238">
        <f t="shared" si="4"/>
        <v>0.07696088685</v>
      </c>
      <c r="H312" s="240" t="str">
        <f t="shared" si="5"/>
        <v>Default standby Charge</v>
      </c>
      <c r="I312" s="182"/>
      <c r="J312" s="182"/>
      <c r="K312" s="11"/>
      <c r="L312" s="182"/>
      <c r="M312" s="182"/>
      <c r="N312" s="182"/>
      <c r="O312" s="182"/>
      <c r="P312" s="11"/>
      <c r="Q312" s="11"/>
      <c r="R312" s="11"/>
      <c r="S312" s="11"/>
      <c r="T312" s="11"/>
      <c r="U312" s="11"/>
      <c r="V312" s="11"/>
      <c r="W312" s="11"/>
      <c r="X312" s="11"/>
      <c r="Y312" s="11"/>
      <c r="Z312" s="11"/>
      <c r="AA312" s="11"/>
    </row>
    <row r="313" ht="15.75" customHeight="1">
      <c r="A313" s="234">
        <f t="shared" si="6"/>
        <v>1160</v>
      </c>
      <c r="B313" s="243" t="str">
        <f t="shared" si="1"/>
        <v>Charge</v>
      </c>
      <c r="C313" s="236">
        <f t="shared" si="2"/>
        <v>0</v>
      </c>
      <c r="D313" s="236">
        <f t="shared" si="3"/>
        <v>0.9775626664</v>
      </c>
      <c r="E313" s="236">
        <f t="shared" si="7"/>
        <v>0</v>
      </c>
      <c r="F313" s="236">
        <f t="shared" si="8"/>
        <v>4296.010736</v>
      </c>
      <c r="G313" s="238">
        <f t="shared" si="4"/>
        <v>0.07697840338</v>
      </c>
      <c r="H313" s="240" t="str">
        <f t="shared" si="5"/>
        <v>Default standby Charge</v>
      </c>
      <c r="I313" s="182"/>
      <c r="J313" s="182"/>
      <c r="K313" s="11"/>
      <c r="L313" s="182"/>
      <c r="M313" s="182"/>
      <c r="N313" s="182"/>
      <c r="O313" s="182"/>
      <c r="P313" s="11"/>
      <c r="Q313" s="11"/>
      <c r="R313" s="11"/>
      <c r="S313" s="11"/>
      <c r="T313" s="11"/>
      <c r="U313" s="11"/>
      <c r="V313" s="11"/>
      <c r="W313" s="11"/>
      <c r="X313" s="11"/>
      <c r="Y313" s="11"/>
      <c r="Z313" s="11"/>
      <c r="AA313" s="11"/>
    </row>
    <row r="314" ht="15.75" customHeight="1">
      <c r="A314" s="234">
        <f t="shared" si="6"/>
        <v>1164</v>
      </c>
      <c r="B314" s="243" t="str">
        <f t="shared" si="1"/>
        <v>Charge</v>
      </c>
      <c r="C314" s="236">
        <f t="shared" si="2"/>
        <v>0</v>
      </c>
      <c r="D314" s="236">
        <f t="shared" si="3"/>
        <v>0.9775626664</v>
      </c>
      <c r="E314" s="236">
        <f t="shared" si="7"/>
        <v>0</v>
      </c>
      <c r="F314" s="236">
        <f t="shared" si="8"/>
        <v>4296.988299</v>
      </c>
      <c r="G314" s="238">
        <f t="shared" si="4"/>
        <v>0.07699591991</v>
      </c>
      <c r="H314" s="240" t="str">
        <f t="shared" si="5"/>
        <v>Default standby Charge</v>
      </c>
      <c r="I314" s="182"/>
      <c r="J314" s="182"/>
      <c r="K314" s="11"/>
      <c r="L314" s="182"/>
      <c r="M314" s="182"/>
      <c r="N314" s="182"/>
      <c r="O314" s="182"/>
      <c r="P314" s="11"/>
      <c r="Q314" s="11"/>
      <c r="R314" s="11"/>
      <c r="S314" s="11"/>
      <c r="T314" s="11"/>
      <c r="U314" s="11"/>
      <c r="V314" s="11"/>
      <c r="W314" s="11"/>
      <c r="X314" s="11"/>
      <c r="Y314" s="11"/>
      <c r="Z314" s="11"/>
      <c r="AA314" s="11"/>
    </row>
    <row r="315" ht="15.75" customHeight="1">
      <c r="A315" s="234">
        <f t="shared" si="6"/>
        <v>1168</v>
      </c>
      <c r="B315" s="243" t="str">
        <f t="shared" si="1"/>
        <v>Charge</v>
      </c>
      <c r="C315" s="236">
        <f t="shared" si="2"/>
        <v>0</v>
      </c>
      <c r="D315" s="236">
        <f t="shared" si="3"/>
        <v>0.9775626664</v>
      </c>
      <c r="E315" s="236">
        <f t="shared" si="7"/>
        <v>0</v>
      </c>
      <c r="F315" s="236">
        <f t="shared" si="8"/>
        <v>4297.965861</v>
      </c>
      <c r="G315" s="238">
        <f t="shared" si="4"/>
        <v>0.07701343645</v>
      </c>
      <c r="H315" s="240" t="str">
        <f t="shared" si="5"/>
        <v>Default standby Charge</v>
      </c>
      <c r="I315" s="182"/>
      <c r="J315" s="182"/>
      <c r="K315" s="11"/>
      <c r="L315" s="182"/>
      <c r="M315" s="182"/>
      <c r="N315" s="182"/>
      <c r="O315" s="182"/>
      <c r="P315" s="11"/>
      <c r="Q315" s="11"/>
      <c r="R315" s="11"/>
      <c r="S315" s="11"/>
      <c r="T315" s="11"/>
      <c r="U315" s="11"/>
      <c r="V315" s="11"/>
      <c r="W315" s="11"/>
      <c r="X315" s="11"/>
      <c r="Y315" s="11"/>
      <c r="Z315" s="11"/>
      <c r="AA315" s="11"/>
    </row>
    <row r="316" ht="15.75" customHeight="1">
      <c r="A316" s="234">
        <f t="shared" si="6"/>
        <v>1172</v>
      </c>
      <c r="B316" s="243" t="str">
        <f t="shared" si="1"/>
        <v>Charge</v>
      </c>
      <c r="C316" s="236">
        <f t="shared" si="2"/>
        <v>0</v>
      </c>
      <c r="D316" s="236">
        <f t="shared" si="3"/>
        <v>0.9775626664</v>
      </c>
      <c r="E316" s="236">
        <f t="shared" si="7"/>
        <v>0</v>
      </c>
      <c r="F316" s="236">
        <f t="shared" si="8"/>
        <v>4298.943424</v>
      </c>
      <c r="G316" s="238">
        <f t="shared" si="4"/>
        <v>0.07703095298</v>
      </c>
      <c r="H316" s="240" t="str">
        <f t="shared" si="5"/>
        <v>Default standby Charge</v>
      </c>
      <c r="I316" s="182"/>
      <c r="J316" s="182"/>
      <c r="K316" s="11"/>
      <c r="L316" s="182"/>
      <c r="M316" s="182"/>
      <c r="N316" s="182"/>
      <c r="O316" s="182"/>
      <c r="P316" s="11"/>
      <c r="Q316" s="11"/>
      <c r="R316" s="11"/>
      <c r="S316" s="11"/>
      <c r="T316" s="11"/>
      <c r="U316" s="11"/>
      <c r="V316" s="11"/>
      <c r="W316" s="11"/>
      <c r="X316" s="11"/>
      <c r="Y316" s="11"/>
      <c r="Z316" s="11"/>
      <c r="AA316" s="11"/>
    </row>
    <row r="317" ht="15.75" customHeight="1">
      <c r="A317" s="234">
        <f t="shared" si="6"/>
        <v>1176</v>
      </c>
      <c r="B317" s="243" t="str">
        <f t="shared" si="1"/>
        <v>Charge</v>
      </c>
      <c r="C317" s="236">
        <f t="shared" si="2"/>
        <v>0</v>
      </c>
      <c r="D317" s="236">
        <f t="shared" si="3"/>
        <v>0.9775626664</v>
      </c>
      <c r="E317" s="236">
        <f t="shared" si="7"/>
        <v>0</v>
      </c>
      <c r="F317" s="236">
        <f t="shared" si="8"/>
        <v>4299.920987</v>
      </c>
      <c r="G317" s="238">
        <f t="shared" si="4"/>
        <v>0.07704846951</v>
      </c>
      <c r="H317" s="240" t="str">
        <f t="shared" si="5"/>
        <v>Default standby Charge</v>
      </c>
      <c r="I317" s="182"/>
      <c r="J317" s="182"/>
      <c r="K317" s="11"/>
      <c r="L317" s="182"/>
      <c r="M317" s="182"/>
      <c r="N317" s="182"/>
      <c r="O317" s="182"/>
      <c r="P317" s="11"/>
      <c r="Q317" s="11"/>
      <c r="R317" s="11"/>
      <c r="S317" s="11"/>
      <c r="T317" s="11"/>
      <c r="U317" s="11"/>
      <c r="V317" s="11"/>
      <c r="W317" s="11"/>
      <c r="X317" s="11"/>
      <c r="Y317" s="11"/>
      <c r="Z317" s="11"/>
      <c r="AA317" s="11"/>
    </row>
    <row r="318" ht="15.75" customHeight="1">
      <c r="A318" s="234">
        <f t="shared" si="6"/>
        <v>1180</v>
      </c>
      <c r="B318" s="243" t="str">
        <f t="shared" si="1"/>
        <v>Charge</v>
      </c>
      <c r="C318" s="236">
        <f t="shared" si="2"/>
        <v>0</v>
      </c>
      <c r="D318" s="236">
        <f t="shared" si="3"/>
        <v>0.9775626664</v>
      </c>
      <c r="E318" s="236">
        <f t="shared" si="7"/>
        <v>0</v>
      </c>
      <c r="F318" s="236">
        <f t="shared" si="8"/>
        <v>4300.898549</v>
      </c>
      <c r="G318" s="238">
        <f t="shared" si="4"/>
        <v>0.07706598605</v>
      </c>
      <c r="H318" s="240" t="str">
        <f t="shared" si="5"/>
        <v>Default standby Charge</v>
      </c>
      <c r="I318" s="182"/>
      <c r="J318" s="182"/>
      <c r="K318" s="11"/>
      <c r="L318" s="182"/>
      <c r="M318" s="182"/>
      <c r="N318" s="182"/>
      <c r="O318" s="182"/>
      <c r="P318" s="11"/>
      <c r="Q318" s="11"/>
      <c r="R318" s="11"/>
      <c r="S318" s="11"/>
      <c r="T318" s="11"/>
      <c r="U318" s="11"/>
      <c r="V318" s="11"/>
      <c r="W318" s="11"/>
      <c r="X318" s="11"/>
      <c r="Y318" s="11"/>
      <c r="Z318" s="11"/>
      <c r="AA318" s="11"/>
    </row>
    <row r="319" ht="15.75" customHeight="1">
      <c r="A319" s="234">
        <f t="shared" si="6"/>
        <v>1184</v>
      </c>
      <c r="B319" s="243" t="str">
        <f t="shared" si="1"/>
        <v>Charge</v>
      </c>
      <c r="C319" s="236">
        <f t="shared" si="2"/>
        <v>0</v>
      </c>
      <c r="D319" s="236">
        <f t="shared" si="3"/>
        <v>0.9775626664</v>
      </c>
      <c r="E319" s="236">
        <f t="shared" si="7"/>
        <v>0</v>
      </c>
      <c r="F319" s="236">
        <f t="shared" si="8"/>
        <v>4301.876112</v>
      </c>
      <c r="G319" s="238">
        <f t="shared" si="4"/>
        <v>0.07708350258</v>
      </c>
      <c r="H319" s="240" t="str">
        <f t="shared" si="5"/>
        <v>Default standby Charge</v>
      </c>
      <c r="I319" s="182"/>
      <c r="J319" s="182"/>
      <c r="K319" s="11"/>
      <c r="L319" s="182"/>
      <c r="M319" s="182"/>
      <c r="N319" s="182"/>
      <c r="O319" s="182"/>
      <c r="P319" s="11"/>
      <c r="Q319" s="11"/>
      <c r="R319" s="11"/>
      <c r="S319" s="11"/>
      <c r="T319" s="11"/>
      <c r="U319" s="11"/>
      <c r="V319" s="11"/>
      <c r="W319" s="11"/>
      <c r="X319" s="11"/>
      <c r="Y319" s="11"/>
      <c r="Z319" s="11"/>
      <c r="AA319" s="11"/>
    </row>
    <row r="320" ht="15.75" customHeight="1">
      <c r="A320" s="234">
        <f t="shared" si="6"/>
        <v>1188</v>
      </c>
      <c r="B320" s="243" t="str">
        <f t="shared" si="1"/>
        <v>Charge</v>
      </c>
      <c r="C320" s="236">
        <f t="shared" si="2"/>
        <v>0</v>
      </c>
      <c r="D320" s="236">
        <f t="shared" si="3"/>
        <v>0.9775626664</v>
      </c>
      <c r="E320" s="236">
        <f t="shared" si="7"/>
        <v>0</v>
      </c>
      <c r="F320" s="236">
        <f t="shared" si="8"/>
        <v>4302.853675</v>
      </c>
      <c r="G320" s="238">
        <f t="shared" si="4"/>
        <v>0.07710101911</v>
      </c>
      <c r="H320" s="240" t="str">
        <f t="shared" si="5"/>
        <v>Default standby Charge</v>
      </c>
      <c r="I320" s="182"/>
      <c r="J320" s="182"/>
      <c r="K320" s="11"/>
      <c r="L320" s="182"/>
      <c r="M320" s="182"/>
      <c r="N320" s="182"/>
      <c r="O320" s="182"/>
      <c r="P320" s="11"/>
      <c r="Q320" s="11"/>
      <c r="R320" s="11"/>
      <c r="S320" s="11"/>
      <c r="T320" s="11"/>
      <c r="U320" s="11"/>
      <c r="V320" s="11"/>
      <c r="W320" s="11"/>
      <c r="X320" s="11"/>
      <c r="Y320" s="11"/>
      <c r="Z320" s="11"/>
      <c r="AA320" s="11"/>
    </row>
    <row r="321" ht="15.75" customHeight="1">
      <c r="A321" s="234">
        <f t="shared" si="6"/>
        <v>1192</v>
      </c>
      <c r="B321" s="243" t="str">
        <f t="shared" si="1"/>
        <v>Charge</v>
      </c>
      <c r="C321" s="236">
        <f t="shared" si="2"/>
        <v>0</v>
      </c>
      <c r="D321" s="236">
        <f t="shared" si="3"/>
        <v>0.9775626664</v>
      </c>
      <c r="E321" s="236">
        <f t="shared" si="7"/>
        <v>0</v>
      </c>
      <c r="F321" s="236">
        <f t="shared" si="8"/>
        <v>4303.831237</v>
      </c>
      <c r="G321" s="238">
        <f t="shared" si="4"/>
        <v>0.07711853564</v>
      </c>
      <c r="H321" s="240" t="str">
        <f t="shared" si="5"/>
        <v>Default standby Charge</v>
      </c>
      <c r="I321" s="182"/>
      <c r="J321" s="182"/>
      <c r="K321" s="11"/>
      <c r="L321" s="182"/>
      <c r="M321" s="182"/>
      <c r="N321" s="182"/>
      <c r="O321" s="182"/>
      <c r="P321" s="11"/>
      <c r="Q321" s="11"/>
      <c r="R321" s="11"/>
      <c r="S321" s="11"/>
      <c r="T321" s="11"/>
      <c r="U321" s="11"/>
      <c r="V321" s="11"/>
      <c r="W321" s="11"/>
      <c r="X321" s="11"/>
      <c r="Y321" s="11"/>
      <c r="Z321" s="11"/>
      <c r="AA321" s="11"/>
    </row>
    <row r="322" ht="15.75" customHeight="1">
      <c r="A322" s="234">
        <f t="shared" si="6"/>
        <v>1196</v>
      </c>
      <c r="B322" s="243" t="str">
        <f t="shared" si="1"/>
        <v>Charge</v>
      </c>
      <c r="C322" s="236">
        <f t="shared" si="2"/>
        <v>0</v>
      </c>
      <c r="D322" s="236">
        <f t="shared" si="3"/>
        <v>0.9775626664</v>
      </c>
      <c r="E322" s="236">
        <f t="shared" si="7"/>
        <v>0</v>
      </c>
      <c r="F322" s="236">
        <f t="shared" si="8"/>
        <v>4304.8088</v>
      </c>
      <c r="G322" s="238">
        <f t="shared" si="4"/>
        <v>0.07713605218</v>
      </c>
      <c r="H322" s="240" t="str">
        <f t="shared" si="5"/>
        <v>Default standby Charge</v>
      </c>
      <c r="I322" s="182"/>
      <c r="J322" s="182"/>
      <c r="K322" s="11"/>
      <c r="L322" s="182"/>
      <c r="M322" s="182"/>
      <c r="N322" s="182"/>
      <c r="O322" s="182"/>
      <c r="P322" s="11"/>
      <c r="Q322" s="11"/>
      <c r="R322" s="11"/>
      <c r="S322" s="11"/>
      <c r="T322" s="11"/>
      <c r="U322" s="11"/>
      <c r="V322" s="11"/>
      <c r="W322" s="11"/>
      <c r="X322" s="11"/>
      <c r="Y322" s="11"/>
      <c r="Z322" s="11"/>
      <c r="AA322" s="11"/>
    </row>
    <row r="323" ht="15.75" customHeight="1">
      <c r="A323" s="234">
        <f t="shared" si="6"/>
        <v>1200</v>
      </c>
      <c r="B323" s="255" t="str">
        <f t="shared" si="1"/>
        <v>Downlink</v>
      </c>
      <c r="C323" s="236">
        <f t="shared" si="2"/>
        <v>0</v>
      </c>
      <c r="D323" s="236">
        <f t="shared" si="3"/>
        <v>0.9775626664</v>
      </c>
      <c r="E323" s="236">
        <f t="shared" si="7"/>
        <v>0.75</v>
      </c>
      <c r="F323" s="236">
        <f t="shared" si="8"/>
        <v>4305.036363</v>
      </c>
      <c r="G323" s="238">
        <f t="shared" si="4"/>
        <v>0.07714012978</v>
      </c>
      <c r="H323" s="240" t="str">
        <f t="shared" si="5"/>
        <v>Validated contact; Downlink preempts Science</v>
      </c>
      <c r="I323" s="182"/>
      <c r="J323" s="182"/>
      <c r="K323" s="11"/>
      <c r="L323" s="182"/>
      <c r="M323" s="182"/>
      <c r="N323" s="182"/>
      <c r="O323" s="182"/>
      <c r="P323" s="11"/>
      <c r="Q323" s="11"/>
      <c r="R323" s="11"/>
      <c r="S323" s="11"/>
      <c r="T323" s="11"/>
      <c r="U323" s="11"/>
      <c r="V323" s="11"/>
      <c r="W323" s="11"/>
      <c r="X323" s="11"/>
      <c r="Y323" s="11"/>
      <c r="Z323" s="11"/>
      <c r="AA323" s="11"/>
    </row>
    <row r="324" ht="15.75" customHeight="1">
      <c r="A324" s="234">
        <f t="shared" si="6"/>
        <v>1204</v>
      </c>
      <c r="B324" s="255" t="str">
        <f t="shared" si="1"/>
        <v>Downlink</v>
      </c>
      <c r="C324" s="236">
        <f t="shared" si="2"/>
        <v>0</v>
      </c>
      <c r="D324" s="236">
        <f t="shared" si="3"/>
        <v>0.9775626664</v>
      </c>
      <c r="E324" s="236">
        <f t="shared" si="7"/>
        <v>0.75</v>
      </c>
      <c r="F324" s="236">
        <f t="shared" si="8"/>
        <v>4305.263925</v>
      </c>
      <c r="G324" s="238">
        <f t="shared" si="4"/>
        <v>0.07714420738</v>
      </c>
      <c r="H324" s="240" t="str">
        <f t="shared" si="5"/>
        <v>Validated contact; Downlink preempts Science</v>
      </c>
      <c r="I324" s="182"/>
      <c r="J324" s="182"/>
      <c r="K324" s="11"/>
      <c r="L324" s="182"/>
      <c r="M324" s="182"/>
      <c r="N324" s="182"/>
      <c r="O324" s="182"/>
      <c r="P324" s="11"/>
      <c r="Q324" s="11"/>
      <c r="R324" s="11"/>
      <c r="S324" s="11"/>
      <c r="T324" s="11"/>
      <c r="U324" s="11"/>
      <c r="V324" s="11"/>
      <c r="W324" s="11"/>
      <c r="X324" s="11"/>
      <c r="Y324" s="11"/>
      <c r="Z324" s="11"/>
      <c r="AA324" s="11"/>
    </row>
    <row r="325" ht="15.75" customHeight="1">
      <c r="A325" s="234">
        <f t="shared" si="6"/>
        <v>1208</v>
      </c>
      <c r="B325" s="243" t="str">
        <f t="shared" si="1"/>
        <v>Charge</v>
      </c>
      <c r="C325" s="236">
        <f t="shared" si="2"/>
        <v>0</v>
      </c>
      <c r="D325" s="236">
        <f t="shared" si="3"/>
        <v>0.9775626664</v>
      </c>
      <c r="E325" s="236">
        <f t="shared" si="7"/>
        <v>0</v>
      </c>
      <c r="F325" s="236">
        <f t="shared" si="8"/>
        <v>4306.241488</v>
      </c>
      <c r="G325" s="238">
        <f t="shared" si="4"/>
        <v>0.07716172391</v>
      </c>
      <c r="H325" s="240" t="str">
        <f t="shared" si="5"/>
        <v>Default standby Charge</v>
      </c>
      <c r="I325" s="182"/>
      <c r="J325" s="182"/>
      <c r="K325" s="11"/>
      <c r="L325" s="182"/>
      <c r="M325" s="182"/>
      <c r="N325" s="182"/>
      <c r="O325" s="182"/>
      <c r="P325" s="11"/>
      <c r="Q325" s="11"/>
      <c r="R325" s="11"/>
      <c r="S325" s="11"/>
      <c r="T325" s="11"/>
      <c r="U325" s="11"/>
      <c r="V325" s="11"/>
      <c r="W325" s="11"/>
      <c r="X325" s="11"/>
      <c r="Y325" s="11"/>
      <c r="Z325" s="11"/>
      <c r="AA325" s="11"/>
    </row>
    <row r="326" ht="15.75" customHeight="1">
      <c r="A326" s="234">
        <f t="shared" si="6"/>
        <v>1212</v>
      </c>
      <c r="B326" s="243" t="str">
        <f t="shared" si="1"/>
        <v>Charge</v>
      </c>
      <c r="C326" s="236">
        <f t="shared" si="2"/>
        <v>0</v>
      </c>
      <c r="D326" s="236">
        <f t="shared" si="3"/>
        <v>0.9775626664</v>
      </c>
      <c r="E326" s="236">
        <f t="shared" si="7"/>
        <v>0</v>
      </c>
      <c r="F326" s="236">
        <f t="shared" si="8"/>
        <v>4307.219051</v>
      </c>
      <c r="G326" s="238">
        <f t="shared" si="4"/>
        <v>0.07717924044</v>
      </c>
      <c r="H326" s="240" t="str">
        <f t="shared" si="5"/>
        <v>Default standby Charge</v>
      </c>
      <c r="I326" s="182"/>
      <c r="J326" s="182"/>
      <c r="K326" s="11"/>
      <c r="L326" s="182"/>
      <c r="M326" s="182"/>
      <c r="N326" s="182"/>
      <c r="O326" s="182"/>
      <c r="P326" s="11"/>
      <c r="Q326" s="11"/>
      <c r="R326" s="11"/>
      <c r="S326" s="11"/>
      <c r="T326" s="11"/>
      <c r="U326" s="11"/>
      <c r="V326" s="11"/>
      <c r="W326" s="11"/>
      <c r="X326" s="11"/>
      <c r="Y326" s="11"/>
      <c r="Z326" s="11"/>
      <c r="AA326" s="11"/>
    </row>
    <row r="327" ht="15.75" customHeight="1">
      <c r="A327" s="234">
        <f t="shared" si="6"/>
        <v>1216</v>
      </c>
      <c r="B327" s="243" t="str">
        <f t="shared" si="1"/>
        <v>Charge</v>
      </c>
      <c r="C327" s="236">
        <f t="shared" si="2"/>
        <v>0</v>
      </c>
      <c r="D327" s="236">
        <f t="shared" si="3"/>
        <v>0.9775626664</v>
      </c>
      <c r="E327" s="236">
        <f t="shared" si="7"/>
        <v>0</v>
      </c>
      <c r="F327" s="236">
        <f t="shared" si="8"/>
        <v>4308.196613</v>
      </c>
      <c r="G327" s="238">
        <f t="shared" si="4"/>
        <v>0.07719675697</v>
      </c>
      <c r="H327" s="240" t="str">
        <f t="shared" si="5"/>
        <v>Default standby Charge</v>
      </c>
      <c r="I327" s="182"/>
      <c r="J327" s="182"/>
      <c r="K327" s="11"/>
      <c r="L327" s="182"/>
      <c r="M327" s="182"/>
      <c r="N327" s="182"/>
      <c r="O327" s="182"/>
      <c r="P327" s="11"/>
      <c r="Q327" s="11"/>
      <c r="R327" s="11"/>
      <c r="S327" s="11"/>
      <c r="T327" s="11"/>
      <c r="U327" s="11"/>
      <c r="V327" s="11"/>
      <c r="W327" s="11"/>
      <c r="X327" s="11"/>
      <c r="Y327" s="11"/>
      <c r="Z327" s="11"/>
      <c r="AA327" s="11"/>
    </row>
    <row r="328" ht="15.75" customHeight="1">
      <c r="A328" s="234">
        <f t="shared" si="6"/>
        <v>1220</v>
      </c>
      <c r="B328" s="243" t="str">
        <f t="shared" si="1"/>
        <v>Charge</v>
      </c>
      <c r="C328" s="236">
        <f t="shared" si="2"/>
        <v>0</v>
      </c>
      <c r="D328" s="236">
        <f t="shared" si="3"/>
        <v>0.9775626664</v>
      </c>
      <c r="E328" s="236">
        <f t="shared" si="7"/>
        <v>0</v>
      </c>
      <c r="F328" s="236">
        <f t="shared" si="8"/>
        <v>4309.174176</v>
      </c>
      <c r="G328" s="238">
        <f t="shared" si="4"/>
        <v>0.07721427351</v>
      </c>
      <c r="H328" s="240" t="str">
        <f t="shared" si="5"/>
        <v>Default standby Charge</v>
      </c>
      <c r="I328" s="182"/>
      <c r="J328" s="182"/>
      <c r="K328" s="11"/>
      <c r="L328" s="182"/>
      <c r="M328" s="182"/>
      <c r="N328" s="182"/>
      <c r="O328" s="182"/>
      <c r="P328" s="11"/>
      <c r="Q328" s="11"/>
      <c r="R328" s="11"/>
      <c r="S328" s="11"/>
      <c r="T328" s="11"/>
      <c r="U328" s="11"/>
      <c r="V328" s="11"/>
      <c r="W328" s="11"/>
      <c r="X328" s="11"/>
      <c r="Y328" s="11"/>
      <c r="Z328" s="11"/>
      <c r="AA328" s="11"/>
    </row>
    <row r="329" ht="15.75" customHeight="1">
      <c r="A329" s="234">
        <f t="shared" si="6"/>
        <v>1224</v>
      </c>
      <c r="B329" s="243" t="str">
        <f t="shared" si="1"/>
        <v>Charge</v>
      </c>
      <c r="C329" s="236">
        <f t="shared" si="2"/>
        <v>0</v>
      </c>
      <c r="D329" s="236">
        <f t="shared" si="3"/>
        <v>0.9775626664</v>
      </c>
      <c r="E329" s="236">
        <f t="shared" si="7"/>
        <v>0</v>
      </c>
      <c r="F329" s="236">
        <f t="shared" si="8"/>
        <v>4310.151739</v>
      </c>
      <c r="G329" s="238">
        <f t="shared" si="4"/>
        <v>0.07723179004</v>
      </c>
      <c r="H329" s="240" t="str">
        <f t="shared" si="5"/>
        <v>Default standby Charge</v>
      </c>
      <c r="I329" s="182"/>
      <c r="J329" s="182"/>
      <c r="K329" s="11"/>
      <c r="L329" s="182"/>
      <c r="M329" s="182"/>
      <c r="N329" s="182"/>
      <c r="O329" s="182"/>
      <c r="P329" s="11"/>
      <c r="Q329" s="11"/>
      <c r="R329" s="11"/>
      <c r="S329" s="11"/>
      <c r="T329" s="11"/>
      <c r="U329" s="11"/>
      <c r="V329" s="11"/>
      <c r="W329" s="11"/>
      <c r="X329" s="11"/>
      <c r="Y329" s="11"/>
      <c r="Z329" s="11"/>
      <c r="AA329" s="11"/>
    </row>
    <row r="330" ht="15.75" customHeight="1">
      <c r="A330" s="234">
        <f t="shared" si="6"/>
        <v>1228</v>
      </c>
      <c r="B330" s="243" t="str">
        <f t="shared" si="1"/>
        <v>Charge</v>
      </c>
      <c r="C330" s="236">
        <f t="shared" si="2"/>
        <v>0</v>
      </c>
      <c r="D330" s="236">
        <f t="shared" si="3"/>
        <v>0.9775626664</v>
      </c>
      <c r="E330" s="236">
        <f t="shared" si="7"/>
        <v>0</v>
      </c>
      <c r="F330" s="236">
        <f t="shared" si="8"/>
        <v>4311.129301</v>
      </c>
      <c r="G330" s="238">
        <f t="shared" si="4"/>
        <v>0.07724930657</v>
      </c>
      <c r="H330" s="240" t="str">
        <f t="shared" si="5"/>
        <v>Default standby Charge</v>
      </c>
      <c r="I330" s="182"/>
      <c r="J330" s="182"/>
      <c r="K330" s="11"/>
      <c r="L330" s="182"/>
      <c r="M330" s="182"/>
      <c r="N330" s="182"/>
      <c r="O330" s="182"/>
      <c r="P330" s="11"/>
      <c r="Q330" s="11"/>
      <c r="R330" s="11"/>
      <c r="S330" s="11"/>
      <c r="T330" s="11"/>
      <c r="U330" s="11"/>
      <c r="V330" s="11"/>
      <c r="W330" s="11"/>
      <c r="X330" s="11"/>
      <c r="Y330" s="11"/>
      <c r="Z330" s="11"/>
      <c r="AA330" s="11"/>
    </row>
    <row r="331" ht="15.75" customHeight="1">
      <c r="A331" s="234">
        <f t="shared" si="6"/>
        <v>1232</v>
      </c>
      <c r="B331" s="243" t="str">
        <f t="shared" si="1"/>
        <v>Charge</v>
      </c>
      <c r="C331" s="236">
        <f t="shared" si="2"/>
        <v>0</v>
      </c>
      <c r="D331" s="236">
        <f t="shared" si="3"/>
        <v>0.9775626664</v>
      </c>
      <c r="E331" s="236">
        <f t="shared" si="7"/>
        <v>0</v>
      </c>
      <c r="F331" s="236">
        <f t="shared" si="8"/>
        <v>4312.106864</v>
      </c>
      <c r="G331" s="238">
        <f t="shared" si="4"/>
        <v>0.07726682311</v>
      </c>
      <c r="H331" s="240" t="str">
        <f t="shared" si="5"/>
        <v>Default standby Charge</v>
      </c>
      <c r="I331" s="182"/>
      <c r="J331" s="182"/>
      <c r="K331" s="11"/>
      <c r="L331" s="182"/>
      <c r="M331" s="182"/>
      <c r="N331" s="182"/>
      <c r="O331" s="182"/>
      <c r="P331" s="11"/>
      <c r="Q331" s="11"/>
      <c r="R331" s="11"/>
      <c r="S331" s="11"/>
      <c r="T331" s="11"/>
      <c r="U331" s="11"/>
      <c r="V331" s="11"/>
      <c r="W331" s="11"/>
      <c r="X331" s="11"/>
      <c r="Y331" s="11"/>
      <c r="Z331" s="11"/>
      <c r="AA331" s="11"/>
    </row>
    <row r="332" ht="15.75" customHeight="1">
      <c r="A332" s="234">
        <f t="shared" si="6"/>
        <v>1236</v>
      </c>
      <c r="B332" s="243" t="str">
        <f t="shared" si="1"/>
        <v>Charge</v>
      </c>
      <c r="C332" s="236">
        <f t="shared" si="2"/>
        <v>0</v>
      </c>
      <c r="D332" s="236">
        <f t="shared" si="3"/>
        <v>0.9775626664</v>
      </c>
      <c r="E332" s="236">
        <f t="shared" si="7"/>
        <v>0</v>
      </c>
      <c r="F332" s="236">
        <f t="shared" si="8"/>
        <v>4313.084427</v>
      </c>
      <c r="G332" s="238">
        <f t="shared" si="4"/>
        <v>0.07728433964</v>
      </c>
      <c r="H332" s="240" t="str">
        <f t="shared" si="5"/>
        <v>Default standby Charge</v>
      </c>
      <c r="I332" s="182"/>
      <c r="J332" s="182"/>
      <c r="K332" s="11"/>
      <c r="L332" s="182"/>
      <c r="M332" s="182"/>
      <c r="N332" s="182"/>
      <c r="O332" s="182"/>
      <c r="P332" s="11"/>
      <c r="Q332" s="11"/>
      <c r="R332" s="11"/>
      <c r="S332" s="11"/>
      <c r="T332" s="11"/>
      <c r="U332" s="11"/>
      <c r="V332" s="11"/>
      <c r="W332" s="11"/>
      <c r="X332" s="11"/>
      <c r="Y332" s="11"/>
      <c r="Z332" s="11"/>
      <c r="AA332" s="11"/>
    </row>
    <row r="333" ht="15.75" customHeight="1">
      <c r="A333" s="234">
        <f t="shared" si="6"/>
        <v>1240</v>
      </c>
      <c r="B333" s="243" t="str">
        <f t="shared" si="1"/>
        <v>Charge</v>
      </c>
      <c r="C333" s="236">
        <f t="shared" si="2"/>
        <v>0</v>
      </c>
      <c r="D333" s="236">
        <f t="shared" si="3"/>
        <v>0.9775626664</v>
      </c>
      <c r="E333" s="236">
        <f t="shared" si="7"/>
        <v>0</v>
      </c>
      <c r="F333" s="236">
        <f t="shared" si="8"/>
        <v>4314.061989</v>
      </c>
      <c r="G333" s="238">
        <f t="shared" si="4"/>
        <v>0.07730185617</v>
      </c>
      <c r="H333" s="240" t="str">
        <f t="shared" si="5"/>
        <v>Default standby Charge</v>
      </c>
      <c r="I333" s="182"/>
      <c r="J333" s="182"/>
      <c r="K333" s="11"/>
      <c r="L333" s="182"/>
      <c r="M333" s="182"/>
      <c r="N333" s="182"/>
      <c r="O333" s="182"/>
      <c r="P333" s="11"/>
      <c r="Q333" s="11"/>
      <c r="R333" s="11"/>
      <c r="S333" s="11"/>
      <c r="T333" s="11"/>
      <c r="U333" s="11"/>
      <c r="V333" s="11"/>
      <c r="W333" s="11"/>
      <c r="X333" s="11"/>
      <c r="Y333" s="11"/>
      <c r="Z333" s="11"/>
      <c r="AA333" s="11"/>
    </row>
    <row r="334" ht="15.75" customHeight="1">
      <c r="A334" s="234">
        <f t="shared" si="6"/>
        <v>1244</v>
      </c>
      <c r="B334" s="243" t="str">
        <f t="shared" si="1"/>
        <v>Charge</v>
      </c>
      <c r="C334" s="236">
        <f t="shared" si="2"/>
        <v>0</v>
      </c>
      <c r="D334" s="236">
        <f t="shared" si="3"/>
        <v>0.9775626664</v>
      </c>
      <c r="E334" s="236">
        <f t="shared" si="7"/>
        <v>0</v>
      </c>
      <c r="F334" s="236">
        <f t="shared" si="8"/>
        <v>4315.039552</v>
      </c>
      <c r="G334" s="238">
        <f t="shared" si="4"/>
        <v>0.0773193727</v>
      </c>
      <c r="H334" s="240" t="str">
        <f t="shared" si="5"/>
        <v>Default standby Charge</v>
      </c>
      <c r="I334" s="182"/>
      <c r="J334" s="182"/>
      <c r="K334" s="11"/>
      <c r="L334" s="182"/>
      <c r="M334" s="182"/>
      <c r="N334" s="182"/>
      <c r="O334" s="182"/>
      <c r="P334" s="11"/>
      <c r="Q334" s="11"/>
      <c r="R334" s="11"/>
      <c r="S334" s="11"/>
      <c r="T334" s="11"/>
      <c r="U334" s="11"/>
      <c r="V334" s="11"/>
      <c r="W334" s="11"/>
      <c r="X334" s="11"/>
      <c r="Y334" s="11"/>
      <c r="Z334" s="11"/>
      <c r="AA334" s="11"/>
    </row>
    <row r="335" ht="15.75" customHeight="1">
      <c r="A335" s="234">
        <f t="shared" si="6"/>
        <v>1248</v>
      </c>
      <c r="B335" s="243" t="str">
        <f t="shared" si="1"/>
        <v>Charge</v>
      </c>
      <c r="C335" s="236">
        <f t="shared" si="2"/>
        <v>0</v>
      </c>
      <c r="D335" s="236">
        <f t="shared" si="3"/>
        <v>0.9775626664</v>
      </c>
      <c r="E335" s="236">
        <f t="shared" si="7"/>
        <v>0</v>
      </c>
      <c r="F335" s="236">
        <f t="shared" si="8"/>
        <v>4316.017115</v>
      </c>
      <c r="G335" s="238">
        <f t="shared" si="4"/>
        <v>0.07733688924</v>
      </c>
      <c r="H335" s="240" t="str">
        <f t="shared" si="5"/>
        <v>Default standby Charge</v>
      </c>
      <c r="I335" s="182"/>
      <c r="J335" s="182"/>
      <c r="K335" s="11"/>
      <c r="L335" s="182"/>
      <c r="M335" s="182"/>
      <c r="N335" s="182"/>
      <c r="O335" s="182"/>
      <c r="P335" s="11"/>
      <c r="Q335" s="11"/>
      <c r="R335" s="11"/>
      <c r="S335" s="11"/>
      <c r="T335" s="11"/>
      <c r="U335" s="11"/>
      <c r="V335" s="11"/>
      <c r="W335" s="11"/>
      <c r="X335" s="11"/>
      <c r="Y335" s="11"/>
      <c r="Z335" s="11"/>
      <c r="AA335" s="11"/>
    </row>
    <row r="336" ht="15.75" customHeight="1">
      <c r="A336" s="234">
        <f t="shared" si="6"/>
        <v>1252</v>
      </c>
      <c r="B336" s="243" t="str">
        <f t="shared" si="1"/>
        <v>Charge</v>
      </c>
      <c r="C336" s="236">
        <f t="shared" si="2"/>
        <v>0</v>
      </c>
      <c r="D336" s="236">
        <f t="shared" si="3"/>
        <v>0.9775626664</v>
      </c>
      <c r="E336" s="236">
        <f t="shared" si="7"/>
        <v>0</v>
      </c>
      <c r="F336" s="236">
        <f t="shared" si="8"/>
        <v>4316.994677</v>
      </c>
      <c r="G336" s="238">
        <f t="shared" si="4"/>
        <v>0.07735440577</v>
      </c>
      <c r="H336" s="240" t="str">
        <f t="shared" si="5"/>
        <v>Default standby Charge</v>
      </c>
      <c r="I336" s="182"/>
      <c r="J336" s="182"/>
      <c r="K336" s="11"/>
      <c r="L336" s="182"/>
      <c r="M336" s="182"/>
      <c r="N336" s="182"/>
      <c r="O336" s="182"/>
      <c r="P336" s="11"/>
      <c r="Q336" s="11"/>
      <c r="R336" s="11"/>
      <c r="S336" s="11"/>
      <c r="T336" s="11"/>
      <c r="U336" s="11"/>
      <c r="V336" s="11"/>
      <c r="W336" s="11"/>
      <c r="X336" s="11"/>
      <c r="Y336" s="11"/>
      <c r="Z336" s="11"/>
      <c r="AA336" s="11"/>
    </row>
    <row r="337" ht="15.75" customHeight="1">
      <c r="A337" s="234">
        <f t="shared" si="6"/>
        <v>1256</v>
      </c>
      <c r="B337" s="243" t="str">
        <f t="shared" si="1"/>
        <v>Charge</v>
      </c>
      <c r="C337" s="236">
        <f t="shared" si="2"/>
        <v>0</v>
      </c>
      <c r="D337" s="236">
        <f t="shared" si="3"/>
        <v>0.9775626664</v>
      </c>
      <c r="E337" s="236">
        <f t="shared" si="7"/>
        <v>0</v>
      </c>
      <c r="F337" s="236">
        <f t="shared" si="8"/>
        <v>4317.97224</v>
      </c>
      <c r="G337" s="238">
        <f t="shared" si="4"/>
        <v>0.0773719223</v>
      </c>
      <c r="H337" s="240" t="str">
        <f t="shared" si="5"/>
        <v>Default standby Charge</v>
      </c>
      <c r="I337" s="182"/>
      <c r="J337" s="182"/>
      <c r="K337" s="11"/>
      <c r="L337" s="182"/>
      <c r="M337" s="182"/>
      <c r="N337" s="182"/>
      <c r="O337" s="182"/>
      <c r="P337" s="11"/>
      <c r="Q337" s="11"/>
      <c r="R337" s="11"/>
      <c r="S337" s="11"/>
      <c r="T337" s="11"/>
      <c r="U337" s="11"/>
      <c r="V337" s="11"/>
      <c r="W337" s="11"/>
      <c r="X337" s="11"/>
      <c r="Y337" s="11"/>
      <c r="Z337" s="11"/>
      <c r="AA337" s="11"/>
    </row>
    <row r="338" ht="15.75" customHeight="1">
      <c r="A338" s="234">
        <f t="shared" si="6"/>
        <v>1260</v>
      </c>
      <c r="B338" s="243" t="str">
        <f t="shared" si="1"/>
        <v>Charge</v>
      </c>
      <c r="C338" s="236">
        <f t="shared" si="2"/>
        <v>0</v>
      </c>
      <c r="D338" s="236">
        <f t="shared" si="3"/>
        <v>0.9775626664</v>
      </c>
      <c r="E338" s="236">
        <f t="shared" si="7"/>
        <v>0</v>
      </c>
      <c r="F338" s="236">
        <f t="shared" si="8"/>
        <v>4318.949803</v>
      </c>
      <c r="G338" s="238">
        <f t="shared" si="4"/>
        <v>0.07738943884</v>
      </c>
      <c r="H338" s="240" t="str">
        <f t="shared" si="5"/>
        <v>Default standby Charge</v>
      </c>
      <c r="I338" s="182"/>
      <c r="J338" s="182"/>
      <c r="K338" s="11"/>
      <c r="L338" s="182"/>
      <c r="M338" s="182"/>
      <c r="N338" s="182"/>
      <c r="O338" s="182"/>
      <c r="P338" s="11"/>
      <c r="Q338" s="11"/>
      <c r="R338" s="11"/>
      <c r="S338" s="11"/>
      <c r="T338" s="11"/>
      <c r="U338" s="11"/>
      <c r="V338" s="11"/>
      <c r="W338" s="11"/>
      <c r="X338" s="11"/>
      <c r="Y338" s="11"/>
      <c r="Z338" s="11"/>
      <c r="AA338" s="11"/>
    </row>
    <row r="339" ht="15.75" customHeight="1">
      <c r="A339" s="234">
        <f t="shared" si="6"/>
        <v>1264</v>
      </c>
      <c r="B339" s="243" t="str">
        <f t="shared" si="1"/>
        <v>Charge</v>
      </c>
      <c r="C339" s="236">
        <f t="shared" si="2"/>
        <v>0</v>
      </c>
      <c r="D339" s="236">
        <f t="shared" si="3"/>
        <v>0.9775626664</v>
      </c>
      <c r="E339" s="236">
        <f t="shared" si="7"/>
        <v>0</v>
      </c>
      <c r="F339" s="236">
        <f t="shared" si="8"/>
        <v>4319.927365</v>
      </c>
      <c r="G339" s="238">
        <f t="shared" si="4"/>
        <v>0.07740695537</v>
      </c>
      <c r="H339" s="240" t="str">
        <f t="shared" si="5"/>
        <v>Default standby Charge</v>
      </c>
      <c r="I339" s="182"/>
      <c r="J339" s="182"/>
      <c r="K339" s="11"/>
      <c r="L339" s="182"/>
      <c r="M339" s="182"/>
      <c r="N339" s="182"/>
      <c r="O339" s="182"/>
      <c r="P339" s="11"/>
      <c r="Q339" s="11"/>
      <c r="R339" s="11"/>
      <c r="S339" s="11"/>
      <c r="T339" s="11"/>
      <c r="U339" s="11"/>
      <c r="V339" s="11"/>
      <c r="W339" s="11"/>
      <c r="X339" s="11"/>
      <c r="Y339" s="11"/>
      <c r="Z339" s="11"/>
      <c r="AA339" s="11"/>
    </row>
    <row r="340" ht="15.75" customHeight="1">
      <c r="A340" s="234">
        <f t="shared" si="6"/>
        <v>1268</v>
      </c>
      <c r="B340" s="243" t="str">
        <f t="shared" si="1"/>
        <v>Charge</v>
      </c>
      <c r="C340" s="236">
        <f t="shared" si="2"/>
        <v>0</v>
      </c>
      <c r="D340" s="236">
        <f t="shared" si="3"/>
        <v>0.9775626664</v>
      </c>
      <c r="E340" s="236">
        <f t="shared" si="7"/>
        <v>0</v>
      </c>
      <c r="F340" s="236">
        <f t="shared" si="8"/>
        <v>4320.904928</v>
      </c>
      <c r="G340" s="238">
        <f t="shared" si="4"/>
        <v>0.0774244719</v>
      </c>
      <c r="H340" s="240" t="str">
        <f t="shared" si="5"/>
        <v>Default standby Charge</v>
      </c>
      <c r="I340" s="182"/>
      <c r="J340" s="182"/>
      <c r="K340" s="11"/>
      <c r="L340" s="182"/>
      <c r="M340" s="182"/>
      <c r="N340" s="182"/>
      <c r="O340" s="182"/>
      <c r="P340" s="11"/>
      <c r="Q340" s="11"/>
      <c r="R340" s="11"/>
      <c r="S340" s="11"/>
      <c r="T340" s="11"/>
      <c r="U340" s="11"/>
      <c r="V340" s="11"/>
      <c r="W340" s="11"/>
      <c r="X340" s="11"/>
      <c r="Y340" s="11"/>
      <c r="Z340" s="11"/>
      <c r="AA340" s="11"/>
    </row>
    <row r="341" ht="15.75" customHeight="1">
      <c r="A341" s="234">
        <f t="shared" si="6"/>
        <v>1272</v>
      </c>
      <c r="B341" s="243" t="str">
        <f t="shared" si="1"/>
        <v>Charge</v>
      </c>
      <c r="C341" s="236">
        <f t="shared" si="2"/>
        <v>0</v>
      </c>
      <c r="D341" s="236">
        <f t="shared" si="3"/>
        <v>0.9775626664</v>
      </c>
      <c r="E341" s="236">
        <f t="shared" si="7"/>
        <v>0</v>
      </c>
      <c r="F341" s="236">
        <f t="shared" si="8"/>
        <v>4321.882491</v>
      </c>
      <c r="G341" s="238">
        <f t="shared" si="4"/>
        <v>0.07744198844</v>
      </c>
      <c r="H341" s="240" t="str">
        <f t="shared" si="5"/>
        <v>Default standby Charge</v>
      </c>
      <c r="I341" s="182"/>
      <c r="J341" s="182"/>
      <c r="K341" s="11"/>
      <c r="L341" s="182"/>
      <c r="M341" s="182"/>
      <c r="N341" s="182"/>
      <c r="O341" s="182"/>
      <c r="P341" s="11"/>
      <c r="Q341" s="11"/>
      <c r="R341" s="11"/>
      <c r="S341" s="11"/>
      <c r="T341" s="11"/>
      <c r="U341" s="11"/>
      <c r="V341" s="11"/>
      <c r="W341" s="11"/>
      <c r="X341" s="11"/>
      <c r="Y341" s="11"/>
      <c r="Z341" s="11"/>
      <c r="AA341" s="11"/>
    </row>
    <row r="342" ht="15.75" customHeight="1">
      <c r="A342" s="234">
        <f t="shared" si="6"/>
        <v>1276</v>
      </c>
      <c r="B342" s="243" t="str">
        <f t="shared" si="1"/>
        <v>Charge</v>
      </c>
      <c r="C342" s="236">
        <f t="shared" si="2"/>
        <v>0</v>
      </c>
      <c r="D342" s="236">
        <f t="shared" si="3"/>
        <v>0.9775626664</v>
      </c>
      <c r="E342" s="236">
        <f t="shared" si="7"/>
        <v>0</v>
      </c>
      <c r="F342" s="236">
        <f t="shared" si="8"/>
        <v>4322.860053</v>
      </c>
      <c r="G342" s="238">
        <f t="shared" si="4"/>
        <v>0.07745950497</v>
      </c>
      <c r="H342" s="240" t="str">
        <f t="shared" si="5"/>
        <v>Default standby Charge</v>
      </c>
      <c r="I342" s="182"/>
      <c r="J342" s="182"/>
      <c r="K342" s="11"/>
      <c r="L342" s="182"/>
      <c r="M342" s="182"/>
      <c r="N342" s="182"/>
      <c r="O342" s="182"/>
      <c r="P342" s="11"/>
      <c r="Q342" s="11"/>
      <c r="R342" s="11"/>
      <c r="S342" s="11"/>
      <c r="T342" s="11"/>
      <c r="U342" s="11"/>
      <c r="V342" s="11"/>
      <c r="W342" s="11"/>
      <c r="X342" s="11"/>
      <c r="Y342" s="11"/>
      <c r="Z342" s="11"/>
      <c r="AA342" s="11"/>
    </row>
    <row r="343" ht="15.75" customHeight="1">
      <c r="A343" s="234">
        <f t="shared" si="6"/>
        <v>1280</v>
      </c>
      <c r="B343" s="243" t="str">
        <f t="shared" si="1"/>
        <v>Charge</v>
      </c>
      <c r="C343" s="236">
        <f t="shared" si="2"/>
        <v>0</v>
      </c>
      <c r="D343" s="236">
        <f t="shared" si="3"/>
        <v>0.9775626664</v>
      </c>
      <c r="E343" s="236">
        <f t="shared" si="7"/>
        <v>0</v>
      </c>
      <c r="F343" s="236">
        <f t="shared" si="8"/>
        <v>4323.837616</v>
      </c>
      <c r="G343" s="238">
        <f t="shared" si="4"/>
        <v>0.0774770215</v>
      </c>
      <c r="H343" s="240" t="str">
        <f t="shared" si="5"/>
        <v>Default standby Charge</v>
      </c>
      <c r="I343" s="182"/>
      <c r="J343" s="182"/>
      <c r="K343" s="11"/>
      <c r="L343" s="182"/>
      <c r="M343" s="182"/>
      <c r="N343" s="182"/>
      <c r="O343" s="182"/>
      <c r="P343" s="11"/>
      <c r="Q343" s="11"/>
      <c r="R343" s="11"/>
      <c r="S343" s="11"/>
      <c r="T343" s="11"/>
      <c r="U343" s="11"/>
      <c r="V343" s="11"/>
      <c r="W343" s="11"/>
      <c r="X343" s="11"/>
      <c r="Y343" s="11"/>
      <c r="Z343" s="11"/>
      <c r="AA343" s="11"/>
    </row>
    <row r="344" ht="15.75" customHeight="1">
      <c r="A344" s="234">
        <f t="shared" si="6"/>
        <v>1284</v>
      </c>
      <c r="B344" s="243" t="str">
        <f t="shared" si="1"/>
        <v>Charge</v>
      </c>
      <c r="C344" s="236">
        <f t="shared" si="2"/>
        <v>0</v>
      </c>
      <c r="D344" s="236">
        <f t="shared" si="3"/>
        <v>0.9775626664</v>
      </c>
      <c r="E344" s="236">
        <f t="shared" si="7"/>
        <v>0</v>
      </c>
      <c r="F344" s="236">
        <f t="shared" si="8"/>
        <v>4324.815179</v>
      </c>
      <c r="G344" s="238">
        <f t="shared" si="4"/>
        <v>0.07749453803</v>
      </c>
      <c r="H344" s="240" t="str">
        <f t="shared" si="5"/>
        <v>Default standby Charge</v>
      </c>
      <c r="I344" s="182"/>
      <c r="J344" s="182"/>
      <c r="K344" s="11"/>
      <c r="L344" s="182"/>
      <c r="M344" s="182"/>
      <c r="N344" s="182"/>
      <c r="O344" s="182"/>
      <c r="P344" s="11"/>
      <c r="Q344" s="11"/>
      <c r="R344" s="11"/>
      <c r="S344" s="11"/>
      <c r="T344" s="11"/>
      <c r="U344" s="11"/>
      <c r="V344" s="11"/>
      <c r="W344" s="11"/>
      <c r="X344" s="11"/>
      <c r="Y344" s="11"/>
      <c r="Z344" s="11"/>
      <c r="AA344" s="11"/>
    </row>
    <row r="345" ht="15.75" customHeight="1">
      <c r="A345" s="234">
        <f t="shared" si="6"/>
        <v>1288</v>
      </c>
      <c r="B345" s="243" t="str">
        <f t="shared" si="1"/>
        <v>Charge</v>
      </c>
      <c r="C345" s="236">
        <f t="shared" si="2"/>
        <v>0</v>
      </c>
      <c r="D345" s="236">
        <f t="shared" si="3"/>
        <v>0.9775626664</v>
      </c>
      <c r="E345" s="236">
        <f t="shared" si="7"/>
        <v>0</v>
      </c>
      <c r="F345" s="236">
        <f t="shared" si="8"/>
        <v>4325.792741</v>
      </c>
      <c r="G345" s="238">
        <f t="shared" si="4"/>
        <v>0.07751205457</v>
      </c>
      <c r="H345" s="240" t="str">
        <f t="shared" si="5"/>
        <v>Default standby Charge</v>
      </c>
      <c r="I345" s="182"/>
      <c r="J345" s="182"/>
      <c r="K345" s="11"/>
      <c r="L345" s="182"/>
      <c r="M345" s="182"/>
      <c r="N345" s="182"/>
      <c r="O345" s="182"/>
      <c r="P345" s="11"/>
      <c r="Q345" s="11"/>
      <c r="R345" s="11"/>
      <c r="S345" s="11"/>
      <c r="T345" s="11"/>
      <c r="U345" s="11"/>
      <c r="V345" s="11"/>
      <c r="W345" s="11"/>
      <c r="X345" s="11"/>
      <c r="Y345" s="11"/>
      <c r="Z345" s="11"/>
      <c r="AA345" s="11"/>
    </row>
    <row r="346" ht="15.75" customHeight="1">
      <c r="A346" s="234">
        <f t="shared" si="6"/>
        <v>1292</v>
      </c>
      <c r="B346" s="243" t="str">
        <f t="shared" si="1"/>
        <v>Charge</v>
      </c>
      <c r="C346" s="236">
        <f t="shared" si="2"/>
        <v>0</v>
      </c>
      <c r="D346" s="236">
        <f t="shared" si="3"/>
        <v>0.9775626664</v>
      </c>
      <c r="E346" s="236">
        <f t="shared" si="7"/>
        <v>0</v>
      </c>
      <c r="F346" s="236">
        <f t="shared" si="8"/>
        <v>4326.770304</v>
      </c>
      <c r="G346" s="238">
        <f t="shared" si="4"/>
        <v>0.0775295711</v>
      </c>
      <c r="H346" s="240" t="str">
        <f t="shared" si="5"/>
        <v>Default standby Charge</v>
      </c>
      <c r="I346" s="182"/>
      <c r="J346" s="182"/>
      <c r="K346" s="11"/>
      <c r="L346" s="182"/>
      <c r="M346" s="182"/>
      <c r="N346" s="182"/>
      <c r="O346" s="182"/>
      <c r="P346" s="11"/>
      <c r="Q346" s="11"/>
      <c r="R346" s="11"/>
      <c r="S346" s="11"/>
      <c r="T346" s="11"/>
      <c r="U346" s="11"/>
      <c r="V346" s="11"/>
      <c r="W346" s="11"/>
      <c r="X346" s="11"/>
      <c r="Y346" s="11"/>
      <c r="Z346" s="11"/>
      <c r="AA346" s="11"/>
    </row>
    <row r="347" ht="15.75" customHeight="1">
      <c r="A347" s="234">
        <f t="shared" si="6"/>
        <v>1296</v>
      </c>
      <c r="B347" s="243" t="str">
        <f t="shared" si="1"/>
        <v>Charge</v>
      </c>
      <c r="C347" s="236">
        <f t="shared" si="2"/>
        <v>0</v>
      </c>
      <c r="D347" s="236">
        <f t="shared" si="3"/>
        <v>0.9775626664</v>
      </c>
      <c r="E347" s="236">
        <f t="shared" si="7"/>
        <v>0</v>
      </c>
      <c r="F347" s="236">
        <f t="shared" si="8"/>
        <v>4327.747867</v>
      </c>
      <c r="G347" s="238">
        <f t="shared" si="4"/>
        <v>0.07754708763</v>
      </c>
      <c r="H347" s="240" t="str">
        <f t="shared" si="5"/>
        <v>Default standby Charge</v>
      </c>
      <c r="I347" s="182"/>
      <c r="J347" s="182"/>
      <c r="K347" s="11"/>
      <c r="L347" s="182"/>
      <c r="M347" s="182"/>
      <c r="N347" s="182"/>
      <c r="O347" s="182"/>
      <c r="P347" s="11"/>
      <c r="Q347" s="11"/>
      <c r="R347" s="11"/>
      <c r="S347" s="11"/>
      <c r="T347" s="11"/>
      <c r="U347" s="11"/>
      <c r="V347" s="11"/>
      <c r="W347" s="11"/>
      <c r="X347" s="11"/>
      <c r="Y347" s="11"/>
      <c r="Z347" s="11"/>
      <c r="AA347" s="11"/>
    </row>
    <row r="348" ht="15.75" customHeight="1">
      <c r="A348" s="234">
        <f t="shared" si="6"/>
        <v>1300</v>
      </c>
      <c r="B348" s="243" t="str">
        <f t="shared" si="1"/>
        <v>Charge</v>
      </c>
      <c r="C348" s="236">
        <f t="shared" si="2"/>
        <v>0</v>
      </c>
      <c r="D348" s="236">
        <f t="shared" si="3"/>
        <v>0.9775626664</v>
      </c>
      <c r="E348" s="236">
        <f t="shared" si="7"/>
        <v>0</v>
      </c>
      <c r="F348" s="236">
        <f t="shared" si="8"/>
        <v>4328.725429</v>
      </c>
      <c r="G348" s="238">
        <f t="shared" si="4"/>
        <v>0.07756460417</v>
      </c>
      <c r="H348" s="240" t="str">
        <f t="shared" si="5"/>
        <v>Default standby Charge</v>
      </c>
      <c r="I348" s="182"/>
      <c r="J348" s="182"/>
      <c r="K348" s="11"/>
      <c r="L348" s="182"/>
      <c r="M348" s="182"/>
      <c r="N348" s="182"/>
      <c r="O348" s="182"/>
      <c r="P348" s="11"/>
      <c r="Q348" s="11"/>
      <c r="R348" s="11"/>
      <c r="S348" s="11"/>
      <c r="T348" s="11"/>
      <c r="U348" s="11"/>
      <c r="V348" s="11"/>
      <c r="W348" s="11"/>
      <c r="X348" s="11"/>
      <c r="Y348" s="11"/>
      <c r="Z348" s="11"/>
      <c r="AA348" s="11"/>
    </row>
    <row r="349" ht="15.75" customHeight="1">
      <c r="A349" s="234">
        <f t="shared" si="6"/>
        <v>1304</v>
      </c>
      <c r="B349" s="243" t="str">
        <f t="shared" si="1"/>
        <v>Charge</v>
      </c>
      <c r="C349" s="236">
        <f t="shared" si="2"/>
        <v>0</v>
      </c>
      <c r="D349" s="236">
        <f t="shared" si="3"/>
        <v>0.9775626664</v>
      </c>
      <c r="E349" s="236">
        <f t="shared" si="7"/>
        <v>0</v>
      </c>
      <c r="F349" s="236">
        <f t="shared" si="8"/>
        <v>4329.702992</v>
      </c>
      <c r="G349" s="238">
        <f t="shared" si="4"/>
        <v>0.0775821207</v>
      </c>
      <c r="H349" s="240" t="str">
        <f t="shared" si="5"/>
        <v>Default standby Charge</v>
      </c>
      <c r="I349" s="182"/>
      <c r="J349" s="182"/>
      <c r="K349" s="11"/>
      <c r="L349" s="182"/>
      <c r="M349" s="182"/>
      <c r="N349" s="182"/>
      <c r="O349" s="182"/>
      <c r="P349" s="11"/>
      <c r="Q349" s="11"/>
      <c r="R349" s="11"/>
      <c r="S349" s="11"/>
      <c r="T349" s="11"/>
      <c r="U349" s="11"/>
      <c r="V349" s="11"/>
      <c r="W349" s="11"/>
      <c r="X349" s="11"/>
      <c r="Y349" s="11"/>
      <c r="Z349" s="11"/>
      <c r="AA349" s="11"/>
    </row>
    <row r="350" ht="15.75" customHeight="1">
      <c r="A350" s="234">
        <f t="shared" si="6"/>
        <v>1308</v>
      </c>
      <c r="B350" s="243" t="str">
        <f t="shared" si="1"/>
        <v>Charge</v>
      </c>
      <c r="C350" s="236">
        <f t="shared" si="2"/>
        <v>0</v>
      </c>
      <c r="D350" s="236">
        <f t="shared" si="3"/>
        <v>0.9775626664</v>
      </c>
      <c r="E350" s="236">
        <f t="shared" si="7"/>
        <v>0</v>
      </c>
      <c r="F350" s="236">
        <f t="shared" si="8"/>
        <v>4330.680555</v>
      </c>
      <c r="G350" s="238">
        <f t="shared" si="4"/>
        <v>0.07759963723</v>
      </c>
      <c r="H350" s="240" t="str">
        <f t="shared" si="5"/>
        <v>Default standby Charge</v>
      </c>
      <c r="I350" s="182"/>
      <c r="J350" s="182"/>
      <c r="K350" s="11"/>
      <c r="L350" s="182"/>
      <c r="M350" s="182"/>
      <c r="N350" s="182"/>
      <c r="O350" s="182"/>
      <c r="P350" s="11"/>
      <c r="Q350" s="11"/>
      <c r="R350" s="11"/>
      <c r="S350" s="11"/>
      <c r="T350" s="11"/>
      <c r="U350" s="11"/>
      <c r="V350" s="11"/>
      <c r="W350" s="11"/>
      <c r="X350" s="11"/>
      <c r="Y350" s="11"/>
      <c r="Z350" s="11"/>
      <c r="AA350" s="11"/>
    </row>
    <row r="351" ht="15.75" customHeight="1">
      <c r="A351" s="234">
        <f t="shared" si="6"/>
        <v>1312</v>
      </c>
      <c r="B351" s="243" t="str">
        <f t="shared" si="1"/>
        <v>Charge</v>
      </c>
      <c r="C351" s="236">
        <f t="shared" si="2"/>
        <v>0</v>
      </c>
      <c r="D351" s="236">
        <f t="shared" si="3"/>
        <v>0.9775626664</v>
      </c>
      <c r="E351" s="236">
        <f t="shared" si="7"/>
        <v>0</v>
      </c>
      <c r="F351" s="236">
        <f t="shared" si="8"/>
        <v>4331.658117</v>
      </c>
      <c r="G351" s="238">
        <f t="shared" si="4"/>
        <v>0.07761715376</v>
      </c>
      <c r="H351" s="240" t="str">
        <f t="shared" si="5"/>
        <v>Default standby Charge</v>
      </c>
      <c r="I351" s="182"/>
      <c r="J351" s="182"/>
      <c r="K351" s="11"/>
      <c r="L351" s="182"/>
      <c r="M351" s="182"/>
      <c r="N351" s="182"/>
      <c r="O351" s="182"/>
      <c r="P351" s="11"/>
      <c r="Q351" s="11"/>
      <c r="R351" s="11"/>
      <c r="S351" s="11"/>
      <c r="T351" s="11"/>
      <c r="U351" s="11"/>
      <c r="V351" s="11"/>
      <c r="W351" s="11"/>
      <c r="X351" s="11"/>
      <c r="Y351" s="11"/>
      <c r="Z351" s="11"/>
      <c r="AA351" s="11"/>
    </row>
    <row r="352" ht="15.75" customHeight="1">
      <c r="A352" s="234">
        <f t="shared" si="6"/>
        <v>1316</v>
      </c>
      <c r="B352" s="243" t="str">
        <f t="shared" si="1"/>
        <v>Charge</v>
      </c>
      <c r="C352" s="236">
        <f t="shared" si="2"/>
        <v>0</v>
      </c>
      <c r="D352" s="236">
        <f t="shared" si="3"/>
        <v>0.9775626664</v>
      </c>
      <c r="E352" s="236">
        <f t="shared" si="7"/>
        <v>0</v>
      </c>
      <c r="F352" s="236">
        <f t="shared" si="8"/>
        <v>4332.63568</v>
      </c>
      <c r="G352" s="238">
        <f t="shared" si="4"/>
        <v>0.0776346703</v>
      </c>
      <c r="H352" s="240" t="str">
        <f t="shared" si="5"/>
        <v>Default standby Charge</v>
      </c>
      <c r="I352" s="182"/>
      <c r="J352" s="182"/>
      <c r="K352" s="11"/>
      <c r="L352" s="182"/>
      <c r="M352" s="182"/>
      <c r="N352" s="182"/>
      <c r="O352" s="182"/>
      <c r="P352" s="11"/>
      <c r="Q352" s="11"/>
      <c r="R352" s="11"/>
      <c r="S352" s="11"/>
      <c r="T352" s="11"/>
      <c r="U352" s="11"/>
      <c r="V352" s="11"/>
      <c r="W352" s="11"/>
      <c r="X352" s="11"/>
      <c r="Y352" s="11"/>
      <c r="Z352" s="11"/>
      <c r="AA352" s="11"/>
    </row>
    <row r="353" ht="15.75" customHeight="1">
      <c r="A353" s="234">
        <f t="shared" si="6"/>
        <v>1320</v>
      </c>
      <c r="B353" s="243" t="str">
        <f t="shared" si="1"/>
        <v>Charge</v>
      </c>
      <c r="C353" s="236">
        <f t="shared" si="2"/>
        <v>0</v>
      </c>
      <c r="D353" s="236">
        <f t="shared" si="3"/>
        <v>0.9775626664</v>
      </c>
      <c r="E353" s="236">
        <f t="shared" si="7"/>
        <v>0</v>
      </c>
      <c r="F353" s="236">
        <f t="shared" si="8"/>
        <v>4333.613243</v>
      </c>
      <c r="G353" s="238">
        <f t="shared" si="4"/>
        <v>0.07765218683</v>
      </c>
      <c r="H353" s="240" t="str">
        <f t="shared" si="5"/>
        <v>Default standby Charge</v>
      </c>
      <c r="I353" s="182"/>
      <c r="J353" s="182"/>
      <c r="K353" s="11"/>
      <c r="L353" s="182"/>
      <c r="M353" s="182"/>
      <c r="N353" s="182"/>
      <c r="O353" s="182"/>
      <c r="P353" s="11"/>
      <c r="Q353" s="11"/>
      <c r="R353" s="11"/>
      <c r="S353" s="11"/>
      <c r="T353" s="11"/>
      <c r="U353" s="11"/>
      <c r="V353" s="11"/>
      <c r="W353" s="11"/>
      <c r="X353" s="11"/>
      <c r="Y353" s="11"/>
      <c r="Z353" s="11"/>
      <c r="AA353" s="11"/>
    </row>
    <row r="354" ht="15.75" customHeight="1">
      <c r="A354" s="234">
        <f t="shared" si="6"/>
        <v>1324</v>
      </c>
      <c r="B354" s="243" t="str">
        <f t="shared" si="1"/>
        <v>Charge</v>
      </c>
      <c r="C354" s="236">
        <f t="shared" si="2"/>
        <v>0</v>
      </c>
      <c r="D354" s="236">
        <f t="shared" si="3"/>
        <v>0.9775626664</v>
      </c>
      <c r="E354" s="236">
        <f t="shared" si="7"/>
        <v>0</v>
      </c>
      <c r="F354" s="236">
        <f t="shared" si="8"/>
        <v>4334.590805</v>
      </c>
      <c r="G354" s="238">
        <f t="shared" si="4"/>
        <v>0.07766970336</v>
      </c>
      <c r="H354" s="240" t="str">
        <f t="shared" si="5"/>
        <v>Default standby Charge</v>
      </c>
      <c r="I354" s="182"/>
      <c r="J354" s="182"/>
      <c r="K354" s="11"/>
      <c r="L354" s="182"/>
      <c r="M354" s="182"/>
      <c r="N354" s="182"/>
      <c r="O354" s="182"/>
      <c r="P354" s="11"/>
      <c r="Q354" s="11"/>
      <c r="R354" s="11"/>
      <c r="S354" s="11"/>
      <c r="T354" s="11"/>
      <c r="U354" s="11"/>
      <c r="V354" s="11"/>
      <c r="W354" s="11"/>
      <c r="X354" s="11"/>
      <c r="Y354" s="11"/>
      <c r="Z354" s="11"/>
      <c r="AA354" s="11"/>
    </row>
    <row r="355" ht="15.75" customHeight="1">
      <c r="A355" s="234">
        <f t="shared" si="6"/>
        <v>1328</v>
      </c>
      <c r="B355" s="243" t="str">
        <f t="shared" si="1"/>
        <v>Charge</v>
      </c>
      <c r="C355" s="236">
        <f t="shared" si="2"/>
        <v>0</v>
      </c>
      <c r="D355" s="236">
        <f t="shared" si="3"/>
        <v>0.9775626664</v>
      </c>
      <c r="E355" s="236">
        <f t="shared" si="7"/>
        <v>0</v>
      </c>
      <c r="F355" s="236">
        <f t="shared" si="8"/>
        <v>4335.568368</v>
      </c>
      <c r="G355" s="238">
        <f t="shared" si="4"/>
        <v>0.0776872199</v>
      </c>
      <c r="H355" s="240" t="str">
        <f t="shared" si="5"/>
        <v>Default standby Charge</v>
      </c>
      <c r="I355" s="182"/>
      <c r="J355" s="182"/>
      <c r="K355" s="11"/>
      <c r="L355" s="182"/>
      <c r="M355" s="182"/>
      <c r="N355" s="182"/>
      <c r="O355" s="182"/>
      <c r="P355" s="11"/>
      <c r="Q355" s="11"/>
      <c r="R355" s="11"/>
      <c r="S355" s="11"/>
      <c r="T355" s="11"/>
      <c r="U355" s="11"/>
      <c r="V355" s="11"/>
      <c r="W355" s="11"/>
      <c r="X355" s="11"/>
      <c r="Y355" s="11"/>
      <c r="Z355" s="11"/>
      <c r="AA355" s="11"/>
    </row>
    <row r="356" ht="15.75" customHeight="1">
      <c r="A356" s="234">
        <f t="shared" si="6"/>
        <v>1332</v>
      </c>
      <c r="B356" s="243" t="str">
        <f t="shared" si="1"/>
        <v>Charge</v>
      </c>
      <c r="C356" s="236">
        <f t="shared" si="2"/>
        <v>0</v>
      </c>
      <c r="D356" s="236">
        <f t="shared" si="3"/>
        <v>0.9775626664</v>
      </c>
      <c r="E356" s="236">
        <f t="shared" si="7"/>
        <v>0</v>
      </c>
      <c r="F356" s="236">
        <f t="shared" si="8"/>
        <v>4336.545931</v>
      </c>
      <c r="G356" s="238">
        <f t="shared" si="4"/>
        <v>0.07770473643</v>
      </c>
      <c r="H356" s="240" t="str">
        <f t="shared" si="5"/>
        <v>Default standby Charge</v>
      </c>
      <c r="I356" s="182"/>
      <c r="J356" s="182"/>
      <c r="K356" s="11"/>
      <c r="L356" s="182"/>
      <c r="M356" s="182"/>
      <c r="N356" s="182"/>
      <c r="O356" s="182"/>
      <c r="P356" s="11"/>
      <c r="Q356" s="11"/>
      <c r="R356" s="11"/>
      <c r="S356" s="11"/>
      <c r="T356" s="11"/>
      <c r="U356" s="11"/>
      <c r="V356" s="11"/>
      <c r="W356" s="11"/>
      <c r="X356" s="11"/>
      <c r="Y356" s="11"/>
      <c r="Z356" s="11"/>
      <c r="AA356" s="11"/>
    </row>
    <row r="357" ht="15.75" customHeight="1">
      <c r="A357" s="234">
        <f t="shared" si="6"/>
        <v>1336</v>
      </c>
      <c r="B357" s="243" t="str">
        <f t="shared" si="1"/>
        <v>Charge</v>
      </c>
      <c r="C357" s="236">
        <f t="shared" si="2"/>
        <v>0</v>
      </c>
      <c r="D357" s="236">
        <f t="shared" si="3"/>
        <v>0.9775626664</v>
      </c>
      <c r="E357" s="236">
        <f t="shared" si="7"/>
        <v>0</v>
      </c>
      <c r="F357" s="236">
        <f t="shared" si="8"/>
        <v>4337.523493</v>
      </c>
      <c r="G357" s="238">
        <f t="shared" si="4"/>
        <v>0.07772225296</v>
      </c>
      <c r="H357" s="240" t="str">
        <f t="shared" si="5"/>
        <v>Default standby Charge</v>
      </c>
      <c r="I357" s="182"/>
      <c r="J357" s="182"/>
      <c r="K357" s="11"/>
      <c r="L357" s="182"/>
      <c r="M357" s="182"/>
      <c r="N357" s="182"/>
      <c r="O357" s="182"/>
      <c r="P357" s="11"/>
      <c r="Q357" s="11"/>
      <c r="R357" s="11"/>
      <c r="S357" s="11"/>
      <c r="T357" s="11"/>
      <c r="U357" s="11"/>
      <c r="V357" s="11"/>
      <c r="W357" s="11"/>
      <c r="X357" s="11"/>
      <c r="Y357" s="11"/>
      <c r="Z357" s="11"/>
      <c r="AA357" s="11"/>
    </row>
    <row r="358" ht="15.75" customHeight="1">
      <c r="A358" s="234">
        <f t="shared" si="6"/>
        <v>1340</v>
      </c>
      <c r="B358" s="243" t="str">
        <f t="shared" si="1"/>
        <v>Charge</v>
      </c>
      <c r="C358" s="236">
        <f t="shared" si="2"/>
        <v>0</v>
      </c>
      <c r="D358" s="236">
        <f t="shared" si="3"/>
        <v>0.9775626664</v>
      </c>
      <c r="E358" s="236">
        <f t="shared" si="7"/>
        <v>0</v>
      </c>
      <c r="F358" s="236">
        <f t="shared" si="8"/>
        <v>4338.501056</v>
      </c>
      <c r="G358" s="238">
        <f t="shared" si="4"/>
        <v>0.07773976949</v>
      </c>
      <c r="H358" s="240" t="str">
        <f t="shared" si="5"/>
        <v>Default standby Charge</v>
      </c>
      <c r="I358" s="182"/>
      <c r="J358" s="182"/>
      <c r="K358" s="11"/>
      <c r="L358" s="182"/>
      <c r="M358" s="182"/>
      <c r="N358" s="182"/>
      <c r="O358" s="182"/>
      <c r="P358" s="11"/>
      <c r="Q358" s="11"/>
      <c r="R358" s="11"/>
      <c r="S358" s="11"/>
      <c r="T358" s="11"/>
      <c r="U358" s="11"/>
      <c r="V358" s="11"/>
      <c r="W358" s="11"/>
      <c r="X358" s="11"/>
      <c r="Y358" s="11"/>
      <c r="Z358" s="11"/>
      <c r="AA358" s="11"/>
    </row>
    <row r="359" ht="15.75" customHeight="1">
      <c r="A359" s="234">
        <f t="shared" si="6"/>
        <v>1344</v>
      </c>
      <c r="B359" s="243" t="str">
        <f t="shared" si="1"/>
        <v>Charge</v>
      </c>
      <c r="C359" s="236">
        <f t="shared" si="2"/>
        <v>0</v>
      </c>
      <c r="D359" s="236">
        <f t="shared" si="3"/>
        <v>0.9775626664</v>
      </c>
      <c r="E359" s="236">
        <f t="shared" si="7"/>
        <v>0</v>
      </c>
      <c r="F359" s="236">
        <f t="shared" si="8"/>
        <v>4339.478619</v>
      </c>
      <c r="G359" s="238">
        <f t="shared" si="4"/>
        <v>0.07775728603</v>
      </c>
      <c r="H359" s="240" t="str">
        <f t="shared" si="5"/>
        <v>Default standby Charge</v>
      </c>
      <c r="I359" s="182"/>
      <c r="J359" s="182"/>
      <c r="K359" s="11"/>
      <c r="L359" s="182"/>
      <c r="M359" s="182"/>
      <c r="N359" s="182"/>
      <c r="O359" s="182"/>
      <c r="P359" s="11"/>
      <c r="Q359" s="11"/>
      <c r="R359" s="11"/>
      <c r="S359" s="11"/>
      <c r="T359" s="11"/>
      <c r="U359" s="11"/>
      <c r="V359" s="11"/>
      <c r="W359" s="11"/>
      <c r="X359" s="11"/>
      <c r="Y359" s="11"/>
      <c r="Z359" s="11"/>
      <c r="AA359" s="11"/>
    </row>
    <row r="360" ht="15.75" customHeight="1">
      <c r="A360" s="234">
        <f t="shared" si="6"/>
        <v>1348</v>
      </c>
      <c r="B360" s="243" t="str">
        <f t="shared" si="1"/>
        <v>Charge</v>
      </c>
      <c r="C360" s="236">
        <f t="shared" si="2"/>
        <v>0</v>
      </c>
      <c r="D360" s="236">
        <f t="shared" si="3"/>
        <v>0.9775626664</v>
      </c>
      <c r="E360" s="236">
        <f t="shared" si="7"/>
        <v>0</v>
      </c>
      <c r="F360" s="236">
        <f t="shared" si="8"/>
        <v>4340.456181</v>
      </c>
      <c r="G360" s="238">
        <f t="shared" si="4"/>
        <v>0.07777480256</v>
      </c>
      <c r="H360" s="240" t="str">
        <f t="shared" si="5"/>
        <v>Default standby Charge</v>
      </c>
      <c r="I360" s="182"/>
      <c r="J360" s="182"/>
      <c r="K360" s="11"/>
      <c r="L360" s="182"/>
      <c r="M360" s="182"/>
      <c r="N360" s="182"/>
      <c r="O360" s="182"/>
      <c r="P360" s="11"/>
      <c r="Q360" s="11"/>
      <c r="R360" s="11"/>
      <c r="S360" s="11"/>
      <c r="T360" s="11"/>
      <c r="U360" s="11"/>
      <c r="V360" s="11"/>
      <c r="W360" s="11"/>
      <c r="X360" s="11"/>
      <c r="Y360" s="11"/>
      <c r="Z360" s="11"/>
      <c r="AA360" s="11"/>
    </row>
    <row r="361" ht="15.75" customHeight="1">
      <c r="A361" s="234">
        <f t="shared" si="6"/>
        <v>1352</v>
      </c>
      <c r="B361" s="243" t="str">
        <f t="shared" si="1"/>
        <v>Charge</v>
      </c>
      <c r="C361" s="236">
        <f t="shared" si="2"/>
        <v>0</v>
      </c>
      <c r="D361" s="236">
        <f t="shared" si="3"/>
        <v>0.9775626664</v>
      </c>
      <c r="E361" s="236">
        <f t="shared" si="7"/>
        <v>0</v>
      </c>
      <c r="F361" s="236">
        <f t="shared" si="8"/>
        <v>4341.433744</v>
      </c>
      <c r="G361" s="238">
        <f t="shared" si="4"/>
        <v>0.07779231909</v>
      </c>
      <c r="H361" s="240" t="str">
        <f t="shared" si="5"/>
        <v>Default standby Charge</v>
      </c>
      <c r="I361" s="182"/>
      <c r="J361" s="182"/>
      <c r="K361" s="11"/>
      <c r="L361" s="182"/>
      <c r="M361" s="182"/>
      <c r="N361" s="182"/>
      <c r="O361" s="182"/>
      <c r="P361" s="11"/>
      <c r="Q361" s="11"/>
      <c r="R361" s="11"/>
      <c r="S361" s="11"/>
      <c r="T361" s="11"/>
      <c r="U361" s="11"/>
      <c r="V361" s="11"/>
      <c r="W361" s="11"/>
      <c r="X361" s="11"/>
      <c r="Y361" s="11"/>
      <c r="Z361" s="11"/>
      <c r="AA361" s="11"/>
    </row>
    <row r="362" ht="15.75" customHeight="1">
      <c r="A362" s="234">
        <f t="shared" si="6"/>
        <v>1356</v>
      </c>
      <c r="B362" s="243" t="str">
        <f t="shared" si="1"/>
        <v>Charge</v>
      </c>
      <c r="C362" s="236">
        <f t="shared" si="2"/>
        <v>0</v>
      </c>
      <c r="D362" s="236">
        <f t="shared" si="3"/>
        <v>0.9775626664</v>
      </c>
      <c r="E362" s="236">
        <f t="shared" si="7"/>
        <v>0</v>
      </c>
      <c r="F362" s="236">
        <f t="shared" si="8"/>
        <v>4342.411307</v>
      </c>
      <c r="G362" s="238">
        <f t="shared" si="4"/>
        <v>0.07780983563</v>
      </c>
      <c r="H362" s="240" t="str">
        <f t="shared" si="5"/>
        <v>Default standby Charge</v>
      </c>
      <c r="I362" s="182"/>
      <c r="J362" s="182"/>
      <c r="K362" s="11"/>
      <c r="L362" s="182"/>
      <c r="M362" s="182"/>
      <c r="N362" s="182"/>
      <c r="O362" s="182"/>
      <c r="P362" s="11"/>
      <c r="Q362" s="11"/>
      <c r="R362" s="11"/>
      <c r="S362" s="11"/>
      <c r="T362" s="11"/>
      <c r="U362" s="11"/>
      <c r="V362" s="11"/>
      <c r="W362" s="11"/>
      <c r="X362" s="11"/>
      <c r="Y362" s="11"/>
      <c r="Z362" s="11"/>
      <c r="AA362" s="11"/>
    </row>
    <row r="363" ht="15.75" customHeight="1">
      <c r="A363" s="234">
        <f t="shared" si="6"/>
        <v>1360</v>
      </c>
      <c r="B363" s="243" t="str">
        <f t="shared" si="1"/>
        <v>Charge</v>
      </c>
      <c r="C363" s="236">
        <f t="shared" si="2"/>
        <v>0</v>
      </c>
      <c r="D363" s="236">
        <f t="shared" si="3"/>
        <v>0.9775626664</v>
      </c>
      <c r="E363" s="236">
        <f t="shared" si="7"/>
        <v>0</v>
      </c>
      <c r="F363" s="236">
        <f t="shared" si="8"/>
        <v>4343.388869</v>
      </c>
      <c r="G363" s="238">
        <f t="shared" si="4"/>
        <v>0.07782735216</v>
      </c>
      <c r="H363" s="240" t="str">
        <f t="shared" si="5"/>
        <v>Default standby Charge</v>
      </c>
      <c r="I363" s="182"/>
      <c r="J363" s="182"/>
      <c r="K363" s="11"/>
      <c r="L363" s="182"/>
      <c r="M363" s="182"/>
      <c r="N363" s="182"/>
      <c r="O363" s="182"/>
      <c r="P363" s="11"/>
      <c r="Q363" s="11"/>
      <c r="R363" s="11"/>
      <c r="S363" s="11"/>
      <c r="T363" s="11"/>
      <c r="U363" s="11"/>
      <c r="V363" s="11"/>
      <c r="W363" s="11"/>
      <c r="X363" s="11"/>
      <c r="Y363" s="11"/>
      <c r="Z363" s="11"/>
      <c r="AA363" s="11"/>
    </row>
    <row r="364" ht="15.75" customHeight="1">
      <c r="A364" s="234">
        <f t="shared" si="6"/>
        <v>1364</v>
      </c>
      <c r="B364" s="243" t="str">
        <f t="shared" si="1"/>
        <v>Charge</v>
      </c>
      <c r="C364" s="236">
        <f t="shared" si="2"/>
        <v>0</v>
      </c>
      <c r="D364" s="236">
        <f t="shared" si="3"/>
        <v>0.9775626664</v>
      </c>
      <c r="E364" s="236">
        <f t="shared" si="7"/>
        <v>0</v>
      </c>
      <c r="F364" s="236">
        <f t="shared" si="8"/>
        <v>4344.366432</v>
      </c>
      <c r="G364" s="238">
        <f t="shared" si="4"/>
        <v>0.07784486869</v>
      </c>
      <c r="H364" s="240" t="str">
        <f t="shared" si="5"/>
        <v>Default standby Charge</v>
      </c>
      <c r="I364" s="182"/>
      <c r="J364" s="182"/>
      <c r="K364" s="11"/>
      <c r="L364" s="182"/>
      <c r="M364" s="182"/>
      <c r="N364" s="182"/>
      <c r="O364" s="182"/>
      <c r="P364" s="11"/>
      <c r="Q364" s="11"/>
      <c r="R364" s="11"/>
      <c r="S364" s="11"/>
      <c r="T364" s="11"/>
      <c r="U364" s="11"/>
      <c r="V364" s="11"/>
      <c r="W364" s="11"/>
      <c r="X364" s="11"/>
      <c r="Y364" s="11"/>
      <c r="Z364" s="11"/>
      <c r="AA364" s="11"/>
    </row>
    <row r="365" ht="15.75" customHeight="1">
      <c r="A365" s="234">
        <f t="shared" si="6"/>
        <v>1368</v>
      </c>
      <c r="B365" s="243" t="str">
        <f t="shared" si="1"/>
        <v>Charge</v>
      </c>
      <c r="C365" s="236">
        <f t="shared" si="2"/>
        <v>0</v>
      </c>
      <c r="D365" s="236">
        <f t="shared" si="3"/>
        <v>0.9775626664</v>
      </c>
      <c r="E365" s="236">
        <f t="shared" si="7"/>
        <v>0</v>
      </c>
      <c r="F365" s="236">
        <f t="shared" si="8"/>
        <v>4345.343995</v>
      </c>
      <c r="G365" s="238">
        <f t="shared" si="4"/>
        <v>0.07786238522</v>
      </c>
      <c r="H365" s="240" t="str">
        <f t="shared" si="5"/>
        <v>Default standby Charge</v>
      </c>
      <c r="I365" s="182"/>
      <c r="J365" s="182"/>
      <c r="K365" s="11"/>
      <c r="L365" s="182"/>
      <c r="M365" s="182"/>
      <c r="N365" s="182"/>
      <c r="O365" s="182"/>
      <c r="P365" s="11"/>
      <c r="Q365" s="11"/>
      <c r="R365" s="11"/>
      <c r="S365" s="11"/>
      <c r="T365" s="11"/>
      <c r="U365" s="11"/>
      <c r="V365" s="11"/>
      <c r="W365" s="11"/>
      <c r="X365" s="11"/>
      <c r="Y365" s="11"/>
      <c r="Z365" s="11"/>
      <c r="AA365" s="11"/>
    </row>
    <row r="366" ht="15.75" customHeight="1">
      <c r="A366" s="234">
        <f t="shared" si="6"/>
        <v>1372</v>
      </c>
      <c r="B366" s="243" t="str">
        <f t="shared" si="1"/>
        <v>Charge</v>
      </c>
      <c r="C366" s="236">
        <f t="shared" si="2"/>
        <v>0</v>
      </c>
      <c r="D366" s="236">
        <f t="shared" si="3"/>
        <v>0.9775626664</v>
      </c>
      <c r="E366" s="236">
        <f t="shared" si="7"/>
        <v>0</v>
      </c>
      <c r="F366" s="236">
        <f t="shared" si="8"/>
        <v>4346.321557</v>
      </c>
      <c r="G366" s="238">
        <f t="shared" si="4"/>
        <v>0.07787990176</v>
      </c>
      <c r="H366" s="240" t="str">
        <f t="shared" si="5"/>
        <v>Default standby Charge</v>
      </c>
      <c r="I366" s="182"/>
      <c r="J366" s="182"/>
      <c r="K366" s="11"/>
      <c r="L366" s="182"/>
      <c r="M366" s="182"/>
      <c r="N366" s="182"/>
      <c r="O366" s="182"/>
      <c r="P366" s="11"/>
      <c r="Q366" s="11"/>
      <c r="R366" s="11"/>
      <c r="S366" s="11"/>
      <c r="T366" s="11"/>
      <c r="U366" s="11"/>
      <c r="V366" s="11"/>
      <c r="W366" s="11"/>
      <c r="X366" s="11"/>
      <c r="Y366" s="11"/>
      <c r="Z366" s="11"/>
      <c r="AA366" s="11"/>
    </row>
    <row r="367" ht="15.75" customHeight="1">
      <c r="A367" s="234">
        <f t="shared" si="6"/>
        <v>1376</v>
      </c>
      <c r="B367" s="243" t="str">
        <f t="shared" si="1"/>
        <v>Charge</v>
      </c>
      <c r="C367" s="236">
        <f t="shared" si="2"/>
        <v>0</v>
      </c>
      <c r="D367" s="236">
        <f t="shared" si="3"/>
        <v>0.9775626664</v>
      </c>
      <c r="E367" s="236">
        <f t="shared" si="7"/>
        <v>0</v>
      </c>
      <c r="F367" s="236">
        <f t="shared" si="8"/>
        <v>4347.29912</v>
      </c>
      <c r="G367" s="238">
        <f t="shared" si="4"/>
        <v>0.07789741829</v>
      </c>
      <c r="H367" s="240" t="str">
        <f t="shared" si="5"/>
        <v>Default standby Charge</v>
      </c>
      <c r="I367" s="182"/>
      <c r="J367" s="182"/>
      <c r="K367" s="11"/>
      <c r="L367" s="182"/>
      <c r="M367" s="182"/>
      <c r="N367" s="182"/>
      <c r="O367" s="182"/>
      <c r="P367" s="11"/>
      <c r="Q367" s="11"/>
      <c r="R367" s="11"/>
      <c r="S367" s="11"/>
      <c r="T367" s="11"/>
      <c r="U367" s="11"/>
      <c r="V367" s="11"/>
      <c r="W367" s="11"/>
      <c r="X367" s="11"/>
      <c r="Y367" s="11"/>
      <c r="Z367" s="11"/>
      <c r="AA367" s="11"/>
    </row>
    <row r="368" ht="15.75" customHeight="1">
      <c r="A368" s="234">
        <f t="shared" si="6"/>
        <v>1380</v>
      </c>
      <c r="B368" s="243" t="str">
        <f t="shared" si="1"/>
        <v>Charge</v>
      </c>
      <c r="C368" s="236">
        <f t="shared" si="2"/>
        <v>0</v>
      </c>
      <c r="D368" s="236">
        <f t="shared" si="3"/>
        <v>0.9775626664</v>
      </c>
      <c r="E368" s="236">
        <f t="shared" si="7"/>
        <v>0</v>
      </c>
      <c r="F368" s="236">
        <f t="shared" si="8"/>
        <v>4348.276683</v>
      </c>
      <c r="G368" s="238">
        <f t="shared" si="4"/>
        <v>0.07791493482</v>
      </c>
      <c r="H368" s="240" t="str">
        <f t="shared" si="5"/>
        <v>Default standby Charge</v>
      </c>
      <c r="I368" s="182"/>
      <c r="J368" s="182"/>
      <c r="K368" s="11"/>
      <c r="L368" s="182"/>
      <c r="M368" s="182"/>
      <c r="N368" s="182"/>
      <c r="O368" s="182"/>
      <c r="P368" s="11"/>
      <c r="Q368" s="11"/>
      <c r="R368" s="11"/>
      <c r="S368" s="11"/>
      <c r="T368" s="11"/>
      <c r="U368" s="11"/>
      <c r="V368" s="11"/>
      <c r="W368" s="11"/>
      <c r="X368" s="11"/>
      <c r="Y368" s="11"/>
      <c r="Z368" s="11"/>
      <c r="AA368" s="11"/>
    </row>
    <row r="369" ht="15.75" customHeight="1">
      <c r="A369" s="234">
        <f t="shared" si="6"/>
        <v>1384</v>
      </c>
      <c r="B369" s="243" t="str">
        <f t="shared" si="1"/>
        <v>Charge</v>
      </c>
      <c r="C369" s="236">
        <f t="shared" si="2"/>
        <v>0</v>
      </c>
      <c r="D369" s="236">
        <f t="shared" si="3"/>
        <v>0.9775626664</v>
      </c>
      <c r="E369" s="236">
        <f t="shared" si="7"/>
        <v>0</v>
      </c>
      <c r="F369" s="236">
        <f t="shared" si="8"/>
        <v>4349.254245</v>
      </c>
      <c r="G369" s="238">
        <f t="shared" si="4"/>
        <v>0.07793245136</v>
      </c>
      <c r="H369" s="240" t="str">
        <f t="shared" si="5"/>
        <v>Default standby Charge</v>
      </c>
      <c r="I369" s="182"/>
      <c r="J369" s="182"/>
      <c r="K369" s="11"/>
      <c r="L369" s="182"/>
      <c r="M369" s="182"/>
      <c r="N369" s="182"/>
      <c r="O369" s="182"/>
      <c r="P369" s="11"/>
      <c r="Q369" s="11"/>
      <c r="R369" s="11"/>
      <c r="S369" s="11"/>
      <c r="T369" s="11"/>
      <c r="U369" s="11"/>
      <c r="V369" s="11"/>
      <c r="W369" s="11"/>
      <c r="X369" s="11"/>
      <c r="Y369" s="11"/>
      <c r="Z369" s="11"/>
      <c r="AA369" s="11"/>
    </row>
    <row r="370" ht="15.75" customHeight="1">
      <c r="A370" s="234">
        <f t="shared" si="6"/>
        <v>1388</v>
      </c>
      <c r="B370" s="243" t="str">
        <f t="shared" si="1"/>
        <v>Charge</v>
      </c>
      <c r="C370" s="236">
        <f t="shared" si="2"/>
        <v>0</v>
      </c>
      <c r="D370" s="236">
        <f t="shared" si="3"/>
        <v>0.9775626664</v>
      </c>
      <c r="E370" s="236">
        <f t="shared" si="7"/>
        <v>0</v>
      </c>
      <c r="F370" s="236">
        <f t="shared" si="8"/>
        <v>4350.231808</v>
      </c>
      <c r="G370" s="238">
        <f t="shared" si="4"/>
        <v>0.07794996789</v>
      </c>
      <c r="H370" s="240" t="str">
        <f t="shared" si="5"/>
        <v>Default standby Charge</v>
      </c>
      <c r="I370" s="182"/>
      <c r="J370" s="182"/>
      <c r="K370" s="11"/>
      <c r="L370" s="182"/>
      <c r="M370" s="182"/>
      <c r="N370" s="182"/>
      <c r="O370" s="182"/>
      <c r="P370" s="11"/>
      <c r="Q370" s="11"/>
      <c r="R370" s="11"/>
      <c r="S370" s="11"/>
      <c r="T370" s="11"/>
      <c r="U370" s="11"/>
      <c r="V370" s="11"/>
      <c r="W370" s="11"/>
      <c r="X370" s="11"/>
      <c r="Y370" s="11"/>
      <c r="Z370" s="11"/>
      <c r="AA370" s="11"/>
    </row>
    <row r="371" ht="15.75" customHeight="1">
      <c r="A371" s="234">
        <f t="shared" si="6"/>
        <v>1392</v>
      </c>
      <c r="B371" s="243" t="str">
        <f t="shared" si="1"/>
        <v>Charge</v>
      </c>
      <c r="C371" s="236">
        <f t="shared" si="2"/>
        <v>0</v>
      </c>
      <c r="D371" s="236">
        <f t="shared" si="3"/>
        <v>0.9775626664</v>
      </c>
      <c r="E371" s="236">
        <f t="shared" si="7"/>
        <v>0</v>
      </c>
      <c r="F371" s="236">
        <f t="shared" si="8"/>
        <v>4351.209371</v>
      </c>
      <c r="G371" s="238">
        <f t="shared" si="4"/>
        <v>0.07796748442</v>
      </c>
      <c r="H371" s="240" t="str">
        <f t="shared" si="5"/>
        <v>Default standby Charge</v>
      </c>
      <c r="I371" s="182"/>
      <c r="J371" s="182"/>
      <c r="K371" s="11"/>
      <c r="L371" s="182"/>
      <c r="M371" s="182"/>
      <c r="N371" s="182"/>
      <c r="O371" s="182"/>
      <c r="P371" s="11"/>
      <c r="Q371" s="11"/>
      <c r="R371" s="11"/>
      <c r="S371" s="11"/>
      <c r="T371" s="11"/>
      <c r="U371" s="11"/>
      <c r="V371" s="11"/>
      <c r="W371" s="11"/>
      <c r="X371" s="11"/>
      <c r="Y371" s="11"/>
      <c r="Z371" s="11"/>
      <c r="AA371" s="11"/>
    </row>
    <row r="372" ht="15.75" customHeight="1">
      <c r="A372" s="234">
        <f t="shared" si="6"/>
        <v>1396</v>
      </c>
      <c r="B372" s="243" t="str">
        <f t="shared" si="1"/>
        <v>Charge</v>
      </c>
      <c r="C372" s="236">
        <f t="shared" si="2"/>
        <v>0</v>
      </c>
      <c r="D372" s="236">
        <f t="shared" si="3"/>
        <v>0.9775626664</v>
      </c>
      <c r="E372" s="236">
        <f t="shared" si="7"/>
        <v>0</v>
      </c>
      <c r="F372" s="236">
        <f t="shared" si="8"/>
        <v>4352.186933</v>
      </c>
      <c r="G372" s="238">
        <f t="shared" si="4"/>
        <v>0.07798500095</v>
      </c>
      <c r="H372" s="240" t="str">
        <f t="shared" si="5"/>
        <v>Default standby Charge</v>
      </c>
      <c r="I372" s="182"/>
      <c r="J372" s="182"/>
      <c r="K372" s="11"/>
      <c r="L372" s="182"/>
      <c r="M372" s="182"/>
      <c r="N372" s="182"/>
      <c r="O372" s="182"/>
      <c r="P372" s="11"/>
      <c r="Q372" s="11"/>
      <c r="R372" s="11"/>
      <c r="S372" s="11"/>
      <c r="T372" s="11"/>
      <c r="U372" s="11"/>
      <c r="V372" s="11"/>
      <c r="W372" s="11"/>
      <c r="X372" s="11"/>
      <c r="Y372" s="11"/>
      <c r="Z372" s="11"/>
      <c r="AA372" s="11"/>
    </row>
    <row r="373" ht="15.75" customHeight="1">
      <c r="A373" s="234">
        <f t="shared" si="6"/>
        <v>1400</v>
      </c>
      <c r="B373" s="243" t="str">
        <f t="shared" si="1"/>
        <v>Charge</v>
      </c>
      <c r="C373" s="236">
        <f t="shared" si="2"/>
        <v>0</v>
      </c>
      <c r="D373" s="236">
        <f t="shared" si="3"/>
        <v>0.9775626664</v>
      </c>
      <c r="E373" s="236">
        <f t="shared" si="7"/>
        <v>0</v>
      </c>
      <c r="F373" s="236">
        <f t="shared" si="8"/>
        <v>4353.164496</v>
      </c>
      <c r="G373" s="238">
        <f t="shared" si="4"/>
        <v>0.07800251749</v>
      </c>
      <c r="H373" s="240" t="str">
        <f t="shared" si="5"/>
        <v>Default standby Charge</v>
      </c>
      <c r="I373" s="182"/>
      <c r="J373" s="182"/>
      <c r="K373" s="11"/>
      <c r="L373" s="182"/>
      <c r="M373" s="182"/>
      <c r="N373" s="182"/>
      <c r="O373" s="182"/>
      <c r="P373" s="11"/>
      <c r="Q373" s="11"/>
      <c r="R373" s="11"/>
      <c r="S373" s="11"/>
      <c r="T373" s="11"/>
      <c r="U373" s="11"/>
      <c r="V373" s="11"/>
      <c r="W373" s="11"/>
      <c r="X373" s="11"/>
      <c r="Y373" s="11"/>
      <c r="Z373" s="11"/>
      <c r="AA373" s="11"/>
    </row>
    <row r="374" ht="15.75" customHeight="1">
      <c r="A374" s="234">
        <f t="shared" si="6"/>
        <v>1404</v>
      </c>
      <c r="B374" s="243" t="str">
        <f t="shared" si="1"/>
        <v>Charge</v>
      </c>
      <c r="C374" s="236">
        <f t="shared" si="2"/>
        <v>0</v>
      </c>
      <c r="D374" s="236">
        <f t="shared" si="3"/>
        <v>0.9775626664</v>
      </c>
      <c r="E374" s="236">
        <f t="shared" si="7"/>
        <v>0</v>
      </c>
      <c r="F374" s="236">
        <f t="shared" si="8"/>
        <v>4354.142059</v>
      </c>
      <c r="G374" s="238">
        <f t="shared" si="4"/>
        <v>0.07802003402</v>
      </c>
      <c r="H374" s="240" t="str">
        <f t="shared" si="5"/>
        <v>Default standby Charge</v>
      </c>
      <c r="I374" s="182"/>
      <c r="J374" s="182"/>
      <c r="K374" s="11"/>
      <c r="L374" s="182"/>
      <c r="M374" s="182"/>
      <c r="N374" s="182"/>
      <c r="O374" s="182"/>
      <c r="P374" s="11"/>
      <c r="Q374" s="11"/>
      <c r="R374" s="11"/>
      <c r="S374" s="11"/>
      <c r="T374" s="11"/>
      <c r="U374" s="11"/>
      <c r="V374" s="11"/>
      <c r="W374" s="11"/>
      <c r="X374" s="11"/>
      <c r="Y374" s="11"/>
      <c r="Z374" s="11"/>
      <c r="AA374" s="11"/>
    </row>
    <row r="375" ht="15.75" customHeight="1">
      <c r="A375" s="234">
        <f t="shared" si="6"/>
        <v>1408</v>
      </c>
      <c r="B375" s="243" t="str">
        <f t="shared" si="1"/>
        <v>Charge</v>
      </c>
      <c r="C375" s="236">
        <f t="shared" si="2"/>
        <v>0</v>
      </c>
      <c r="D375" s="236">
        <f t="shared" si="3"/>
        <v>0.9775626664</v>
      </c>
      <c r="E375" s="236">
        <f t="shared" si="7"/>
        <v>0</v>
      </c>
      <c r="F375" s="236">
        <f t="shared" si="8"/>
        <v>4355.119621</v>
      </c>
      <c r="G375" s="238">
        <f t="shared" si="4"/>
        <v>0.07803755055</v>
      </c>
      <c r="H375" s="240" t="str">
        <f t="shared" si="5"/>
        <v>Default standby Charge</v>
      </c>
      <c r="I375" s="182"/>
      <c r="J375" s="182"/>
      <c r="K375" s="11"/>
      <c r="L375" s="182"/>
      <c r="M375" s="182"/>
      <c r="N375" s="182"/>
      <c r="O375" s="182"/>
      <c r="P375" s="11"/>
      <c r="Q375" s="11"/>
      <c r="R375" s="11"/>
      <c r="S375" s="11"/>
      <c r="T375" s="11"/>
      <c r="U375" s="11"/>
      <c r="V375" s="11"/>
      <c r="W375" s="11"/>
      <c r="X375" s="11"/>
      <c r="Y375" s="11"/>
      <c r="Z375" s="11"/>
      <c r="AA375" s="11"/>
    </row>
    <row r="376" ht="15.75" customHeight="1">
      <c r="A376" s="234">
        <f t="shared" si="6"/>
        <v>1412</v>
      </c>
      <c r="B376" s="243" t="str">
        <f t="shared" si="1"/>
        <v>Charge</v>
      </c>
      <c r="C376" s="236">
        <f t="shared" si="2"/>
        <v>0</v>
      </c>
      <c r="D376" s="236">
        <f t="shared" si="3"/>
        <v>0.9775626664</v>
      </c>
      <c r="E376" s="236">
        <f t="shared" si="7"/>
        <v>0</v>
      </c>
      <c r="F376" s="236">
        <f t="shared" si="8"/>
        <v>4356.097184</v>
      </c>
      <c r="G376" s="238">
        <f t="shared" si="4"/>
        <v>0.07805506709</v>
      </c>
      <c r="H376" s="240" t="str">
        <f t="shared" si="5"/>
        <v>Default standby Charge</v>
      </c>
      <c r="I376" s="182"/>
      <c r="J376" s="182"/>
      <c r="K376" s="11"/>
      <c r="L376" s="182"/>
      <c r="M376" s="182"/>
      <c r="N376" s="182"/>
      <c r="O376" s="182"/>
      <c r="P376" s="11"/>
      <c r="Q376" s="11"/>
      <c r="R376" s="11"/>
      <c r="S376" s="11"/>
      <c r="T376" s="11"/>
      <c r="U376" s="11"/>
      <c r="V376" s="11"/>
      <c r="W376" s="11"/>
      <c r="X376" s="11"/>
      <c r="Y376" s="11"/>
      <c r="Z376" s="11"/>
      <c r="AA376" s="11"/>
    </row>
    <row r="377" ht="15.75" customHeight="1">
      <c r="A377" s="234">
        <f t="shared" si="6"/>
        <v>1416</v>
      </c>
      <c r="B377" s="243" t="str">
        <f t="shared" si="1"/>
        <v>Charge</v>
      </c>
      <c r="C377" s="236">
        <f t="shared" si="2"/>
        <v>0</v>
      </c>
      <c r="D377" s="236">
        <f t="shared" si="3"/>
        <v>0.9775626664</v>
      </c>
      <c r="E377" s="236">
        <f t="shared" si="7"/>
        <v>0</v>
      </c>
      <c r="F377" s="236">
        <f t="shared" si="8"/>
        <v>4357.074747</v>
      </c>
      <c r="G377" s="238">
        <f t="shared" si="4"/>
        <v>0.07807258362</v>
      </c>
      <c r="H377" s="240" t="str">
        <f t="shared" si="5"/>
        <v>Default standby Charge</v>
      </c>
      <c r="I377" s="182"/>
      <c r="J377" s="182"/>
      <c r="K377" s="11"/>
      <c r="L377" s="182"/>
      <c r="M377" s="182"/>
      <c r="N377" s="182"/>
      <c r="O377" s="182"/>
      <c r="P377" s="11"/>
      <c r="Q377" s="11"/>
      <c r="R377" s="11"/>
      <c r="S377" s="11"/>
      <c r="T377" s="11"/>
      <c r="U377" s="11"/>
      <c r="V377" s="11"/>
      <c r="W377" s="11"/>
      <c r="X377" s="11"/>
      <c r="Y377" s="11"/>
      <c r="Z377" s="11"/>
      <c r="AA377" s="11"/>
    </row>
    <row r="378" ht="15.75" customHeight="1">
      <c r="A378" s="234">
        <f t="shared" si="6"/>
        <v>1420</v>
      </c>
      <c r="B378" s="243" t="str">
        <f t="shared" si="1"/>
        <v>Charge</v>
      </c>
      <c r="C378" s="236">
        <f t="shared" si="2"/>
        <v>0</v>
      </c>
      <c r="D378" s="236">
        <f t="shared" si="3"/>
        <v>0.9775626664</v>
      </c>
      <c r="E378" s="236">
        <f t="shared" si="7"/>
        <v>0</v>
      </c>
      <c r="F378" s="236">
        <f t="shared" si="8"/>
        <v>4358.052309</v>
      </c>
      <c r="G378" s="238">
        <f t="shared" si="4"/>
        <v>0.07809010015</v>
      </c>
      <c r="H378" s="240" t="str">
        <f t="shared" si="5"/>
        <v>Default standby Charge</v>
      </c>
      <c r="I378" s="182"/>
      <c r="J378" s="182"/>
      <c r="K378" s="11"/>
      <c r="L378" s="182"/>
      <c r="M378" s="182"/>
      <c r="N378" s="182"/>
      <c r="O378" s="182"/>
      <c r="P378" s="11"/>
      <c r="Q378" s="11"/>
      <c r="R378" s="11"/>
      <c r="S378" s="11"/>
      <c r="T378" s="11"/>
      <c r="U378" s="11"/>
      <c r="V378" s="11"/>
      <c r="W378" s="11"/>
      <c r="X378" s="11"/>
      <c r="Y378" s="11"/>
      <c r="Z378" s="11"/>
      <c r="AA378" s="11"/>
    </row>
    <row r="379" ht="15.75" customHeight="1">
      <c r="A379" s="234">
        <f t="shared" si="6"/>
        <v>1424</v>
      </c>
      <c r="B379" s="243" t="str">
        <f t="shared" si="1"/>
        <v>Charge</v>
      </c>
      <c r="C379" s="236">
        <f t="shared" si="2"/>
        <v>0</v>
      </c>
      <c r="D379" s="236">
        <f t="shared" si="3"/>
        <v>0.9775626664</v>
      </c>
      <c r="E379" s="236">
        <f t="shared" si="7"/>
        <v>0</v>
      </c>
      <c r="F379" s="236">
        <f t="shared" si="8"/>
        <v>4359.029872</v>
      </c>
      <c r="G379" s="238">
        <f t="shared" si="4"/>
        <v>0.07810761668</v>
      </c>
      <c r="H379" s="240" t="str">
        <f t="shared" si="5"/>
        <v>Default standby Charge</v>
      </c>
      <c r="I379" s="182"/>
      <c r="J379" s="182"/>
      <c r="K379" s="11"/>
      <c r="L379" s="182"/>
      <c r="M379" s="182"/>
      <c r="N379" s="182"/>
      <c r="O379" s="182"/>
      <c r="P379" s="11"/>
      <c r="Q379" s="11"/>
      <c r="R379" s="11"/>
      <c r="S379" s="11"/>
      <c r="T379" s="11"/>
      <c r="U379" s="11"/>
      <c r="V379" s="11"/>
      <c r="W379" s="11"/>
      <c r="X379" s="11"/>
      <c r="Y379" s="11"/>
      <c r="Z379" s="11"/>
      <c r="AA379" s="11"/>
    </row>
    <row r="380" ht="15.75" customHeight="1">
      <c r="A380" s="234">
        <f t="shared" si="6"/>
        <v>1428</v>
      </c>
      <c r="B380" s="243" t="str">
        <f t="shared" si="1"/>
        <v>Charge</v>
      </c>
      <c r="C380" s="236">
        <f t="shared" si="2"/>
        <v>0</v>
      </c>
      <c r="D380" s="236">
        <f t="shared" si="3"/>
        <v>0.9775626664</v>
      </c>
      <c r="E380" s="236">
        <f t="shared" si="7"/>
        <v>0</v>
      </c>
      <c r="F380" s="236">
        <f t="shared" si="8"/>
        <v>4360.007435</v>
      </c>
      <c r="G380" s="238">
        <f t="shared" si="4"/>
        <v>0.07812513322</v>
      </c>
      <c r="H380" s="240" t="str">
        <f t="shared" si="5"/>
        <v>Default standby Charge</v>
      </c>
      <c r="I380" s="182"/>
      <c r="J380" s="182"/>
      <c r="K380" s="11"/>
      <c r="L380" s="182"/>
      <c r="M380" s="182"/>
      <c r="N380" s="182"/>
      <c r="O380" s="182"/>
      <c r="P380" s="11"/>
      <c r="Q380" s="11"/>
      <c r="R380" s="11"/>
      <c r="S380" s="11"/>
      <c r="T380" s="11"/>
      <c r="U380" s="11"/>
      <c r="V380" s="11"/>
      <c r="W380" s="11"/>
      <c r="X380" s="11"/>
      <c r="Y380" s="11"/>
      <c r="Z380" s="11"/>
      <c r="AA380" s="11"/>
    </row>
    <row r="381" ht="15.75" customHeight="1">
      <c r="A381" s="234">
        <f t="shared" si="6"/>
        <v>1432</v>
      </c>
      <c r="B381" s="243" t="str">
        <f t="shared" si="1"/>
        <v>Charge</v>
      </c>
      <c r="C381" s="236">
        <f t="shared" si="2"/>
        <v>0</v>
      </c>
      <c r="D381" s="236">
        <f t="shared" si="3"/>
        <v>0.9775626664</v>
      </c>
      <c r="E381" s="236">
        <f t="shared" si="7"/>
        <v>0</v>
      </c>
      <c r="F381" s="236">
        <f t="shared" si="8"/>
        <v>4360.984997</v>
      </c>
      <c r="G381" s="238">
        <f t="shared" si="4"/>
        <v>0.07814264975</v>
      </c>
      <c r="H381" s="240" t="str">
        <f t="shared" si="5"/>
        <v>Default standby Charge</v>
      </c>
      <c r="I381" s="182"/>
      <c r="J381" s="182"/>
      <c r="K381" s="11"/>
      <c r="L381" s="182"/>
      <c r="M381" s="182"/>
      <c r="N381" s="182"/>
      <c r="O381" s="182"/>
      <c r="P381" s="11"/>
      <c r="Q381" s="11"/>
      <c r="R381" s="11"/>
      <c r="S381" s="11"/>
      <c r="T381" s="11"/>
      <c r="U381" s="11"/>
      <c r="V381" s="11"/>
      <c r="W381" s="11"/>
      <c r="X381" s="11"/>
      <c r="Y381" s="11"/>
      <c r="Z381" s="11"/>
      <c r="AA381" s="11"/>
    </row>
    <row r="382" ht="15.75" customHeight="1">
      <c r="A382" s="428">
        <f t="shared" si="6"/>
        <v>1436</v>
      </c>
      <c r="B382" s="429" t="str">
        <f t="shared" si="1"/>
        <v>Charge</v>
      </c>
      <c r="C382" s="430">
        <f t="shared" si="2"/>
        <v>0</v>
      </c>
      <c r="D382" s="430">
        <f t="shared" si="3"/>
        <v>0.9775626664</v>
      </c>
      <c r="E382" s="430">
        <f t="shared" si="7"/>
        <v>0</v>
      </c>
      <c r="F382" s="430">
        <f t="shared" si="8"/>
        <v>4361.96256</v>
      </c>
      <c r="G382" s="432">
        <f t="shared" si="4"/>
        <v>0.07816016628</v>
      </c>
      <c r="H382" s="433" t="str">
        <f t="shared" si="5"/>
        <v>Default standby Charge</v>
      </c>
      <c r="I382" s="182"/>
      <c r="J382" s="182"/>
      <c r="K382" s="11"/>
      <c r="L382" s="182"/>
      <c r="M382" s="182"/>
      <c r="N382" s="182"/>
      <c r="O382" s="182"/>
      <c r="P382" s="11"/>
      <c r="Q382" s="11"/>
      <c r="R382" s="11"/>
      <c r="S382" s="11"/>
      <c r="T382" s="11"/>
      <c r="U382" s="11"/>
      <c r="V382" s="11"/>
      <c r="W382" s="11"/>
      <c r="X382" s="11"/>
      <c r="Y382" s="11"/>
      <c r="Z382" s="11"/>
      <c r="AA382" s="11"/>
    </row>
    <row r="383" ht="15.75" customHeight="1">
      <c r="A383" s="435">
        <f t="shared" ref="A383:A742" si="10">A23+1440</f>
        <v>1440</v>
      </c>
      <c r="B383" s="436" t="str">
        <f t="shared" si="1"/>
        <v>Safe</v>
      </c>
      <c r="C383" s="221">
        <f t="shared" ref="C383:E383" si="9">C23</f>
        <v>0</v>
      </c>
      <c r="D383" s="221">
        <f t="shared" si="9"/>
        <v>0.9775626664</v>
      </c>
      <c r="E383" s="221">
        <f t="shared" si="9"/>
        <v>0</v>
      </c>
      <c r="F383" s="221">
        <f t="shared" ref="F383:F742" si="12">$F$382+F23-$F$23</f>
        <v>4361.96256</v>
      </c>
      <c r="G383" s="438">
        <f t="shared" si="4"/>
        <v>0.07816016628</v>
      </c>
      <c r="H383" s="220" t="str">
        <f t="shared" ref="H383:H742" si="13">H23</f>
        <v>Safe preemption</v>
      </c>
      <c r="I383" s="182"/>
      <c r="J383" s="182"/>
      <c r="K383" s="11"/>
      <c r="L383" s="182"/>
      <c r="M383" s="182"/>
      <c r="N383" s="182"/>
      <c r="O383" s="182"/>
      <c r="P383" s="11"/>
      <c r="Q383" s="11"/>
      <c r="R383" s="11"/>
      <c r="S383" s="11"/>
      <c r="T383" s="11"/>
      <c r="U383" s="11"/>
      <c r="V383" s="11"/>
      <c r="W383" s="11"/>
      <c r="X383" s="11"/>
      <c r="Y383" s="11"/>
      <c r="Z383" s="11"/>
      <c r="AA383" s="11"/>
    </row>
    <row r="384" ht="15.75" customHeight="1">
      <c r="A384" s="435">
        <f t="shared" si="10"/>
        <v>1444</v>
      </c>
      <c r="B384" s="436" t="str">
        <f t="shared" si="1"/>
        <v>Safe</v>
      </c>
      <c r="C384" s="221">
        <f t="shared" ref="C384:E384" si="11">C24</f>
        <v>0</v>
      </c>
      <c r="D384" s="221">
        <f t="shared" si="11"/>
        <v>0.9775626664</v>
      </c>
      <c r="E384" s="221">
        <f t="shared" si="11"/>
        <v>0</v>
      </c>
      <c r="F384" s="221">
        <f t="shared" si="12"/>
        <v>4362.940123</v>
      </c>
      <c r="G384" s="438">
        <f t="shared" si="4"/>
        <v>0.07817768282</v>
      </c>
      <c r="H384" s="220" t="str">
        <f t="shared" si="13"/>
        <v>Safe preemption</v>
      </c>
      <c r="I384" s="182"/>
      <c r="J384" s="182"/>
      <c r="K384" s="11"/>
      <c r="L384" s="182"/>
      <c r="M384" s="182"/>
      <c r="N384" s="182"/>
      <c r="O384" s="182"/>
      <c r="P384" s="11"/>
      <c r="Q384" s="11"/>
      <c r="R384" s="11"/>
      <c r="S384" s="11"/>
      <c r="T384" s="11"/>
      <c r="U384" s="11"/>
      <c r="V384" s="11"/>
      <c r="W384" s="11"/>
      <c r="X384" s="11"/>
      <c r="Y384" s="11"/>
      <c r="Z384" s="11"/>
      <c r="AA384" s="11"/>
    </row>
    <row r="385" ht="15.75" customHeight="1">
      <c r="A385" s="435">
        <f t="shared" si="10"/>
        <v>1448</v>
      </c>
      <c r="B385" s="436" t="str">
        <f t="shared" si="1"/>
        <v>Safe</v>
      </c>
      <c r="C385" s="221">
        <f t="shared" ref="C385:E385" si="14">C25</f>
        <v>0</v>
      </c>
      <c r="D385" s="221">
        <f t="shared" si="14"/>
        <v>0.9775626664</v>
      </c>
      <c r="E385" s="221">
        <f t="shared" si="14"/>
        <v>0</v>
      </c>
      <c r="F385" s="221">
        <f t="shared" si="12"/>
        <v>4363.917685</v>
      </c>
      <c r="G385" s="438">
        <f t="shared" si="4"/>
        <v>0.07819519935</v>
      </c>
      <c r="H385" s="220" t="str">
        <f t="shared" si="13"/>
        <v>Safe preemption</v>
      </c>
      <c r="I385" s="182"/>
      <c r="J385" s="182"/>
      <c r="K385" s="11"/>
      <c r="L385" s="182"/>
      <c r="M385" s="182"/>
      <c r="N385" s="182"/>
      <c r="O385" s="182"/>
      <c r="P385" s="11"/>
      <c r="Q385" s="11"/>
      <c r="R385" s="11"/>
      <c r="S385" s="11"/>
      <c r="T385" s="11"/>
      <c r="U385" s="11"/>
      <c r="V385" s="11"/>
      <c r="W385" s="11"/>
      <c r="X385" s="11"/>
      <c r="Y385" s="11"/>
      <c r="Z385" s="11"/>
      <c r="AA385" s="11"/>
    </row>
    <row r="386" ht="15.75" customHeight="1">
      <c r="A386" s="435">
        <f t="shared" si="10"/>
        <v>1452</v>
      </c>
      <c r="B386" s="436" t="str">
        <f t="shared" si="1"/>
        <v>Safe</v>
      </c>
      <c r="C386" s="221">
        <f t="shared" ref="C386:E386" si="15">C26</f>
        <v>0</v>
      </c>
      <c r="D386" s="221">
        <f t="shared" si="15"/>
        <v>0.9775626664</v>
      </c>
      <c r="E386" s="221">
        <f t="shared" si="15"/>
        <v>0</v>
      </c>
      <c r="F386" s="221">
        <f t="shared" si="12"/>
        <v>4364.895248</v>
      </c>
      <c r="G386" s="438">
        <f t="shared" si="4"/>
        <v>0.07821271588</v>
      </c>
      <c r="H386" s="220" t="str">
        <f t="shared" si="13"/>
        <v>Safe preemption</v>
      </c>
      <c r="I386" s="182"/>
      <c r="J386" s="182"/>
      <c r="K386" s="11"/>
      <c r="L386" s="182"/>
      <c r="M386" s="182"/>
      <c r="N386" s="182"/>
      <c r="O386" s="182"/>
      <c r="P386" s="11"/>
      <c r="Q386" s="11"/>
      <c r="R386" s="11"/>
      <c r="S386" s="11"/>
      <c r="T386" s="11"/>
      <c r="U386" s="11"/>
      <c r="V386" s="11"/>
      <c r="W386" s="11"/>
      <c r="X386" s="11"/>
      <c r="Y386" s="11"/>
      <c r="Z386" s="11"/>
      <c r="AA386" s="11"/>
    </row>
    <row r="387" ht="15.75" customHeight="1">
      <c r="A387" s="435">
        <f t="shared" si="10"/>
        <v>1456</v>
      </c>
      <c r="B387" s="436" t="str">
        <f t="shared" si="1"/>
        <v>Safe</v>
      </c>
      <c r="C387" s="221">
        <f t="shared" ref="C387:E387" si="16">C27</f>
        <v>0</v>
      </c>
      <c r="D387" s="221">
        <f t="shared" si="16"/>
        <v>0.9775626664</v>
      </c>
      <c r="E387" s="221">
        <f t="shared" si="16"/>
        <v>0</v>
      </c>
      <c r="F387" s="221">
        <f t="shared" si="12"/>
        <v>4365.872811</v>
      </c>
      <c r="G387" s="438">
        <f t="shared" si="4"/>
        <v>0.07823023241</v>
      </c>
      <c r="H387" s="220" t="str">
        <f t="shared" si="13"/>
        <v>Safe preemption</v>
      </c>
      <c r="I387" s="182"/>
      <c r="J387" s="182"/>
      <c r="K387" s="11"/>
      <c r="L387" s="182"/>
      <c r="M387" s="182"/>
      <c r="N387" s="182"/>
      <c r="O387" s="182"/>
      <c r="P387" s="11"/>
      <c r="Q387" s="11"/>
      <c r="R387" s="11"/>
      <c r="S387" s="11"/>
      <c r="T387" s="11"/>
      <c r="U387" s="11"/>
      <c r="V387" s="11"/>
      <c r="W387" s="11"/>
      <c r="X387" s="11"/>
      <c r="Y387" s="11"/>
      <c r="Z387" s="11"/>
      <c r="AA387" s="11"/>
    </row>
    <row r="388" ht="15.75" customHeight="1">
      <c r="A388" s="435">
        <f t="shared" si="10"/>
        <v>1460</v>
      </c>
      <c r="B388" s="436" t="str">
        <f t="shared" si="1"/>
        <v>Safe</v>
      </c>
      <c r="C388" s="221">
        <f t="shared" ref="C388:E388" si="17">C28</f>
        <v>0</v>
      </c>
      <c r="D388" s="221">
        <f t="shared" si="17"/>
        <v>0.9775626664</v>
      </c>
      <c r="E388" s="221">
        <f t="shared" si="17"/>
        <v>0</v>
      </c>
      <c r="F388" s="221">
        <f t="shared" si="12"/>
        <v>4366.850373</v>
      </c>
      <c r="G388" s="438">
        <f t="shared" si="4"/>
        <v>0.07824774895</v>
      </c>
      <c r="H388" s="220" t="str">
        <f t="shared" si="13"/>
        <v>Safe preemption</v>
      </c>
      <c r="I388" s="182"/>
      <c r="J388" s="182"/>
      <c r="K388" s="11"/>
      <c r="L388" s="182"/>
      <c r="M388" s="182"/>
      <c r="N388" s="182"/>
      <c r="O388" s="182"/>
      <c r="P388" s="11"/>
      <c r="Q388" s="11"/>
      <c r="R388" s="11"/>
      <c r="S388" s="11"/>
      <c r="T388" s="11"/>
      <c r="U388" s="11"/>
      <c r="V388" s="11"/>
      <c r="W388" s="11"/>
      <c r="X388" s="11"/>
      <c r="Y388" s="11"/>
      <c r="Z388" s="11"/>
      <c r="AA388" s="11"/>
    </row>
    <row r="389" ht="15.75" customHeight="1">
      <c r="A389" s="435">
        <f t="shared" si="10"/>
        <v>1464</v>
      </c>
      <c r="B389" s="436" t="str">
        <f t="shared" si="1"/>
        <v>Safe</v>
      </c>
      <c r="C389" s="221">
        <f t="shared" ref="C389:E389" si="18">C29</f>
        <v>0</v>
      </c>
      <c r="D389" s="221">
        <f t="shared" si="18"/>
        <v>0.9775626664</v>
      </c>
      <c r="E389" s="221">
        <f t="shared" si="18"/>
        <v>0</v>
      </c>
      <c r="F389" s="221">
        <f t="shared" si="12"/>
        <v>4367.827936</v>
      </c>
      <c r="G389" s="438">
        <f t="shared" si="4"/>
        <v>0.07826526548</v>
      </c>
      <c r="H389" s="220" t="str">
        <f t="shared" si="13"/>
        <v>Safe preemption</v>
      </c>
      <c r="I389" s="182"/>
      <c r="J389" s="182"/>
      <c r="K389" s="11"/>
      <c r="L389" s="182"/>
      <c r="M389" s="182"/>
      <c r="N389" s="182"/>
      <c r="O389" s="182"/>
      <c r="P389" s="11"/>
      <c r="Q389" s="11"/>
      <c r="R389" s="11"/>
      <c r="S389" s="11"/>
      <c r="T389" s="11"/>
      <c r="U389" s="11"/>
      <c r="V389" s="11"/>
      <c r="W389" s="11"/>
      <c r="X389" s="11"/>
      <c r="Y389" s="11"/>
      <c r="Z389" s="11"/>
      <c r="AA389" s="11"/>
    </row>
    <row r="390" ht="15.75" customHeight="1">
      <c r="A390" s="435">
        <f t="shared" si="10"/>
        <v>1468</v>
      </c>
      <c r="B390" s="436" t="str">
        <f t="shared" si="1"/>
        <v>Safe</v>
      </c>
      <c r="C390" s="221">
        <f t="shared" ref="C390:E390" si="19">C30</f>
        <v>0</v>
      </c>
      <c r="D390" s="221">
        <f t="shared" si="19"/>
        <v>0.9775626664</v>
      </c>
      <c r="E390" s="221">
        <f t="shared" si="19"/>
        <v>0</v>
      </c>
      <c r="F390" s="221">
        <f t="shared" si="12"/>
        <v>4368.805499</v>
      </c>
      <c r="G390" s="438">
        <f t="shared" si="4"/>
        <v>0.07828278201</v>
      </c>
      <c r="H390" s="220" t="str">
        <f t="shared" si="13"/>
        <v>Safe preemption</v>
      </c>
      <c r="I390" s="182"/>
      <c r="J390" s="182"/>
      <c r="K390" s="11"/>
      <c r="L390" s="182"/>
      <c r="M390" s="182"/>
      <c r="N390" s="182"/>
      <c r="O390" s="182"/>
      <c r="P390" s="11"/>
      <c r="Q390" s="11"/>
      <c r="R390" s="11"/>
      <c r="S390" s="11"/>
      <c r="T390" s="11"/>
      <c r="U390" s="11"/>
      <c r="V390" s="11"/>
      <c r="W390" s="11"/>
      <c r="X390" s="11"/>
      <c r="Y390" s="11"/>
      <c r="Z390" s="11"/>
      <c r="AA390" s="11"/>
    </row>
    <row r="391" ht="15.75" customHeight="1">
      <c r="A391" s="435">
        <f t="shared" si="10"/>
        <v>1472</v>
      </c>
      <c r="B391" s="429" t="str">
        <f t="shared" si="1"/>
        <v>Charge</v>
      </c>
      <c r="C391" s="221">
        <f t="shared" ref="C391:E391" si="20">C31</f>
        <v>0</v>
      </c>
      <c r="D391" s="221">
        <f t="shared" si="20"/>
        <v>0.9775626664</v>
      </c>
      <c r="E391" s="221">
        <f t="shared" si="20"/>
        <v>0</v>
      </c>
      <c r="F391" s="221">
        <f t="shared" si="12"/>
        <v>4369.783061</v>
      </c>
      <c r="G391" s="438">
        <f t="shared" si="4"/>
        <v>0.07830029855</v>
      </c>
      <c r="H391" s="220" t="str">
        <f t="shared" si="13"/>
        <v>Default standby Charge</v>
      </c>
      <c r="I391" s="182"/>
      <c r="J391" s="182"/>
      <c r="K391" s="11"/>
      <c r="L391" s="182"/>
      <c r="M391" s="182"/>
      <c r="N391" s="182"/>
      <c r="O391" s="182"/>
      <c r="P391" s="11"/>
      <c r="Q391" s="11"/>
      <c r="R391" s="11"/>
      <c r="S391" s="11"/>
      <c r="T391" s="11"/>
      <c r="U391" s="11"/>
      <c r="V391" s="11"/>
      <c r="W391" s="11"/>
      <c r="X391" s="11"/>
      <c r="Y391" s="11"/>
      <c r="Z391" s="11"/>
      <c r="AA391" s="11"/>
    </row>
    <row r="392" ht="15.75" customHeight="1">
      <c r="A392" s="435">
        <f t="shared" si="10"/>
        <v>1476</v>
      </c>
      <c r="B392" s="429" t="str">
        <f t="shared" si="1"/>
        <v>Charge</v>
      </c>
      <c r="C392" s="221">
        <f t="shared" ref="C392:E392" si="21">C32</f>
        <v>0</v>
      </c>
      <c r="D392" s="221">
        <f t="shared" si="21"/>
        <v>0.9775626664</v>
      </c>
      <c r="E392" s="221">
        <f t="shared" si="21"/>
        <v>0</v>
      </c>
      <c r="F392" s="221">
        <f t="shared" si="12"/>
        <v>4370.760624</v>
      </c>
      <c r="G392" s="438">
        <f t="shared" si="4"/>
        <v>0.07831781508</v>
      </c>
      <c r="H392" s="220" t="str">
        <f t="shared" si="13"/>
        <v>Default standby Charge</v>
      </c>
      <c r="I392" s="182"/>
      <c r="J392" s="182"/>
      <c r="K392" s="11"/>
      <c r="L392" s="182"/>
      <c r="M392" s="182"/>
      <c r="N392" s="182"/>
      <c r="O392" s="182"/>
      <c r="P392" s="11"/>
      <c r="Q392" s="11"/>
      <c r="R392" s="11"/>
      <c r="S392" s="11"/>
      <c r="T392" s="11"/>
      <c r="U392" s="11"/>
      <c r="V392" s="11"/>
      <c r="W392" s="11"/>
      <c r="X392" s="11"/>
      <c r="Y392" s="11"/>
      <c r="Z392" s="11"/>
      <c r="AA392" s="11"/>
    </row>
    <row r="393" ht="15.75" customHeight="1">
      <c r="A393" s="435">
        <f t="shared" si="10"/>
        <v>1480</v>
      </c>
      <c r="B393" s="429" t="str">
        <f t="shared" si="1"/>
        <v>Charge</v>
      </c>
      <c r="C393" s="221">
        <f t="shared" ref="C393:E393" si="22">C33</f>
        <v>0</v>
      </c>
      <c r="D393" s="221">
        <f t="shared" si="22"/>
        <v>0.9775626664</v>
      </c>
      <c r="E393" s="221">
        <f t="shared" si="22"/>
        <v>0</v>
      </c>
      <c r="F393" s="221">
        <f t="shared" si="12"/>
        <v>4371.738187</v>
      </c>
      <c r="G393" s="438">
        <f t="shared" si="4"/>
        <v>0.07833533161</v>
      </c>
      <c r="H393" s="220" t="str">
        <f t="shared" si="13"/>
        <v>Default standby Charge</v>
      </c>
      <c r="I393" s="182"/>
      <c r="J393" s="182"/>
      <c r="K393" s="11"/>
      <c r="L393" s="182"/>
      <c r="M393" s="182"/>
      <c r="N393" s="182"/>
      <c r="O393" s="182"/>
      <c r="P393" s="11"/>
      <c r="Q393" s="11"/>
      <c r="R393" s="11"/>
      <c r="S393" s="11"/>
      <c r="T393" s="11"/>
      <c r="U393" s="11"/>
      <c r="V393" s="11"/>
      <c r="W393" s="11"/>
      <c r="X393" s="11"/>
      <c r="Y393" s="11"/>
      <c r="Z393" s="11"/>
      <c r="AA393" s="11"/>
    </row>
    <row r="394" ht="15.75" customHeight="1">
      <c r="A394" s="435">
        <f t="shared" si="10"/>
        <v>1484</v>
      </c>
      <c r="B394" s="429" t="str">
        <f t="shared" si="1"/>
        <v>Charge</v>
      </c>
      <c r="C394" s="221">
        <f t="shared" ref="C394:E394" si="23">C34</f>
        <v>0</v>
      </c>
      <c r="D394" s="221">
        <f t="shared" si="23"/>
        <v>0.9775626664</v>
      </c>
      <c r="E394" s="221">
        <f t="shared" si="23"/>
        <v>0</v>
      </c>
      <c r="F394" s="221">
        <f t="shared" si="12"/>
        <v>4372.715749</v>
      </c>
      <c r="G394" s="438">
        <f t="shared" si="4"/>
        <v>0.07835284814</v>
      </c>
      <c r="H394" s="220" t="str">
        <f t="shared" si="13"/>
        <v>Default standby Charge</v>
      </c>
      <c r="I394" s="182"/>
      <c r="J394" s="182"/>
      <c r="K394" s="11"/>
      <c r="L394" s="182"/>
      <c r="M394" s="182"/>
      <c r="N394" s="182"/>
      <c r="O394" s="182"/>
      <c r="P394" s="11"/>
      <c r="Q394" s="11"/>
      <c r="R394" s="11"/>
      <c r="S394" s="11"/>
      <c r="T394" s="11"/>
      <c r="U394" s="11"/>
      <c r="V394" s="11"/>
      <c r="W394" s="11"/>
      <c r="X394" s="11"/>
      <c r="Y394" s="11"/>
      <c r="Z394" s="11"/>
      <c r="AA394" s="11"/>
    </row>
    <row r="395" ht="15.75" customHeight="1">
      <c r="A395" s="435">
        <f t="shared" si="10"/>
        <v>1488</v>
      </c>
      <c r="B395" s="429" t="str">
        <f t="shared" si="1"/>
        <v>Charge</v>
      </c>
      <c r="C395" s="221">
        <f t="shared" ref="C395:E395" si="24">C35</f>
        <v>0</v>
      </c>
      <c r="D395" s="221">
        <f t="shared" si="24"/>
        <v>0.9775626664</v>
      </c>
      <c r="E395" s="221">
        <f t="shared" si="24"/>
        <v>0</v>
      </c>
      <c r="F395" s="221">
        <f t="shared" si="12"/>
        <v>4373.693312</v>
      </c>
      <c r="G395" s="438">
        <f t="shared" si="4"/>
        <v>0.07837036468</v>
      </c>
      <c r="H395" s="220" t="str">
        <f t="shared" si="13"/>
        <v>Default standby Charge</v>
      </c>
      <c r="I395" s="182"/>
      <c r="J395" s="182"/>
      <c r="K395" s="11"/>
      <c r="L395" s="182"/>
      <c r="M395" s="182"/>
      <c r="N395" s="182"/>
      <c r="O395" s="182"/>
      <c r="P395" s="11"/>
      <c r="Q395" s="11"/>
      <c r="R395" s="11"/>
      <c r="S395" s="11"/>
      <c r="T395" s="11"/>
      <c r="U395" s="11"/>
      <c r="V395" s="11"/>
      <c r="W395" s="11"/>
      <c r="X395" s="11"/>
      <c r="Y395" s="11"/>
      <c r="Z395" s="11"/>
      <c r="AA395" s="11"/>
    </row>
    <row r="396" ht="15.75" customHeight="1">
      <c r="A396" s="435">
        <f t="shared" si="10"/>
        <v>1492</v>
      </c>
      <c r="B396" s="429" t="str">
        <f t="shared" si="1"/>
        <v>Charge</v>
      </c>
      <c r="C396" s="221">
        <f t="shared" ref="C396:E396" si="25">C36</f>
        <v>0</v>
      </c>
      <c r="D396" s="221">
        <f t="shared" si="25"/>
        <v>0.9775626664</v>
      </c>
      <c r="E396" s="221">
        <f t="shared" si="25"/>
        <v>0</v>
      </c>
      <c r="F396" s="221">
        <f t="shared" si="12"/>
        <v>4374.670875</v>
      </c>
      <c r="G396" s="438">
        <f t="shared" si="4"/>
        <v>0.07838788121</v>
      </c>
      <c r="H396" s="220" t="str">
        <f t="shared" si="13"/>
        <v>Default standby Charge</v>
      </c>
      <c r="I396" s="182"/>
      <c r="J396" s="182"/>
      <c r="K396" s="11"/>
      <c r="L396" s="182"/>
      <c r="M396" s="182"/>
      <c r="N396" s="182"/>
      <c r="O396" s="182"/>
      <c r="P396" s="11"/>
      <c r="Q396" s="11"/>
      <c r="R396" s="11"/>
      <c r="S396" s="11"/>
      <c r="T396" s="11"/>
      <c r="U396" s="11"/>
      <c r="V396" s="11"/>
      <c r="W396" s="11"/>
      <c r="X396" s="11"/>
      <c r="Y396" s="11"/>
      <c r="Z396" s="11"/>
      <c r="AA396" s="11"/>
    </row>
    <row r="397" ht="15.75" customHeight="1">
      <c r="A397" s="435">
        <f t="shared" si="10"/>
        <v>1496</v>
      </c>
      <c r="B397" s="429" t="str">
        <f t="shared" si="1"/>
        <v>Charge</v>
      </c>
      <c r="C397" s="221">
        <f t="shared" ref="C397:E397" si="26">C37</f>
        <v>0</v>
      </c>
      <c r="D397" s="221">
        <f t="shared" si="26"/>
        <v>0.9775626664</v>
      </c>
      <c r="E397" s="221">
        <f t="shared" si="26"/>
        <v>0</v>
      </c>
      <c r="F397" s="221">
        <f t="shared" si="12"/>
        <v>4375.648437</v>
      </c>
      <c r="G397" s="438">
        <f t="shared" si="4"/>
        <v>0.07840539774</v>
      </c>
      <c r="H397" s="220" t="str">
        <f t="shared" si="13"/>
        <v>Default standby Charge</v>
      </c>
      <c r="I397" s="182"/>
      <c r="J397" s="182"/>
      <c r="K397" s="11"/>
      <c r="L397" s="182"/>
      <c r="M397" s="182"/>
      <c r="N397" s="182"/>
      <c r="O397" s="182"/>
      <c r="P397" s="11"/>
      <c r="Q397" s="11"/>
      <c r="R397" s="11"/>
      <c r="S397" s="11"/>
      <c r="T397" s="11"/>
      <c r="U397" s="11"/>
      <c r="V397" s="11"/>
      <c r="W397" s="11"/>
      <c r="X397" s="11"/>
      <c r="Y397" s="11"/>
      <c r="Z397" s="11"/>
      <c r="AA397" s="11"/>
    </row>
    <row r="398" ht="15.75" customHeight="1">
      <c r="A398" s="435">
        <f t="shared" si="10"/>
        <v>1500</v>
      </c>
      <c r="B398" s="429" t="str">
        <f t="shared" si="1"/>
        <v>Charge</v>
      </c>
      <c r="C398" s="221">
        <f t="shared" ref="C398:E398" si="27">C38</f>
        <v>0</v>
      </c>
      <c r="D398" s="221">
        <f t="shared" si="27"/>
        <v>0.9775626664</v>
      </c>
      <c r="E398" s="221">
        <f t="shared" si="27"/>
        <v>0</v>
      </c>
      <c r="F398" s="221">
        <f t="shared" si="12"/>
        <v>4376.626</v>
      </c>
      <c r="G398" s="438">
        <f t="shared" si="4"/>
        <v>0.07842291428</v>
      </c>
      <c r="H398" s="220" t="str">
        <f t="shared" si="13"/>
        <v>Default standby Charge</v>
      </c>
      <c r="I398" s="182"/>
      <c r="J398" s="182"/>
      <c r="K398" s="11"/>
      <c r="L398" s="182"/>
      <c r="M398" s="182"/>
      <c r="N398" s="182"/>
      <c r="O398" s="182"/>
      <c r="P398" s="11"/>
      <c r="Q398" s="11"/>
      <c r="R398" s="11"/>
      <c r="S398" s="11"/>
      <c r="T398" s="11"/>
      <c r="U398" s="11"/>
      <c r="V398" s="11"/>
      <c r="W398" s="11"/>
      <c r="X398" s="11"/>
      <c r="Y398" s="11"/>
      <c r="Z398" s="11"/>
      <c r="AA398" s="11"/>
    </row>
    <row r="399" ht="15.75" customHeight="1">
      <c r="A399" s="435">
        <f t="shared" si="10"/>
        <v>1504</v>
      </c>
      <c r="B399" s="429" t="str">
        <f t="shared" si="1"/>
        <v>Charge</v>
      </c>
      <c r="C399" s="221">
        <f t="shared" ref="C399:E399" si="28">C39</f>
        <v>0</v>
      </c>
      <c r="D399" s="221">
        <f t="shared" si="28"/>
        <v>0.9775626664</v>
      </c>
      <c r="E399" s="221">
        <f t="shared" si="28"/>
        <v>0</v>
      </c>
      <c r="F399" s="221">
        <f t="shared" si="12"/>
        <v>4377.603563</v>
      </c>
      <c r="G399" s="438">
        <f t="shared" si="4"/>
        <v>0.07844043081</v>
      </c>
      <c r="H399" s="220" t="str">
        <f t="shared" si="13"/>
        <v>Default standby Charge</v>
      </c>
      <c r="I399" s="182"/>
      <c r="J399" s="182"/>
      <c r="K399" s="11"/>
      <c r="L399" s="182"/>
      <c r="M399" s="182"/>
      <c r="N399" s="182"/>
      <c r="O399" s="182"/>
      <c r="P399" s="11"/>
      <c r="Q399" s="11"/>
      <c r="R399" s="11"/>
      <c r="S399" s="11"/>
      <c r="T399" s="11"/>
      <c r="U399" s="11"/>
      <c r="V399" s="11"/>
      <c r="W399" s="11"/>
      <c r="X399" s="11"/>
      <c r="Y399" s="11"/>
      <c r="Z399" s="11"/>
      <c r="AA399" s="11"/>
    </row>
    <row r="400" ht="15.75" customHeight="1">
      <c r="A400" s="435">
        <f t="shared" si="10"/>
        <v>1508</v>
      </c>
      <c r="B400" s="429" t="str">
        <f t="shared" si="1"/>
        <v>Charge</v>
      </c>
      <c r="C400" s="221">
        <f t="shared" ref="C400:E400" si="29">C40</f>
        <v>0</v>
      </c>
      <c r="D400" s="221">
        <f t="shared" si="29"/>
        <v>0.9775626664</v>
      </c>
      <c r="E400" s="221">
        <f t="shared" si="29"/>
        <v>0</v>
      </c>
      <c r="F400" s="221">
        <f t="shared" si="12"/>
        <v>4378.581125</v>
      </c>
      <c r="G400" s="438">
        <f t="shared" si="4"/>
        <v>0.07845794734</v>
      </c>
      <c r="H400" s="220" t="str">
        <f t="shared" si="13"/>
        <v>Default standby Charge</v>
      </c>
      <c r="I400" s="182"/>
      <c r="J400" s="182"/>
      <c r="K400" s="11"/>
      <c r="L400" s="182"/>
      <c r="M400" s="182"/>
      <c r="N400" s="182"/>
      <c r="O400" s="182"/>
      <c r="P400" s="11"/>
      <c r="Q400" s="11"/>
      <c r="R400" s="11"/>
      <c r="S400" s="11"/>
      <c r="T400" s="11"/>
      <c r="U400" s="11"/>
      <c r="V400" s="11"/>
      <c r="W400" s="11"/>
      <c r="X400" s="11"/>
      <c r="Y400" s="11"/>
      <c r="Z400" s="11"/>
      <c r="AA400" s="11"/>
    </row>
    <row r="401" ht="15.75" customHeight="1">
      <c r="A401" s="435">
        <f t="shared" si="10"/>
        <v>1512</v>
      </c>
      <c r="B401" s="429" t="str">
        <f t="shared" si="1"/>
        <v>Charge</v>
      </c>
      <c r="C401" s="221">
        <f t="shared" ref="C401:E401" si="30">C41</f>
        <v>0</v>
      </c>
      <c r="D401" s="221">
        <f t="shared" si="30"/>
        <v>0.9775626664</v>
      </c>
      <c r="E401" s="221">
        <f t="shared" si="30"/>
        <v>0</v>
      </c>
      <c r="F401" s="221">
        <f t="shared" si="12"/>
        <v>4379.558688</v>
      </c>
      <c r="G401" s="438">
        <f t="shared" si="4"/>
        <v>0.07847546387</v>
      </c>
      <c r="H401" s="220" t="str">
        <f t="shared" si="13"/>
        <v>Default standby Charge</v>
      </c>
      <c r="I401" s="182"/>
      <c r="J401" s="182"/>
      <c r="K401" s="11"/>
      <c r="L401" s="182"/>
      <c r="M401" s="182"/>
      <c r="N401" s="182"/>
      <c r="O401" s="182"/>
      <c r="P401" s="11"/>
      <c r="Q401" s="11"/>
      <c r="R401" s="11"/>
      <c r="S401" s="11"/>
      <c r="T401" s="11"/>
      <c r="U401" s="11"/>
      <c r="V401" s="11"/>
      <c r="W401" s="11"/>
      <c r="X401" s="11"/>
      <c r="Y401" s="11"/>
      <c r="Z401" s="11"/>
      <c r="AA401" s="11"/>
    </row>
    <row r="402" ht="15.75" customHeight="1">
      <c r="A402" s="435">
        <f t="shared" si="10"/>
        <v>1516</v>
      </c>
      <c r="B402" s="429" t="str">
        <f t="shared" si="1"/>
        <v>Charge</v>
      </c>
      <c r="C402" s="221">
        <f t="shared" ref="C402:E402" si="31">C42</f>
        <v>0</v>
      </c>
      <c r="D402" s="221">
        <f t="shared" si="31"/>
        <v>0.9775626664</v>
      </c>
      <c r="E402" s="221">
        <f t="shared" si="31"/>
        <v>0</v>
      </c>
      <c r="F402" s="221">
        <f t="shared" si="12"/>
        <v>4380.536251</v>
      </c>
      <c r="G402" s="438">
        <f t="shared" si="4"/>
        <v>0.07849298041</v>
      </c>
      <c r="H402" s="220" t="str">
        <f t="shared" si="13"/>
        <v>Default standby Charge</v>
      </c>
      <c r="I402" s="182"/>
      <c r="J402" s="182"/>
      <c r="K402" s="11"/>
      <c r="L402" s="182"/>
      <c r="M402" s="182"/>
      <c r="N402" s="182"/>
      <c r="O402" s="182"/>
      <c r="P402" s="11"/>
      <c r="Q402" s="11"/>
      <c r="R402" s="11"/>
      <c r="S402" s="11"/>
      <c r="T402" s="11"/>
      <c r="U402" s="11"/>
      <c r="V402" s="11"/>
      <c r="W402" s="11"/>
      <c r="X402" s="11"/>
      <c r="Y402" s="11"/>
      <c r="Z402" s="11"/>
      <c r="AA402" s="11"/>
    </row>
    <row r="403" ht="15.75" customHeight="1">
      <c r="A403" s="435">
        <f t="shared" si="10"/>
        <v>1520</v>
      </c>
      <c r="B403" s="429" t="str">
        <f t="shared" si="1"/>
        <v>Charge</v>
      </c>
      <c r="C403" s="221">
        <f t="shared" ref="C403:E403" si="32">C43</f>
        <v>0</v>
      </c>
      <c r="D403" s="221">
        <f t="shared" si="32"/>
        <v>0.9775626664</v>
      </c>
      <c r="E403" s="221">
        <f t="shared" si="32"/>
        <v>0</v>
      </c>
      <c r="F403" s="221">
        <f t="shared" si="12"/>
        <v>4381.513813</v>
      </c>
      <c r="G403" s="438">
        <f t="shared" si="4"/>
        <v>0.07851049694</v>
      </c>
      <c r="H403" s="220" t="str">
        <f t="shared" si="13"/>
        <v>Default standby Charge</v>
      </c>
      <c r="I403" s="182"/>
      <c r="J403" s="182"/>
      <c r="K403" s="11"/>
      <c r="L403" s="182"/>
      <c r="M403" s="182"/>
      <c r="N403" s="182"/>
      <c r="O403" s="182"/>
      <c r="P403" s="11"/>
      <c r="Q403" s="11"/>
      <c r="R403" s="11"/>
      <c r="S403" s="11"/>
      <c r="T403" s="11"/>
      <c r="U403" s="11"/>
      <c r="V403" s="11"/>
      <c r="W403" s="11"/>
      <c r="X403" s="11"/>
      <c r="Y403" s="11"/>
      <c r="Z403" s="11"/>
      <c r="AA403" s="11"/>
    </row>
    <row r="404" ht="15.75" customHeight="1">
      <c r="A404" s="435">
        <f t="shared" si="10"/>
        <v>1524</v>
      </c>
      <c r="B404" s="429" t="str">
        <f t="shared" si="1"/>
        <v>Charge</v>
      </c>
      <c r="C404" s="221">
        <f t="shared" ref="C404:E404" si="33">C44</f>
        <v>0</v>
      </c>
      <c r="D404" s="221">
        <f t="shared" si="33"/>
        <v>0.9775626664</v>
      </c>
      <c r="E404" s="221">
        <f t="shared" si="33"/>
        <v>0</v>
      </c>
      <c r="F404" s="221">
        <f t="shared" si="12"/>
        <v>4382.491376</v>
      </c>
      <c r="G404" s="438">
        <f t="shared" si="4"/>
        <v>0.07852801347</v>
      </c>
      <c r="H404" s="220" t="str">
        <f t="shared" si="13"/>
        <v>Default standby Charge</v>
      </c>
      <c r="I404" s="182"/>
      <c r="J404" s="182"/>
      <c r="K404" s="11"/>
      <c r="L404" s="182"/>
      <c r="M404" s="182"/>
      <c r="N404" s="182"/>
      <c r="O404" s="182"/>
      <c r="P404" s="11"/>
      <c r="Q404" s="11"/>
      <c r="R404" s="11"/>
      <c r="S404" s="11"/>
      <c r="T404" s="11"/>
      <c r="U404" s="11"/>
      <c r="V404" s="11"/>
      <c r="W404" s="11"/>
      <c r="X404" s="11"/>
      <c r="Y404" s="11"/>
      <c r="Z404" s="11"/>
      <c r="AA404" s="11"/>
    </row>
    <row r="405" ht="15.75" customHeight="1">
      <c r="A405" s="435">
        <f t="shared" si="10"/>
        <v>1528</v>
      </c>
      <c r="B405" s="429" t="str">
        <f t="shared" si="1"/>
        <v>Charge</v>
      </c>
      <c r="C405" s="221">
        <f t="shared" ref="C405:E405" si="34">C45</f>
        <v>0</v>
      </c>
      <c r="D405" s="221">
        <f t="shared" si="34"/>
        <v>0.9775626664</v>
      </c>
      <c r="E405" s="221">
        <f t="shared" si="34"/>
        <v>0</v>
      </c>
      <c r="F405" s="221">
        <f t="shared" si="12"/>
        <v>4383.468939</v>
      </c>
      <c r="G405" s="438">
        <f t="shared" si="4"/>
        <v>0.07854553001</v>
      </c>
      <c r="H405" s="220" t="str">
        <f t="shared" si="13"/>
        <v>Default standby Charge</v>
      </c>
      <c r="I405" s="182"/>
      <c r="J405" s="182"/>
      <c r="K405" s="11"/>
      <c r="L405" s="182"/>
      <c r="M405" s="182"/>
      <c r="N405" s="182"/>
      <c r="O405" s="182"/>
      <c r="P405" s="11"/>
      <c r="Q405" s="11"/>
      <c r="R405" s="11"/>
      <c r="S405" s="11"/>
      <c r="T405" s="11"/>
      <c r="U405" s="11"/>
      <c r="V405" s="11"/>
      <c r="W405" s="11"/>
      <c r="X405" s="11"/>
      <c r="Y405" s="11"/>
      <c r="Z405" s="11"/>
      <c r="AA405" s="11"/>
    </row>
    <row r="406" ht="15.75" customHeight="1">
      <c r="A406" s="435">
        <f t="shared" si="10"/>
        <v>1532</v>
      </c>
      <c r="B406" s="429" t="str">
        <f t="shared" si="1"/>
        <v>Charge</v>
      </c>
      <c r="C406" s="221">
        <f t="shared" ref="C406:E406" si="35">C46</f>
        <v>0</v>
      </c>
      <c r="D406" s="221">
        <f t="shared" si="35"/>
        <v>0.9775626664</v>
      </c>
      <c r="E406" s="221">
        <f t="shared" si="35"/>
        <v>0</v>
      </c>
      <c r="F406" s="221">
        <f t="shared" si="12"/>
        <v>4384.446501</v>
      </c>
      <c r="G406" s="438">
        <f t="shared" si="4"/>
        <v>0.07856304654</v>
      </c>
      <c r="H406" s="220" t="str">
        <f t="shared" si="13"/>
        <v>Default standby Charge</v>
      </c>
      <c r="I406" s="182"/>
      <c r="J406" s="182"/>
      <c r="K406" s="11"/>
      <c r="L406" s="182"/>
      <c r="M406" s="182"/>
      <c r="N406" s="182"/>
      <c r="O406" s="182"/>
      <c r="P406" s="11"/>
      <c r="Q406" s="11"/>
      <c r="R406" s="11"/>
      <c r="S406" s="11"/>
      <c r="T406" s="11"/>
      <c r="U406" s="11"/>
      <c r="V406" s="11"/>
      <c r="W406" s="11"/>
      <c r="X406" s="11"/>
      <c r="Y406" s="11"/>
      <c r="Z406" s="11"/>
      <c r="AA406" s="11"/>
    </row>
    <row r="407" ht="15.75" customHeight="1">
      <c r="A407" s="435">
        <f t="shared" si="10"/>
        <v>1536</v>
      </c>
      <c r="B407" s="429" t="str">
        <f t="shared" si="1"/>
        <v>Charge</v>
      </c>
      <c r="C407" s="221">
        <f t="shared" ref="C407:E407" si="36">C47</f>
        <v>0</v>
      </c>
      <c r="D407" s="221">
        <f t="shared" si="36"/>
        <v>0.9775626664</v>
      </c>
      <c r="E407" s="221">
        <f t="shared" si="36"/>
        <v>0</v>
      </c>
      <c r="F407" s="221">
        <f t="shared" si="12"/>
        <v>4385.424064</v>
      </c>
      <c r="G407" s="438">
        <f t="shared" si="4"/>
        <v>0.07858056307</v>
      </c>
      <c r="H407" s="220" t="str">
        <f t="shared" si="13"/>
        <v>Default standby Charge</v>
      </c>
      <c r="I407" s="182"/>
      <c r="J407" s="182"/>
      <c r="K407" s="11"/>
      <c r="L407" s="182"/>
      <c r="M407" s="182"/>
      <c r="N407" s="182"/>
      <c r="O407" s="182"/>
      <c r="P407" s="11"/>
      <c r="Q407" s="11"/>
      <c r="R407" s="11"/>
      <c r="S407" s="11"/>
      <c r="T407" s="11"/>
      <c r="U407" s="11"/>
      <c r="V407" s="11"/>
      <c r="W407" s="11"/>
      <c r="X407" s="11"/>
      <c r="Y407" s="11"/>
      <c r="Z407" s="11"/>
      <c r="AA407" s="11"/>
    </row>
    <row r="408" ht="15.75" customHeight="1">
      <c r="A408" s="435">
        <f t="shared" si="10"/>
        <v>1540</v>
      </c>
      <c r="B408" s="449" t="str">
        <f t="shared" ref="B408:E408" si="37">B48</f>
        <v>Downlink</v>
      </c>
      <c r="C408" s="221">
        <f t="shared" si="37"/>
        <v>0</v>
      </c>
      <c r="D408" s="221">
        <f t="shared" si="37"/>
        <v>0.9775626664</v>
      </c>
      <c r="E408" s="221">
        <f t="shared" si="37"/>
        <v>0.75</v>
      </c>
      <c r="F408" s="221">
        <f t="shared" si="12"/>
        <v>4385.651627</v>
      </c>
      <c r="G408" s="438">
        <f t="shared" si="4"/>
        <v>0.07858464067</v>
      </c>
      <c r="H408" s="220" t="str">
        <f t="shared" si="13"/>
        <v>Validated contact; Downlink preempts Science</v>
      </c>
      <c r="I408" s="182"/>
      <c r="J408" s="182"/>
      <c r="K408" s="11"/>
      <c r="L408" s="182"/>
      <c r="M408" s="182"/>
      <c r="N408" s="182"/>
      <c r="O408" s="182"/>
      <c r="P408" s="11"/>
      <c r="Q408" s="11"/>
      <c r="R408" s="11"/>
      <c r="S408" s="11"/>
      <c r="T408" s="11"/>
      <c r="U408" s="11"/>
      <c r="V408" s="11"/>
      <c r="W408" s="11"/>
      <c r="X408" s="11"/>
      <c r="Y408" s="11"/>
      <c r="Z408" s="11"/>
      <c r="AA408" s="11"/>
    </row>
    <row r="409" ht="15.75" customHeight="1">
      <c r="A409" s="435">
        <f t="shared" si="10"/>
        <v>1544</v>
      </c>
      <c r="B409" s="449" t="str">
        <f t="shared" ref="B409:E409" si="38">B49</f>
        <v>Downlink</v>
      </c>
      <c r="C409" s="221">
        <f t="shared" si="38"/>
        <v>0</v>
      </c>
      <c r="D409" s="221">
        <f t="shared" si="38"/>
        <v>0.9775626664</v>
      </c>
      <c r="E409" s="221">
        <f t="shared" si="38"/>
        <v>0.75</v>
      </c>
      <c r="F409" s="221">
        <f t="shared" si="12"/>
        <v>4385.879189</v>
      </c>
      <c r="G409" s="438">
        <f t="shared" si="4"/>
        <v>0.07858871827</v>
      </c>
      <c r="H409" s="220" t="str">
        <f t="shared" si="13"/>
        <v>Validated contact; Downlink preempts Science</v>
      </c>
      <c r="I409" s="182"/>
      <c r="J409" s="182"/>
      <c r="K409" s="11"/>
      <c r="L409" s="182"/>
      <c r="M409" s="182"/>
      <c r="N409" s="182"/>
      <c r="O409" s="182"/>
      <c r="P409" s="11"/>
      <c r="Q409" s="11"/>
      <c r="R409" s="11"/>
      <c r="S409" s="11"/>
      <c r="T409" s="11"/>
      <c r="U409" s="11"/>
      <c r="V409" s="11"/>
      <c r="W409" s="11"/>
      <c r="X409" s="11"/>
      <c r="Y409" s="11"/>
      <c r="Z409" s="11"/>
      <c r="AA409" s="11"/>
    </row>
    <row r="410" ht="15.75" customHeight="1">
      <c r="A410" s="435">
        <f t="shared" si="10"/>
        <v>1548</v>
      </c>
      <c r="B410" s="429" t="str">
        <f t="shared" ref="B410:B427" si="40">IF(AND(MOD(A410,1440)&gt;=$K$6,MOD(A410,1440)&lt;$L$6),"Safe",IF(OR(AND(MOD(A410,1440)&gt;=$K$14,MOD(A410,1440)&lt;$L$14),AND(MOD(A410,1440)&gt;=$K$15,MOD(A410,1440)&lt;$L$15),AND(MOD(A410,1440)&gt;=$K$16,MOD(A410,1440)&lt;$L$16),AND(MOD(A410,1440)&gt;=$K$17,MOD(A410,1440)&lt;$L$17),AND(MOD(A410,1440)&gt;=$K$18,MOD(A410,1440)&lt;$L$18),AND(MOD(A410,1440)&gt;=$K$19,MOD(A410,1440)&lt;$L$19)),"Downlink",IF(AND(MOD(A410,1440)&gt;=$K$8,MOD(A410,1440)&lt;$L$8),"Science A",IF(AND(MOD(A410,1440)&gt;=$K$9,MOD(A410,1440)&lt;$L$9),"Science B",IF(AND(MOD(A410,1440)&gt;=$K$10,MOD(A410,1440)&lt;$L$10),"Science C","Charge")))))</f>
        <v>Charge</v>
      </c>
      <c r="C410" s="221">
        <f t="shared" ref="C410:E410" si="39">C50</f>
        <v>0</v>
      </c>
      <c r="D410" s="221">
        <f t="shared" si="39"/>
        <v>0.9775626664</v>
      </c>
      <c r="E410" s="221">
        <f t="shared" si="39"/>
        <v>0</v>
      </c>
      <c r="F410" s="221">
        <f t="shared" si="12"/>
        <v>4386.856752</v>
      </c>
      <c r="G410" s="438">
        <f t="shared" si="4"/>
        <v>0.0786062348</v>
      </c>
      <c r="H410" s="220" t="str">
        <f t="shared" si="13"/>
        <v>Default standby Charge</v>
      </c>
      <c r="I410" s="182"/>
      <c r="J410" s="182"/>
      <c r="K410" s="11"/>
      <c r="L410" s="182"/>
      <c r="M410" s="182"/>
      <c r="N410" s="182"/>
      <c r="O410" s="182"/>
      <c r="P410" s="11"/>
      <c r="Q410" s="11"/>
      <c r="R410" s="11"/>
      <c r="S410" s="11"/>
      <c r="T410" s="11"/>
      <c r="U410" s="11"/>
      <c r="V410" s="11"/>
      <c r="W410" s="11"/>
      <c r="X410" s="11"/>
      <c r="Y410" s="11"/>
      <c r="Z410" s="11"/>
      <c r="AA410" s="11"/>
    </row>
    <row r="411" ht="15.75" customHeight="1">
      <c r="A411" s="435">
        <f t="shared" si="10"/>
        <v>1552</v>
      </c>
      <c r="B411" s="429" t="str">
        <f t="shared" si="40"/>
        <v>Charge</v>
      </c>
      <c r="C411" s="221">
        <f t="shared" ref="C411:E411" si="41">C51</f>
        <v>0</v>
      </c>
      <c r="D411" s="221">
        <f t="shared" si="41"/>
        <v>0.9775626664</v>
      </c>
      <c r="E411" s="221">
        <f t="shared" si="41"/>
        <v>0</v>
      </c>
      <c r="F411" s="221">
        <f t="shared" si="12"/>
        <v>4387.834315</v>
      </c>
      <c r="G411" s="438">
        <f t="shared" si="4"/>
        <v>0.07862375134</v>
      </c>
      <c r="H411" s="220" t="str">
        <f t="shared" si="13"/>
        <v>Default standby Charge</v>
      </c>
      <c r="I411" s="182"/>
      <c r="J411" s="182"/>
      <c r="K411" s="11"/>
      <c r="L411" s="182"/>
      <c r="M411" s="182"/>
      <c r="N411" s="182"/>
      <c r="O411" s="182"/>
      <c r="P411" s="11"/>
      <c r="Q411" s="11"/>
      <c r="R411" s="11"/>
      <c r="S411" s="11"/>
      <c r="T411" s="11"/>
      <c r="U411" s="11"/>
      <c r="V411" s="11"/>
      <c r="W411" s="11"/>
      <c r="X411" s="11"/>
      <c r="Y411" s="11"/>
      <c r="Z411" s="11"/>
      <c r="AA411" s="11"/>
    </row>
    <row r="412" ht="15.75" customHeight="1">
      <c r="A412" s="435">
        <f t="shared" si="10"/>
        <v>1556</v>
      </c>
      <c r="B412" s="429" t="str">
        <f t="shared" si="40"/>
        <v>Charge</v>
      </c>
      <c r="C412" s="221">
        <f t="shared" ref="C412:E412" si="42">C52</f>
        <v>0</v>
      </c>
      <c r="D412" s="221">
        <f t="shared" si="42"/>
        <v>0.9775626664</v>
      </c>
      <c r="E412" s="221">
        <f t="shared" si="42"/>
        <v>0</v>
      </c>
      <c r="F412" s="221">
        <f t="shared" si="12"/>
        <v>4388.811877</v>
      </c>
      <c r="G412" s="438">
        <f t="shared" si="4"/>
        <v>0.07864126787</v>
      </c>
      <c r="H412" s="220" t="str">
        <f t="shared" si="13"/>
        <v>Default standby Charge</v>
      </c>
      <c r="I412" s="182"/>
      <c r="J412" s="182"/>
      <c r="K412" s="11"/>
      <c r="L412" s="182"/>
      <c r="M412" s="182"/>
      <c r="N412" s="182"/>
      <c r="O412" s="182"/>
      <c r="P412" s="11"/>
      <c r="Q412" s="11"/>
      <c r="R412" s="11"/>
      <c r="S412" s="11"/>
      <c r="T412" s="11"/>
      <c r="U412" s="11"/>
      <c r="V412" s="11"/>
      <c r="W412" s="11"/>
      <c r="X412" s="11"/>
      <c r="Y412" s="11"/>
      <c r="Z412" s="11"/>
      <c r="AA412" s="11"/>
    </row>
    <row r="413" ht="15.75" customHeight="1">
      <c r="A413" s="435">
        <f t="shared" si="10"/>
        <v>1560</v>
      </c>
      <c r="B413" s="429" t="str">
        <f t="shared" si="40"/>
        <v>Charge</v>
      </c>
      <c r="C413" s="221">
        <f t="shared" ref="C413:E413" si="43">C53</f>
        <v>0</v>
      </c>
      <c r="D413" s="221">
        <f t="shared" si="43"/>
        <v>0.9775626664</v>
      </c>
      <c r="E413" s="221">
        <f t="shared" si="43"/>
        <v>0</v>
      </c>
      <c r="F413" s="221">
        <f t="shared" si="12"/>
        <v>4389.78944</v>
      </c>
      <c r="G413" s="438">
        <f t="shared" si="4"/>
        <v>0.0786587844</v>
      </c>
      <c r="H413" s="220" t="str">
        <f t="shared" si="13"/>
        <v>Default standby Charge</v>
      </c>
      <c r="I413" s="182"/>
      <c r="J413" s="182"/>
      <c r="K413" s="11"/>
      <c r="L413" s="182"/>
      <c r="M413" s="182"/>
      <c r="N413" s="182"/>
      <c r="O413" s="182"/>
      <c r="P413" s="11"/>
      <c r="Q413" s="11"/>
      <c r="R413" s="11"/>
      <c r="S413" s="11"/>
      <c r="T413" s="11"/>
      <c r="U413" s="11"/>
      <c r="V413" s="11"/>
      <c r="W413" s="11"/>
      <c r="X413" s="11"/>
      <c r="Y413" s="11"/>
      <c r="Z413" s="11"/>
      <c r="AA413" s="11"/>
    </row>
    <row r="414" ht="15.75" customHeight="1">
      <c r="A414" s="435">
        <f t="shared" si="10"/>
        <v>1564</v>
      </c>
      <c r="B414" s="429" t="str">
        <f t="shared" si="40"/>
        <v>Charge</v>
      </c>
      <c r="C414" s="221">
        <f t="shared" ref="C414:E414" si="44">C54</f>
        <v>0</v>
      </c>
      <c r="D414" s="221">
        <f t="shared" si="44"/>
        <v>0.9775626664</v>
      </c>
      <c r="E414" s="221">
        <f t="shared" si="44"/>
        <v>0</v>
      </c>
      <c r="F414" s="221">
        <f t="shared" si="12"/>
        <v>4390.767003</v>
      </c>
      <c r="G414" s="438">
        <f t="shared" si="4"/>
        <v>0.07867630093</v>
      </c>
      <c r="H414" s="220" t="str">
        <f t="shared" si="13"/>
        <v>Default standby Charge</v>
      </c>
      <c r="I414" s="182"/>
      <c r="J414" s="182"/>
      <c r="K414" s="11"/>
      <c r="L414" s="182"/>
      <c r="M414" s="182"/>
      <c r="N414" s="182"/>
      <c r="O414" s="182"/>
      <c r="P414" s="11"/>
      <c r="Q414" s="11"/>
      <c r="R414" s="11"/>
      <c r="S414" s="11"/>
      <c r="T414" s="11"/>
      <c r="U414" s="11"/>
      <c r="V414" s="11"/>
      <c r="W414" s="11"/>
      <c r="X414" s="11"/>
      <c r="Y414" s="11"/>
      <c r="Z414" s="11"/>
      <c r="AA414" s="11"/>
    </row>
    <row r="415" ht="15.75" customHeight="1">
      <c r="A415" s="435">
        <f t="shared" si="10"/>
        <v>1568</v>
      </c>
      <c r="B415" s="429" t="str">
        <f t="shared" si="40"/>
        <v>Charge</v>
      </c>
      <c r="C415" s="221">
        <f t="shared" ref="C415:E415" si="45">C55</f>
        <v>0</v>
      </c>
      <c r="D415" s="221">
        <f t="shared" si="45"/>
        <v>0.9775626664</v>
      </c>
      <c r="E415" s="221">
        <f t="shared" si="45"/>
        <v>0</v>
      </c>
      <c r="F415" s="221">
        <f t="shared" si="12"/>
        <v>4391.744565</v>
      </c>
      <c r="G415" s="438">
        <f t="shared" si="4"/>
        <v>0.07869381747</v>
      </c>
      <c r="H415" s="220" t="str">
        <f t="shared" si="13"/>
        <v>Default standby Charge</v>
      </c>
      <c r="I415" s="182"/>
      <c r="J415" s="182"/>
      <c r="K415" s="11"/>
      <c r="L415" s="182"/>
      <c r="M415" s="182"/>
      <c r="N415" s="182"/>
      <c r="O415" s="182"/>
      <c r="P415" s="11"/>
      <c r="Q415" s="11"/>
      <c r="R415" s="11"/>
      <c r="S415" s="11"/>
      <c r="T415" s="11"/>
      <c r="U415" s="11"/>
      <c r="V415" s="11"/>
      <c r="W415" s="11"/>
      <c r="X415" s="11"/>
      <c r="Y415" s="11"/>
      <c r="Z415" s="11"/>
      <c r="AA415" s="11"/>
    </row>
    <row r="416" ht="15.75" customHeight="1">
      <c r="A416" s="435">
        <f t="shared" si="10"/>
        <v>1572</v>
      </c>
      <c r="B416" s="429" t="str">
        <f t="shared" si="40"/>
        <v>Charge</v>
      </c>
      <c r="C416" s="221">
        <f t="shared" ref="C416:E416" si="46">C56</f>
        <v>0</v>
      </c>
      <c r="D416" s="221">
        <f t="shared" si="46"/>
        <v>0.9775626664</v>
      </c>
      <c r="E416" s="221">
        <f t="shared" si="46"/>
        <v>0</v>
      </c>
      <c r="F416" s="221">
        <f t="shared" si="12"/>
        <v>4392.722128</v>
      </c>
      <c r="G416" s="438">
        <f t="shared" si="4"/>
        <v>0.078711334</v>
      </c>
      <c r="H416" s="220" t="str">
        <f t="shared" si="13"/>
        <v>Default standby Charge</v>
      </c>
      <c r="I416" s="182"/>
      <c r="J416" s="182"/>
      <c r="K416" s="11"/>
      <c r="L416" s="182"/>
      <c r="M416" s="182"/>
      <c r="N416" s="182"/>
      <c r="O416" s="182"/>
      <c r="P416" s="11"/>
      <c r="Q416" s="11"/>
      <c r="R416" s="11"/>
      <c r="S416" s="11"/>
      <c r="T416" s="11"/>
      <c r="U416" s="11"/>
      <c r="V416" s="11"/>
      <c r="W416" s="11"/>
      <c r="X416" s="11"/>
      <c r="Y416" s="11"/>
      <c r="Z416" s="11"/>
      <c r="AA416" s="11"/>
    </row>
    <row r="417" ht="15.75" customHeight="1">
      <c r="A417" s="435">
        <f t="shared" si="10"/>
        <v>1576</v>
      </c>
      <c r="B417" s="429" t="str">
        <f t="shared" si="40"/>
        <v>Charge</v>
      </c>
      <c r="C417" s="221">
        <f t="shared" ref="C417:E417" si="47">C57</f>
        <v>0</v>
      </c>
      <c r="D417" s="221">
        <f t="shared" si="47"/>
        <v>0.9775626664</v>
      </c>
      <c r="E417" s="221">
        <f t="shared" si="47"/>
        <v>0</v>
      </c>
      <c r="F417" s="221">
        <f t="shared" si="12"/>
        <v>4393.699691</v>
      </c>
      <c r="G417" s="438">
        <f t="shared" si="4"/>
        <v>0.07872885053</v>
      </c>
      <c r="H417" s="220" t="str">
        <f t="shared" si="13"/>
        <v>Default standby Charge</v>
      </c>
      <c r="I417" s="182"/>
      <c r="J417" s="182"/>
      <c r="K417" s="11"/>
      <c r="L417" s="182"/>
      <c r="M417" s="182"/>
      <c r="N417" s="182"/>
      <c r="O417" s="182"/>
      <c r="P417" s="11"/>
      <c r="Q417" s="11"/>
      <c r="R417" s="11"/>
      <c r="S417" s="11"/>
      <c r="T417" s="11"/>
      <c r="U417" s="11"/>
      <c r="V417" s="11"/>
      <c r="W417" s="11"/>
      <c r="X417" s="11"/>
      <c r="Y417" s="11"/>
      <c r="Z417" s="11"/>
      <c r="AA417" s="11"/>
    </row>
    <row r="418" ht="15.75" customHeight="1">
      <c r="A418" s="435">
        <f t="shared" si="10"/>
        <v>1580</v>
      </c>
      <c r="B418" s="429" t="str">
        <f t="shared" si="40"/>
        <v>Charge</v>
      </c>
      <c r="C418" s="221">
        <f t="shared" ref="C418:E418" si="48">C58</f>
        <v>0</v>
      </c>
      <c r="D418" s="221">
        <f t="shared" si="48"/>
        <v>0.9775626664</v>
      </c>
      <c r="E418" s="221">
        <f t="shared" si="48"/>
        <v>0</v>
      </c>
      <c r="F418" s="221">
        <f t="shared" si="12"/>
        <v>4394.677253</v>
      </c>
      <c r="G418" s="438">
        <f t="shared" si="4"/>
        <v>0.07874636707</v>
      </c>
      <c r="H418" s="220" t="str">
        <f t="shared" si="13"/>
        <v>Default standby Charge</v>
      </c>
      <c r="I418" s="182"/>
      <c r="J418" s="182"/>
      <c r="K418" s="11"/>
      <c r="L418" s="182"/>
      <c r="M418" s="182"/>
      <c r="N418" s="182"/>
      <c r="O418" s="182"/>
      <c r="P418" s="11"/>
      <c r="Q418" s="11"/>
      <c r="R418" s="11"/>
      <c r="S418" s="11"/>
      <c r="T418" s="11"/>
      <c r="U418" s="11"/>
      <c r="V418" s="11"/>
      <c r="W418" s="11"/>
      <c r="X418" s="11"/>
      <c r="Y418" s="11"/>
      <c r="Z418" s="11"/>
      <c r="AA418" s="11"/>
    </row>
    <row r="419" ht="15.75" customHeight="1">
      <c r="A419" s="435">
        <f t="shared" si="10"/>
        <v>1584</v>
      </c>
      <c r="B419" s="429" t="str">
        <f t="shared" si="40"/>
        <v>Charge</v>
      </c>
      <c r="C419" s="221">
        <f t="shared" ref="C419:E419" si="49">C59</f>
        <v>0</v>
      </c>
      <c r="D419" s="221">
        <f t="shared" si="49"/>
        <v>0.9775626664</v>
      </c>
      <c r="E419" s="221">
        <f t="shared" si="49"/>
        <v>0</v>
      </c>
      <c r="F419" s="221">
        <f t="shared" si="12"/>
        <v>4395.654816</v>
      </c>
      <c r="G419" s="438">
        <f t="shared" si="4"/>
        <v>0.0787638836</v>
      </c>
      <c r="H419" s="220" t="str">
        <f t="shared" si="13"/>
        <v>Default standby Charge</v>
      </c>
      <c r="I419" s="182"/>
      <c r="J419" s="182"/>
      <c r="K419" s="11"/>
      <c r="L419" s="182"/>
      <c r="M419" s="182"/>
      <c r="N419" s="182"/>
      <c r="O419" s="182"/>
      <c r="P419" s="11"/>
      <c r="Q419" s="11"/>
      <c r="R419" s="11"/>
      <c r="S419" s="11"/>
      <c r="T419" s="11"/>
      <c r="U419" s="11"/>
      <c r="V419" s="11"/>
      <c r="W419" s="11"/>
      <c r="X419" s="11"/>
      <c r="Y419" s="11"/>
      <c r="Z419" s="11"/>
      <c r="AA419" s="11"/>
    </row>
    <row r="420" ht="15.75" customHeight="1">
      <c r="A420" s="435">
        <f t="shared" si="10"/>
        <v>1588</v>
      </c>
      <c r="B420" s="429" t="str">
        <f t="shared" si="40"/>
        <v>Charge</v>
      </c>
      <c r="C420" s="221">
        <f t="shared" ref="C420:E420" si="50">C60</f>
        <v>0</v>
      </c>
      <c r="D420" s="221">
        <f t="shared" si="50"/>
        <v>0.9775626664</v>
      </c>
      <c r="E420" s="221">
        <f t="shared" si="50"/>
        <v>0</v>
      </c>
      <c r="F420" s="221">
        <f t="shared" si="12"/>
        <v>4396.632379</v>
      </c>
      <c r="G420" s="438">
        <f t="shared" si="4"/>
        <v>0.07878140013</v>
      </c>
      <c r="H420" s="220" t="str">
        <f t="shared" si="13"/>
        <v>Default standby Charge</v>
      </c>
      <c r="I420" s="182"/>
      <c r="J420" s="182"/>
      <c r="K420" s="11"/>
      <c r="L420" s="182"/>
      <c r="M420" s="182"/>
      <c r="N420" s="182"/>
      <c r="O420" s="182"/>
      <c r="P420" s="11"/>
      <c r="Q420" s="11"/>
      <c r="R420" s="11"/>
      <c r="S420" s="11"/>
      <c r="T420" s="11"/>
      <c r="U420" s="11"/>
      <c r="V420" s="11"/>
      <c r="W420" s="11"/>
      <c r="X420" s="11"/>
      <c r="Y420" s="11"/>
      <c r="Z420" s="11"/>
      <c r="AA420" s="11"/>
    </row>
    <row r="421" ht="15.75" customHeight="1">
      <c r="A421" s="435">
        <f t="shared" si="10"/>
        <v>1592</v>
      </c>
      <c r="B421" s="429" t="str">
        <f t="shared" si="40"/>
        <v>Charge</v>
      </c>
      <c r="C421" s="221">
        <f t="shared" ref="C421:E421" si="51">C61</f>
        <v>0</v>
      </c>
      <c r="D421" s="221">
        <f t="shared" si="51"/>
        <v>0.9775626664</v>
      </c>
      <c r="E421" s="221">
        <f t="shared" si="51"/>
        <v>0</v>
      </c>
      <c r="F421" s="221">
        <f t="shared" si="12"/>
        <v>4397.609941</v>
      </c>
      <c r="G421" s="438">
        <f t="shared" si="4"/>
        <v>0.07879891666</v>
      </c>
      <c r="H421" s="220" t="str">
        <f t="shared" si="13"/>
        <v>Default standby Charge</v>
      </c>
      <c r="I421" s="182"/>
      <c r="J421" s="182"/>
      <c r="K421" s="11"/>
      <c r="L421" s="182"/>
      <c r="M421" s="182"/>
      <c r="N421" s="182"/>
      <c r="O421" s="182"/>
      <c r="P421" s="11"/>
      <c r="Q421" s="11"/>
      <c r="R421" s="11"/>
      <c r="S421" s="11"/>
      <c r="T421" s="11"/>
      <c r="U421" s="11"/>
      <c r="V421" s="11"/>
      <c r="W421" s="11"/>
      <c r="X421" s="11"/>
      <c r="Y421" s="11"/>
      <c r="Z421" s="11"/>
      <c r="AA421" s="11"/>
    </row>
    <row r="422" ht="15.75" customHeight="1">
      <c r="A422" s="435">
        <f t="shared" si="10"/>
        <v>1596</v>
      </c>
      <c r="B422" s="429" t="str">
        <f t="shared" si="40"/>
        <v>Charge</v>
      </c>
      <c r="C422" s="221">
        <f t="shared" ref="C422:E422" si="52">C62</f>
        <v>0</v>
      </c>
      <c r="D422" s="221">
        <f t="shared" si="52"/>
        <v>0.9775626664</v>
      </c>
      <c r="E422" s="221">
        <f t="shared" si="52"/>
        <v>0</v>
      </c>
      <c r="F422" s="221">
        <f t="shared" si="12"/>
        <v>4398.587504</v>
      </c>
      <c r="G422" s="438">
        <f t="shared" si="4"/>
        <v>0.0788164332</v>
      </c>
      <c r="H422" s="220" t="str">
        <f t="shared" si="13"/>
        <v>Default standby Charge</v>
      </c>
      <c r="I422" s="182"/>
      <c r="J422" s="182"/>
      <c r="K422" s="11"/>
      <c r="L422" s="182"/>
      <c r="M422" s="182"/>
      <c r="N422" s="182"/>
      <c r="O422" s="182"/>
      <c r="P422" s="11"/>
      <c r="Q422" s="11"/>
      <c r="R422" s="11"/>
      <c r="S422" s="11"/>
      <c r="T422" s="11"/>
      <c r="U422" s="11"/>
      <c r="V422" s="11"/>
      <c r="W422" s="11"/>
      <c r="X422" s="11"/>
      <c r="Y422" s="11"/>
      <c r="Z422" s="11"/>
      <c r="AA422" s="11"/>
    </row>
    <row r="423" ht="15.75" customHeight="1">
      <c r="A423" s="435">
        <f t="shared" si="10"/>
        <v>1600</v>
      </c>
      <c r="B423" s="429" t="str">
        <f t="shared" si="40"/>
        <v>Charge</v>
      </c>
      <c r="C423" s="221">
        <f t="shared" ref="C423:E423" si="53">C63</f>
        <v>0</v>
      </c>
      <c r="D423" s="221">
        <f t="shared" si="53"/>
        <v>0.9775626664</v>
      </c>
      <c r="E423" s="221">
        <f t="shared" si="53"/>
        <v>0</v>
      </c>
      <c r="F423" s="221">
        <f t="shared" si="12"/>
        <v>4399.565067</v>
      </c>
      <c r="G423" s="438">
        <f t="shared" si="4"/>
        <v>0.07883394973</v>
      </c>
      <c r="H423" s="220" t="str">
        <f t="shared" si="13"/>
        <v>Default standby Charge</v>
      </c>
      <c r="I423" s="182"/>
      <c r="J423" s="182"/>
      <c r="K423" s="11"/>
      <c r="L423" s="182"/>
      <c r="M423" s="182"/>
      <c r="N423" s="182"/>
      <c r="O423" s="182"/>
      <c r="P423" s="11"/>
      <c r="Q423" s="11"/>
      <c r="R423" s="11"/>
      <c r="S423" s="11"/>
      <c r="T423" s="11"/>
      <c r="U423" s="11"/>
      <c r="V423" s="11"/>
      <c r="W423" s="11"/>
      <c r="X423" s="11"/>
      <c r="Y423" s="11"/>
      <c r="Z423" s="11"/>
      <c r="AA423" s="11"/>
    </row>
    <row r="424" ht="15.75" customHeight="1">
      <c r="A424" s="435">
        <f t="shared" si="10"/>
        <v>1604</v>
      </c>
      <c r="B424" s="429" t="str">
        <f t="shared" si="40"/>
        <v>Charge</v>
      </c>
      <c r="C424" s="221">
        <f t="shared" ref="C424:E424" si="54">C64</f>
        <v>0</v>
      </c>
      <c r="D424" s="221">
        <f t="shared" si="54"/>
        <v>0.9775626664</v>
      </c>
      <c r="E424" s="221">
        <f t="shared" si="54"/>
        <v>0</v>
      </c>
      <c r="F424" s="221">
        <f t="shared" si="12"/>
        <v>4400.542629</v>
      </c>
      <c r="G424" s="438">
        <f t="shared" si="4"/>
        <v>0.07885146626</v>
      </c>
      <c r="H424" s="220" t="str">
        <f t="shared" si="13"/>
        <v>Default standby Charge</v>
      </c>
      <c r="I424" s="182"/>
      <c r="J424" s="182"/>
      <c r="K424" s="11"/>
      <c r="L424" s="182"/>
      <c r="M424" s="182"/>
      <c r="N424" s="182"/>
      <c r="O424" s="182"/>
      <c r="P424" s="11"/>
      <c r="Q424" s="11"/>
      <c r="R424" s="11"/>
      <c r="S424" s="11"/>
      <c r="T424" s="11"/>
      <c r="U424" s="11"/>
      <c r="V424" s="11"/>
      <c r="W424" s="11"/>
      <c r="X424" s="11"/>
      <c r="Y424" s="11"/>
      <c r="Z424" s="11"/>
      <c r="AA424" s="11"/>
    </row>
    <row r="425" ht="15.75" customHeight="1">
      <c r="A425" s="435">
        <f t="shared" si="10"/>
        <v>1608</v>
      </c>
      <c r="B425" s="429" t="str">
        <f t="shared" si="40"/>
        <v>Charge</v>
      </c>
      <c r="C425" s="221">
        <f t="shared" ref="C425:E425" si="55">C65</f>
        <v>0</v>
      </c>
      <c r="D425" s="221">
        <f t="shared" si="55"/>
        <v>0.9775626664</v>
      </c>
      <c r="E425" s="221">
        <f t="shared" si="55"/>
        <v>0</v>
      </c>
      <c r="F425" s="221">
        <f t="shared" si="12"/>
        <v>4401.520192</v>
      </c>
      <c r="G425" s="438">
        <f t="shared" si="4"/>
        <v>0.0788689828</v>
      </c>
      <c r="H425" s="220" t="str">
        <f t="shared" si="13"/>
        <v>Default standby Charge</v>
      </c>
      <c r="I425" s="182"/>
      <c r="J425" s="182"/>
      <c r="K425" s="11"/>
      <c r="L425" s="182"/>
      <c r="M425" s="182"/>
      <c r="N425" s="182"/>
      <c r="O425" s="182"/>
      <c r="P425" s="11"/>
      <c r="Q425" s="11"/>
      <c r="R425" s="11"/>
      <c r="S425" s="11"/>
      <c r="T425" s="11"/>
      <c r="U425" s="11"/>
      <c r="V425" s="11"/>
      <c r="W425" s="11"/>
      <c r="X425" s="11"/>
      <c r="Y425" s="11"/>
      <c r="Z425" s="11"/>
      <c r="AA425" s="11"/>
    </row>
    <row r="426" ht="15.75" customHeight="1">
      <c r="A426" s="435">
        <f t="shared" si="10"/>
        <v>1612</v>
      </c>
      <c r="B426" s="429" t="str">
        <f t="shared" si="40"/>
        <v>Charge</v>
      </c>
      <c r="C426" s="221">
        <f t="shared" ref="C426:E426" si="56">C66</f>
        <v>0</v>
      </c>
      <c r="D426" s="221">
        <f t="shared" si="56"/>
        <v>0.9775626664</v>
      </c>
      <c r="E426" s="221">
        <f t="shared" si="56"/>
        <v>0</v>
      </c>
      <c r="F426" s="221">
        <f t="shared" si="12"/>
        <v>4402.497755</v>
      </c>
      <c r="G426" s="438">
        <f t="shared" si="4"/>
        <v>0.07888649933</v>
      </c>
      <c r="H426" s="220" t="str">
        <f t="shared" si="13"/>
        <v>Default standby Charge</v>
      </c>
      <c r="I426" s="182"/>
      <c r="J426" s="182"/>
      <c r="K426" s="11"/>
      <c r="L426" s="182"/>
      <c r="M426" s="182"/>
      <c r="N426" s="182"/>
      <c r="O426" s="182"/>
      <c r="P426" s="11"/>
      <c r="Q426" s="11"/>
      <c r="R426" s="11"/>
      <c r="S426" s="11"/>
      <c r="T426" s="11"/>
      <c r="U426" s="11"/>
      <c r="V426" s="11"/>
      <c r="W426" s="11"/>
      <c r="X426" s="11"/>
      <c r="Y426" s="11"/>
      <c r="Z426" s="11"/>
      <c r="AA426" s="11"/>
    </row>
    <row r="427" ht="15.75" customHeight="1">
      <c r="A427" s="435">
        <f t="shared" si="10"/>
        <v>1616</v>
      </c>
      <c r="B427" s="429" t="str">
        <f t="shared" si="40"/>
        <v>Charge</v>
      </c>
      <c r="C427" s="221">
        <f t="shared" ref="C427:E427" si="57">C67</f>
        <v>0</v>
      </c>
      <c r="D427" s="221">
        <f t="shared" si="57"/>
        <v>0.9775626664</v>
      </c>
      <c r="E427" s="221">
        <f t="shared" si="57"/>
        <v>0</v>
      </c>
      <c r="F427" s="221">
        <f t="shared" si="12"/>
        <v>4403.475317</v>
      </c>
      <c r="G427" s="438">
        <f t="shared" si="4"/>
        <v>0.07890401586</v>
      </c>
      <c r="H427" s="220" t="str">
        <f t="shared" si="13"/>
        <v>Default standby Charge</v>
      </c>
      <c r="I427" s="182"/>
      <c r="J427" s="182"/>
      <c r="K427" s="11"/>
      <c r="L427" s="182"/>
      <c r="M427" s="182"/>
      <c r="N427" s="182"/>
      <c r="O427" s="182"/>
      <c r="P427" s="11"/>
      <c r="Q427" s="11"/>
      <c r="R427" s="11"/>
      <c r="S427" s="11"/>
      <c r="T427" s="11"/>
      <c r="U427" s="11"/>
      <c r="V427" s="11"/>
      <c r="W427" s="11"/>
      <c r="X427" s="11"/>
      <c r="Y427" s="11"/>
      <c r="Z427" s="11"/>
      <c r="AA427" s="11"/>
    </row>
    <row r="428" ht="15.75" customHeight="1">
      <c r="A428" s="435">
        <f t="shared" si="10"/>
        <v>1620</v>
      </c>
      <c r="B428" s="451" t="str">
        <f t="shared" ref="B428:E428" si="58">B68</f>
        <v>Science A</v>
      </c>
      <c r="C428" s="221">
        <f t="shared" si="58"/>
        <v>8</v>
      </c>
      <c r="D428" s="221">
        <f t="shared" si="58"/>
        <v>32.84956267</v>
      </c>
      <c r="E428" s="221">
        <f t="shared" si="58"/>
        <v>0</v>
      </c>
      <c r="F428" s="221">
        <f t="shared" si="12"/>
        <v>4436.32488</v>
      </c>
      <c r="G428" s="438">
        <f t="shared" si="4"/>
        <v>0.07949263331</v>
      </c>
      <c r="H428" s="220" t="str">
        <f t="shared" si="13"/>
        <v>Science data acquisition and storage</v>
      </c>
      <c r="I428" s="182"/>
      <c r="J428" s="182"/>
      <c r="K428" s="11"/>
      <c r="L428" s="182"/>
      <c r="M428" s="182"/>
      <c r="N428" s="182"/>
      <c r="O428" s="182"/>
      <c r="P428" s="11"/>
      <c r="Q428" s="11"/>
      <c r="R428" s="11"/>
      <c r="S428" s="11"/>
      <c r="T428" s="11"/>
      <c r="U428" s="11"/>
      <c r="V428" s="11"/>
      <c r="W428" s="11"/>
      <c r="X428" s="11"/>
      <c r="Y428" s="11"/>
      <c r="Z428" s="11"/>
      <c r="AA428" s="11"/>
    </row>
    <row r="429" ht="15.75" customHeight="1">
      <c r="A429" s="435">
        <f t="shared" si="10"/>
        <v>1624</v>
      </c>
      <c r="B429" s="451" t="str">
        <f t="shared" ref="B429:E429" si="59">B69</f>
        <v>Science A</v>
      </c>
      <c r="C429" s="221">
        <f t="shared" si="59"/>
        <v>8</v>
      </c>
      <c r="D429" s="221">
        <f t="shared" si="59"/>
        <v>32.84956267</v>
      </c>
      <c r="E429" s="221">
        <f t="shared" si="59"/>
        <v>0</v>
      </c>
      <c r="F429" s="221">
        <f t="shared" si="12"/>
        <v>4469.174443</v>
      </c>
      <c r="G429" s="438">
        <f t="shared" si="4"/>
        <v>0.08008125076</v>
      </c>
      <c r="H429" s="220" t="str">
        <f t="shared" si="13"/>
        <v>Science data acquisition and storage</v>
      </c>
      <c r="I429" s="182"/>
      <c r="J429" s="182"/>
      <c r="K429" s="11"/>
      <c r="L429" s="182"/>
      <c r="M429" s="182"/>
      <c r="N429" s="182"/>
      <c r="O429" s="182"/>
      <c r="P429" s="11"/>
      <c r="Q429" s="11"/>
      <c r="R429" s="11"/>
      <c r="S429" s="11"/>
      <c r="T429" s="11"/>
      <c r="U429" s="11"/>
      <c r="V429" s="11"/>
      <c r="W429" s="11"/>
      <c r="X429" s="11"/>
      <c r="Y429" s="11"/>
      <c r="Z429" s="11"/>
      <c r="AA429" s="11"/>
    </row>
    <row r="430" ht="15.75" customHeight="1">
      <c r="A430" s="435">
        <f t="shared" si="10"/>
        <v>1628</v>
      </c>
      <c r="B430" s="451" t="str">
        <f t="shared" ref="B430:E430" si="60">B70</f>
        <v>Science A</v>
      </c>
      <c r="C430" s="221">
        <f t="shared" si="60"/>
        <v>8</v>
      </c>
      <c r="D430" s="221">
        <f t="shared" si="60"/>
        <v>32.84956267</v>
      </c>
      <c r="E430" s="221">
        <f t="shared" si="60"/>
        <v>0</v>
      </c>
      <c r="F430" s="221">
        <f t="shared" si="12"/>
        <v>4502.024005</v>
      </c>
      <c r="G430" s="438">
        <f t="shared" si="4"/>
        <v>0.08066986821</v>
      </c>
      <c r="H430" s="220" t="str">
        <f t="shared" si="13"/>
        <v>Science data acquisition and storage</v>
      </c>
      <c r="I430" s="182"/>
      <c r="J430" s="182"/>
      <c r="K430" s="11"/>
      <c r="L430" s="182"/>
      <c r="M430" s="182"/>
      <c r="N430" s="182"/>
      <c r="O430" s="182"/>
      <c r="P430" s="11"/>
      <c r="Q430" s="11"/>
      <c r="R430" s="11"/>
      <c r="S430" s="11"/>
      <c r="T430" s="11"/>
      <c r="U430" s="11"/>
      <c r="V430" s="11"/>
      <c r="W430" s="11"/>
      <c r="X430" s="11"/>
      <c r="Y430" s="11"/>
      <c r="Z430" s="11"/>
      <c r="AA430" s="11"/>
    </row>
    <row r="431" ht="15.75" customHeight="1">
      <c r="A431" s="435">
        <f t="shared" si="10"/>
        <v>1632</v>
      </c>
      <c r="B431" s="451" t="str">
        <f t="shared" ref="B431:E431" si="61">B71</f>
        <v>Science A</v>
      </c>
      <c r="C431" s="221">
        <f t="shared" si="61"/>
        <v>8</v>
      </c>
      <c r="D431" s="221">
        <f t="shared" si="61"/>
        <v>32.84956267</v>
      </c>
      <c r="E431" s="221">
        <f t="shared" si="61"/>
        <v>0</v>
      </c>
      <c r="F431" s="221">
        <f t="shared" si="12"/>
        <v>4534.873568</v>
      </c>
      <c r="G431" s="438">
        <f t="shared" si="4"/>
        <v>0.08125848566</v>
      </c>
      <c r="H431" s="220" t="str">
        <f t="shared" si="13"/>
        <v>Science data acquisition and storage</v>
      </c>
      <c r="I431" s="182"/>
      <c r="J431" s="182"/>
      <c r="K431" s="11"/>
      <c r="L431" s="182"/>
      <c r="M431" s="182"/>
      <c r="N431" s="182"/>
      <c r="O431" s="182"/>
      <c r="P431" s="11"/>
      <c r="Q431" s="11"/>
      <c r="R431" s="11"/>
      <c r="S431" s="11"/>
      <c r="T431" s="11"/>
      <c r="U431" s="11"/>
      <c r="V431" s="11"/>
      <c r="W431" s="11"/>
      <c r="X431" s="11"/>
      <c r="Y431" s="11"/>
      <c r="Z431" s="11"/>
      <c r="AA431" s="11"/>
    </row>
    <row r="432" ht="15.75" customHeight="1">
      <c r="A432" s="435">
        <f t="shared" si="10"/>
        <v>1636</v>
      </c>
      <c r="B432" s="451" t="str">
        <f t="shared" ref="B432:E432" si="62">B72</f>
        <v>Science A</v>
      </c>
      <c r="C432" s="221">
        <f t="shared" si="62"/>
        <v>8</v>
      </c>
      <c r="D432" s="221">
        <f t="shared" si="62"/>
        <v>32.84956267</v>
      </c>
      <c r="E432" s="221">
        <f t="shared" si="62"/>
        <v>0</v>
      </c>
      <c r="F432" s="221">
        <f t="shared" si="12"/>
        <v>4567.723131</v>
      </c>
      <c r="G432" s="438">
        <f t="shared" si="4"/>
        <v>0.08184710311</v>
      </c>
      <c r="H432" s="220" t="str">
        <f t="shared" si="13"/>
        <v>Science data acquisition and storage</v>
      </c>
      <c r="I432" s="182"/>
      <c r="J432" s="182"/>
      <c r="K432" s="11"/>
      <c r="L432" s="182"/>
      <c r="M432" s="182"/>
      <c r="N432" s="182"/>
      <c r="O432" s="182"/>
      <c r="P432" s="11"/>
      <c r="Q432" s="11"/>
      <c r="R432" s="11"/>
      <c r="S432" s="11"/>
      <c r="T432" s="11"/>
      <c r="U432" s="11"/>
      <c r="V432" s="11"/>
      <c r="W432" s="11"/>
      <c r="X432" s="11"/>
      <c r="Y432" s="11"/>
      <c r="Z432" s="11"/>
      <c r="AA432" s="11"/>
    </row>
    <row r="433" ht="15.75" customHeight="1">
      <c r="A433" s="435">
        <f t="shared" si="10"/>
        <v>1640</v>
      </c>
      <c r="B433" s="451" t="str">
        <f t="shared" ref="B433:E433" si="63">B73</f>
        <v>Science A</v>
      </c>
      <c r="C433" s="221">
        <f t="shared" si="63"/>
        <v>8</v>
      </c>
      <c r="D433" s="221">
        <f t="shared" si="63"/>
        <v>32.84956267</v>
      </c>
      <c r="E433" s="221">
        <f t="shared" si="63"/>
        <v>0</v>
      </c>
      <c r="F433" s="221">
        <f t="shared" si="12"/>
        <v>4600.572693</v>
      </c>
      <c r="G433" s="438">
        <f t="shared" si="4"/>
        <v>0.08243572056</v>
      </c>
      <c r="H433" s="220" t="str">
        <f t="shared" si="13"/>
        <v>Science data acquisition and storage</v>
      </c>
      <c r="I433" s="182"/>
      <c r="J433" s="182"/>
      <c r="K433" s="11"/>
      <c r="L433" s="182"/>
      <c r="M433" s="182"/>
      <c r="N433" s="182"/>
      <c r="O433" s="182"/>
      <c r="P433" s="11"/>
      <c r="Q433" s="11"/>
      <c r="R433" s="11"/>
      <c r="S433" s="11"/>
      <c r="T433" s="11"/>
      <c r="U433" s="11"/>
      <c r="V433" s="11"/>
      <c r="W433" s="11"/>
      <c r="X433" s="11"/>
      <c r="Y433" s="11"/>
      <c r="Z433" s="11"/>
      <c r="AA433" s="11"/>
    </row>
    <row r="434" ht="15.75" customHeight="1">
      <c r="A434" s="435">
        <f t="shared" si="10"/>
        <v>1644</v>
      </c>
      <c r="B434" s="451" t="str">
        <f t="shared" ref="B434:E434" si="64">B74</f>
        <v>Science A</v>
      </c>
      <c r="C434" s="221">
        <f t="shared" si="64"/>
        <v>8</v>
      </c>
      <c r="D434" s="221">
        <f t="shared" si="64"/>
        <v>32.84956267</v>
      </c>
      <c r="E434" s="221">
        <f t="shared" si="64"/>
        <v>0</v>
      </c>
      <c r="F434" s="221">
        <f t="shared" si="12"/>
        <v>4633.422256</v>
      </c>
      <c r="G434" s="438">
        <f t="shared" si="4"/>
        <v>0.08302433801</v>
      </c>
      <c r="H434" s="220" t="str">
        <f t="shared" si="13"/>
        <v>Science data acquisition and storage</v>
      </c>
      <c r="I434" s="182"/>
      <c r="J434" s="182"/>
      <c r="K434" s="11"/>
      <c r="L434" s="182"/>
      <c r="M434" s="182"/>
      <c r="N434" s="182"/>
      <c r="O434" s="182"/>
      <c r="P434" s="11"/>
      <c r="Q434" s="11"/>
      <c r="R434" s="11"/>
      <c r="S434" s="11"/>
      <c r="T434" s="11"/>
      <c r="U434" s="11"/>
      <c r="V434" s="11"/>
      <c r="W434" s="11"/>
      <c r="X434" s="11"/>
      <c r="Y434" s="11"/>
      <c r="Z434" s="11"/>
      <c r="AA434" s="11"/>
    </row>
    <row r="435" ht="15.75" customHeight="1">
      <c r="A435" s="435">
        <f t="shared" si="10"/>
        <v>1648</v>
      </c>
      <c r="B435" s="451" t="str">
        <f t="shared" ref="B435:E435" si="65">B75</f>
        <v>Science A</v>
      </c>
      <c r="C435" s="221">
        <f t="shared" si="65"/>
        <v>8</v>
      </c>
      <c r="D435" s="221">
        <f t="shared" si="65"/>
        <v>32.84956267</v>
      </c>
      <c r="E435" s="221">
        <f t="shared" si="65"/>
        <v>0</v>
      </c>
      <c r="F435" s="221">
        <f t="shared" si="12"/>
        <v>4666.271819</v>
      </c>
      <c r="G435" s="438">
        <f t="shared" si="4"/>
        <v>0.08361295546</v>
      </c>
      <c r="H435" s="220" t="str">
        <f t="shared" si="13"/>
        <v>Science data acquisition and storage</v>
      </c>
      <c r="I435" s="182"/>
      <c r="J435" s="182"/>
      <c r="K435" s="11"/>
      <c r="L435" s="182"/>
      <c r="M435" s="182"/>
      <c r="N435" s="182"/>
      <c r="O435" s="182"/>
      <c r="P435" s="11"/>
      <c r="Q435" s="11"/>
      <c r="R435" s="11"/>
      <c r="S435" s="11"/>
      <c r="T435" s="11"/>
      <c r="U435" s="11"/>
      <c r="V435" s="11"/>
      <c r="W435" s="11"/>
      <c r="X435" s="11"/>
      <c r="Y435" s="11"/>
      <c r="Z435" s="11"/>
      <c r="AA435" s="11"/>
    </row>
    <row r="436" ht="15.75" customHeight="1">
      <c r="A436" s="435">
        <f t="shared" si="10"/>
        <v>1652</v>
      </c>
      <c r="B436" s="451" t="str">
        <f t="shared" ref="B436:E436" si="66">B76</f>
        <v>Science A</v>
      </c>
      <c r="C436" s="221">
        <f t="shared" si="66"/>
        <v>8</v>
      </c>
      <c r="D436" s="221">
        <f t="shared" si="66"/>
        <v>32.84956267</v>
      </c>
      <c r="E436" s="221">
        <f t="shared" si="66"/>
        <v>0</v>
      </c>
      <c r="F436" s="221">
        <f t="shared" si="12"/>
        <v>4699.121381</v>
      </c>
      <c r="G436" s="438">
        <f t="shared" si="4"/>
        <v>0.08420157291</v>
      </c>
      <c r="H436" s="220" t="str">
        <f t="shared" si="13"/>
        <v>Science data acquisition and storage</v>
      </c>
      <c r="I436" s="182"/>
      <c r="J436" s="182"/>
      <c r="K436" s="11"/>
      <c r="L436" s="182"/>
      <c r="M436" s="182"/>
      <c r="N436" s="182"/>
      <c r="O436" s="182"/>
      <c r="P436" s="11"/>
      <c r="Q436" s="11"/>
      <c r="R436" s="11"/>
      <c r="S436" s="11"/>
      <c r="T436" s="11"/>
      <c r="U436" s="11"/>
      <c r="V436" s="11"/>
      <c r="W436" s="11"/>
      <c r="X436" s="11"/>
      <c r="Y436" s="11"/>
      <c r="Z436" s="11"/>
      <c r="AA436" s="11"/>
    </row>
    <row r="437" ht="15.75" customHeight="1">
      <c r="A437" s="435">
        <f t="shared" si="10"/>
        <v>1656</v>
      </c>
      <c r="B437" s="451" t="str">
        <f t="shared" ref="B437:E437" si="67">B77</f>
        <v>Science A</v>
      </c>
      <c r="C437" s="221">
        <f t="shared" si="67"/>
        <v>8</v>
      </c>
      <c r="D437" s="221">
        <f t="shared" si="67"/>
        <v>32.84956267</v>
      </c>
      <c r="E437" s="221">
        <f t="shared" si="67"/>
        <v>0</v>
      </c>
      <c r="F437" s="221">
        <f t="shared" si="12"/>
        <v>4731.970944</v>
      </c>
      <c r="G437" s="438">
        <f t="shared" si="4"/>
        <v>0.08479019036</v>
      </c>
      <c r="H437" s="220" t="str">
        <f t="shared" si="13"/>
        <v>Science data acquisition and storage</v>
      </c>
      <c r="I437" s="182"/>
      <c r="J437" s="182"/>
      <c r="K437" s="11"/>
      <c r="L437" s="182"/>
      <c r="M437" s="182"/>
      <c r="N437" s="182"/>
      <c r="O437" s="182"/>
      <c r="P437" s="11"/>
      <c r="Q437" s="11"/>
      <c r="R437" s="11"/>
      <c r="S437" s="11"/>
      <c r="T437" s="11"/>
      <c r="U437" s="11"/>
      <c r="V437" s="11"/>
      <c r="W437" s="11"/>
      <c r="X437" s="11"/>
      <c r="Y437" s="11"/>
      <c r="Z437" s="11"/>
      <c r="AA437" s="11"/>
    </row>
    <row r="438" ht="15.75" customHeight="1">
      <c r="A438" s="435">
        <f t="shared" si="10"/>
        <v>1660</v>
      </c>
      <c r="B438" s="451" t="str">
        <f t="shared" ref="B438:E438" si="68">B78</f>
        <v>Science A</v>
      </c>
      <c r="C438" s="221">
        <f t="shared" si="68"/>
        <v>8</v>
      </c>
      <c r="D438" s="221">
        <f t="shared" si="68"/>
        <v>32.84956267</v>
      </c>
      <c r="E438" s="221">
        <f t="shared" si="68"/>
        <v>0</v>
      </c>
      <c r="F438" s="221">
        <f t="shared" si="12"/>
        <v>4764.820507</v>
      </c>
      <c r="G438" s="438">
        <f t="shared" si="4"/>
        <v>0.08537880782</v>
      </c>
      <c r="H438" s="220" t="str">
        <f t="shared" si="13"/>
        <v>Science data acquisition and storage</v>
      </c>
      <c r="I438" s="182"/>
      <c r="J438" s="182"/>
      <c r="K438" s="11"/>
      <c r="L438" s="182"/>
      <c r="M438" s="182"/>
      <c r="N438" s="182"/>
      <c r="O438" s="182"/>
      <c r="P438" s="11"/>
      <c r="Q438" s="11"/>
      <c r="R438" s="11"/>
      <c r="S438" s="11"/>
      <c r="T438" s="11"/>
      <c r="U438" s="11"/>
      <c r="V438" s="11"/>
      <c r="W438" s="11"/>
      <c r="X438" s="11"/>
      <c r="Y438" s="11"/>
      <c r="Z438" s="11"/>
      <c r="AA438" s="11"/>
    </row>
    <row r="439" ht="15.75" customHeight="1">
      <c r="A439" s="435">
        <f t="shared" si="10"/>
        <v>1664</v>
      </c>
      <c r="B439" s="451" t="str">
        <f t="shared" ref="B439:E439" si="69">B79</f>
        <v>Science A</v>
      </c>
      <c r="C439" s="221">
        <f t="shared" si="69"/>
        <v>8</v>
      </c>
      <c r="D439" s="221">
        <f t="shared" si="69"/>
        <v>32.84956267</v>
      </c>
      <c r="E439" s="221">
        <f t="shared" si="69"/>
        <v>0</v>
      </c>
      <c r="F439" s="221">
        <f t="shared" si="12"/>
        <v>4797.670069</v>
      </c>
      <c r="G439" s="438">
        <f t="shared" si="4"/>
        <v>0.08596742527</v>
      </c>
      <c r="H439" s="220" t="str">
        <f t="shared" si="13"/>
        <v>Science data acquisition and storage</v>
      </c>
      <c r="I439" s="182"/>
      <c r="J439" s="182"/>
      <c r="K439" s="11"/>
      <c r="L439" s="182"/>
      <c r="M439" s="182"/>
      <c r="N439" s="182"/>
      <c r="O439" s="182"/>
      <c r="P439" s="11"/>
      <c r="Q439" s="11"/>
      <c r="R439" s="11"/>
      <c r="S439" s="11"/>
      <c r="T439" s="11"/>
      <c r="U439" s="11"/>
      <c r="V439" s="11"/>
      <c r="W439" s="11"/>
      <c r="X439" s="11"/>
      <c r="Y439" s="11"/>
      <c r="Z439" s="11"/>
      <c r="AA439" s="11"/>
    </row>
    <row r="440" ht="15.75" customHeight="1">
      <c r="A440" s="435">
        <f t="shared" si="10"/>
        <v>1668</v>
      </c>
      <c r="B440" s="451" t="str">
        <f t="shared" ref="B440:E440" si="70">B80</f>
        <v>Science A</v>
      </c>
      <c r="C440" s="221">
        <f t="shared" si="70"/>
        <v>8</v>
      </c>
      <c r="D440" s="221">
        <f t="shared" si="70"/>
        <v>32.84956267</v>
      </c>
      <c r="E440" s="221">
        <f t="shared" si="70"/>
        <v>0</v>
      </c>
      <c r="F440" s="221">
        <f t="shared" si="12"/>
        <v>4830.519632</v>
      </c>
      <c r="G440" s="438">
        <f t="shared" si="4"/>
        <v>0.08655604272</v>
      </c>
      <c r="H440" s="220" t="str">
        <f t="shared" si="13"/>
        <v>Science data acquisition and storage</v>
      </c>
      <c r="I440" s="182"/>
      <c r="J440" s="182"/>
      <c r="K440" s="11"/>
      <c r="L440" s="182"/>
      <c r="M440" s="182"/>
      <c r="N440" s="182"/>
      <c r="O440" s="182"/>
      <c r="P440" s="11"/>
      <c r="Q440" s="11"/>
      <c r="R440" s="11"/>
      <c r="S440" s="11"/>
      <c r="T440" s="11"/>
      <c r="U440" s="11"/>
      <c r="V440" s="11"/>
      <c r="W440" s="11"/>
      <c r="X440" s="11"/>
      <c r="Y440" s="11"/>
      <c r="Z440" s="11"/>
      <c r="AA440" s="11"/>
    </row>
    <row r="441" ht="15.75" customHeight="1">
      <c r="A441" s="435">
        <f t="shared" si="10"/>
        <v>1672</v>
      </c>
      <c r="B441" s="451" t="str">
        <f t="shared" ref="B441:E441" si="71">B81</f>
        <v>Science A</v>
      </c>
      <c r="C441" s="221">
        <f t="shared" si="71"/>
        <v>8</v>
      </c>
      <c r="D441" s="221">
        <f t="shared" si="71"/>
        <v>32.84956267</v>
      </c>
      <c r="E441" s="221">
        <f t="shared" si="71"/>
        <v>0</v>
      </c>
      <c r="F441" s="221">
        <f t="shared" si="12"/>
        <v>4863.369195</v>
      </c>
      <c r="G441" s="438">
        <f t="shared" si="4"/>
        <v>0.08714466017</v>
      </c>
      <c r="H441" s="220" t="str">
        <f t="shared" si="13"/>
        <v>Science data acquisition and storage</v>
      </c>
      <c r="I441" s="182"/>
      <c r="J441" s="182"/>
      <c r="K441" s="11"/>
      <c r="L441" s="182"/>
      <c r="M441" s="182"/>
      <c r="N441" s="182"/>
      <c r="O441" s="182"/>
      <c r="P441" s="11"/>
      <c r="Q441" s="11"/>
      <c r="R441" s="11"/>
      <c r="S441" s="11"/>
      <c r="T441" s="11"/>
      <c r="U441" s="11"/>
      <c r="V441" s="11"/>
      <c r="W441" s="11"/>
      <c r="X441" s="11"/>
      <c r="Y441" s="11"/>
      <c r="Z441" s="11"/>
      <c r="AA441" s="11"/>
    </row>
    <row r="442" ht="15.75" customHeight="1">
      <c r="A442" s="435">
        <f t="shared" si="10"/>
        <v>1676</v>
      </c>
      <c r="B442" s="451" t="str">
        <f t="shared" ref="B442:E442" si="72">B82</f>
        <v>Science A</v>
      </c>
      <c r="C442" s="221">
        <f t="shared" si="72"/>
        <v>8</v>
      </c>
      <c r="D442" s="221">
        <f t="shared" si="72"/>
        <v>32.84956267</v>
      </c>
      <c r="E442" s="221">
        <f t="shared" si="72"/>
        <v>0</v>
      </c>
      <c r="F442" s="221">
        <f t="shared" si="12"/>
        <v>4896.218757</v>
      </c>
      <c r="G442" s="438">
        <f t="shared" si="4"/>
        <v>0.08773327762</v>
      </c>
      <c r="H442" s="220" t="str">
        <f t="shared" si="13"/>
        <v>Science data acquisition and storage</v>
      </c>
      <c r="I442" s="182"/>
      <c r="J442" s="182"/>
      <c r="K442" s="11"/>
      <c r="L442" s="182"/>
      <c r="M442" s="182"/>
      <c r="N442" s="182"/>
      <c r="O442" s="182"/>
      <c r="P442" s="11"/>
      <c r="Q442" s="11"/>
      <c r="R442" s="11"/>
      <c r="S442" s="11"/>
      <c r="T442" s="11"/>
      <c r="U442" s="11"/>
      <c r="V442" s="11"/>
      <c r="W442" s="11"/>
      <c r="X442" s="11"/>
      <c r="Y442" s="11"/>
      <c r="Z442" s="11"/>
      <c r="AA442" s="11"/>
    </row>
    <row r="443" ht="15.75" customHeight="1">
      <c r="A443" s="435">
        <f t="shared" si="10"/>
        <v>1680</v>
      </c>
      <c r="B443" s="451" t="str">
        <f t="shared" ref="B443:E443" si="73">B83</f>
        <v>Science A</v>
      </c>
      <c r="C443" s="221">
        <f t="shared" si="73"/>
        <v>8</v>
      </c>
      <c r="D443" s="221">
        <f t="shared" si="73"/>
        <v>32.84956267</v>
      </c>
      <c r="E443" s="221">
        <f t="shared" si="73"/>
        <v>0</v>
      </c>
      <c r="F443" s="221">
        <f t="shared" si="12"/>
        <v>4929.06832</v>
      </c>
      <c r="G443" s="438">
        <f t="shared" si="4"/>
        <v>0.08832189507</v>
      </c>
      <c r="H443" s="220" t="str">
        <f t="shared" si="13"/>
        <v>Science data acquisition and storage</v>
      </c>
      <c r="I443" s="182"/>
      <c r="J443" s="182"/>
      <c r="K443" s="11"/>
      <c r="L443" s="182"/>
      <c r="M443" s="182"/>
      <c r="N443" s="182"/>
      <c r="O443" s="182"/>
      <c r="P443" s="11"/>
      <c r="Q443" s="11"/>
      <c r="R443" s="11"/>
      <c r="S443" s="11"/>
      <c r="T443" s="11"/>
      <c r="U443" s="11"/>
      <c r="V443" s="11"/>
      <c r="W443" s="11"/>
      <c r="X443" s="11"/>
      <c r="Y443" s="11"/>
      <c r="Z443" s="11"/>
      <c r="AA443" s="11"/>
    </row>
    <row r="444" ht="15.75" customHeight="1">
      <c r="A444" s="435">
        <f t="shared" si="10"/>
        <v>1684</v>
      </c>
      <c r="B444" s="451" t="str">
        <f t="shared" ref="B444:E444" si="74">B84</f>
        <v>Science A</v>
      </c>
      <c r="C444" s="221">
        <f t="shared" si="74"/>
        <v>8</v>
      </c>
      <c r="D444" s="221">
        <f t="shared" si="74"/>
        <v>32.84956267</v>
      </c>
      <c r="E444" s="221">
        <f t="shared" si="74"/>
        <v>0</v>
      </c>
      <c r="F444" s="221">
        <f t="shared" si="12"/>
        <v>4961.917883</v>
      </c>
      <c r="G444" s="438">
        <f t="shared" si="4"/>
        <v>0.08891051252</v>
      </c>
      <c r="H444" s="220" t="str">
        <f t="shared" si="13"/>
        <v>Science data acquisition and storage</v>
      </c>
      <c r="I444" s="182"/>
      <c r="J444" s="182"/>
      <c r="K444" s="11"/>
      <c r="L444" s="182"/>
      <c r="M444" s="182"/>
      <c r="N444" s="182"/>
      <c r="O444" s="182"/>
      <c r="P444" s="11"/>
      <c r="Q444" s="11"/>
      <c r="R444" s="11"/>
      <c r="S444" s="11"/>
      <c r="T444" s="11"/>
      <c r="U444" s="11"/>
      <c r="V444" s="11"/>
      <c r="W444" s="11"/>
      <c r="X444" s="11"/>
      <c r="Y444" s="11"/>
      <c r="Z444" s="11"/>
      <c r="AA444" s="11"/>
    </row>
    <row r="445" ht="15.75" customHeight="1">
      <c r="A445" s="435">
        <f t="shared" si="10"/>
        <v>1688</v>
      </c>
      <c r="B445" s="451" t="str">
        <f t="shared" ref="B445:E445" si="75">B85</f>
        <v>Science A</v>
      </c>
      <c r="C445" s="221">
        <f t="shared" si="75"/>
        <v>8</v>
      </c>
      <c r="D445" s="221">
        <f t="shared" si="75"/>
        <v>32.84956267</v>
      </c>
      <c r="E445" s="221">
        <f t="shared" si="75"/>
        <v>0</v>
      </c>
      <c r="F445" s="221">
        <f t="shared" si="12"/>
        <v>4994.767445</v>
      </c>
      <c r="G445" s="438">
        <f t="shared" si="4"/>
        <v>0.08949912997</v>
      </c>
      <c r="H445" s="220" t="str">
        <f t="shared" si="13"/>
        <v>Science data acquisition and storage</v>
      </c>
      <c r="I445" s="182"/>
      <c r="J445" s="182"/>
      <c r="K445" s="11"/>
      <c r="L445" s="182"/>
      <c r="M445" s="182"/>
      <c r="N445" s="182"/>
      <c r="O445" s="182"/>
      <c r="P445" s="11"/>
      <c r="Q445" s="11"/>
      <c r="R445" s="11"/>
      <c r="S445" s="11"/>
      <c r="T445" s="11"/>
      <c r="U445" s="11"/>
      <c r="V445" s="11"/>
      <c r="W445" s="11"/>
      <c r="X445" s="11"/>
      <c r="Y445" s="11"/>
      <c r="Z445" s="11"/>
      <c r="AA445" s="11"/>
    </row>
    <row r="446" ht="15.75" customHeight="1">
      <c r="A446" s="435">
        <f t="shared" si="10"/>
        <v>1692</v>
      </c>
      <c r="B446" s="451" t="str">
        <f t="shared" ref="B446:E446" si="76">B86</f>
        <v>Science A</v>
      </c>
      <c r="C446" s="221">
        <f t="shared" si="76"/>
        <v>8</v>
      </c>
      <c r="D446" s="221">
        <f t="shared" si="76"/>
        <v>32.84956267</v>
      </c>
      <c r="E446" s="221">
        <f t="shared" si="76"/>
        <v>0</v>
      </c>
      <c r="F446" s="221">
        <f t="shared" si="12"/>
        <v>5027.617008</v>
      </c>
      <c r="G446" s="438">
        <f t="shared" si="4"/>
        <v>0.09008774742</v>
      </c>
      <c r="H446" s="220" t="str">
        <f t="shared" si="13"/>
        <v>Science data acquisition and storage</v>
      </c>
      <c r="I446" s="182"/>
      <c r="J446" s="182"/>
      <c r="K446" s="11"/>
      <c r="L446" s="182"/>
      <c r="M446" s="182"/>
      <c r="N446" s="182"/>
      <c r="O446" s="182"/>
      <c r="P446" s="11"/>
      <c r="Q446" s="11"/>
      <c r="R446" s="11"/>
      <c r="S446" s="11"/>
      <c r="T446" s="11"/>
      <c r="U446" s="11"/>
      <c r="V446" s="11"/>
      <c r="W446" s="11"/>
      <c r="X446" s="11"/>
      <c r="Y446" s="11"/>
      <c r="Z446" s="11"/>
      <c r="AA446" s="11"/>
    </row>
    <row r="447" ht="15.75" customHeight="1">
      <c r="A447" s="435">
        <f t="shared" si="10"/>
        <v>1696</v>
      </c>
      <c r="B447" s="451" t="str">
        <f t="shared" ref="B447:E447" si="77">B87</f>
        <v>Science A</v>
      </c>
      <c r="C447" s="221">
        <f t="shared" si="77"/>
        <v>8</v>
      </c>
      <c r="D447" s="221">
        <f t="shared" si="77"/>
        <v>32.84956267</v>
      </c>
      <c r="E447" s="221">
        <f t="shared" si="77"/>
        <v>0</v>
      </c>
      <c r="F447" s="221">
        <f t="shared" si="12"/>
        <v>5060.466571</v>
      </c>
      <c r="G447" s="438">
        <f t="shared" si="4"/>
        <v>0.09067636487</v>
      </c>
      <c r="H447" s="220" t="str">
        <f t="shared" si="13"/>
        <v>Science data acquisition and storage</v>
      </c>
      <c r="I447" s="182"/>
      <c r="J447" s="182"/>
      <c r="K447" s="11"/>
      <c r="L447" s="182"/>
      <c r="M447" s="182"/>
      <c r="N447" s="182"/>
      <c r="O447" s="182"/>
      <c r="P447" s="11"/>
      <c r="Q447" s="11"/>
      <c r="R447" s="11"/>
      <c r="S447" s="11"/>
      <c r="T447" s="11"/>
      <c r="U447" s="11"/>
      <c r="V447" s="11"/>
      <c r="W447" s="11"/>
      <c r="X447" s="11"/>
      <c r="Y447" s="11"/>
      <c r="Z447" s="11"/>
      <c r="AA447" s="11"/>
    </row>
    <row r="448" ht="15.75" customHeight="1">
      <c r="A448" s="435">
        <f t="shared" si="10"/>
        <v>1700</v>
      </c>
      <c r="B448" s="451" t="str">
        <f t="shared" ref="B448:E448" si="78">B88</f>
        <v>Science A</v>
      </c>
      <c r="C448" s="221">
        <f t="shared" si="78"/>
        <v>8</v>
      </c>
      <c r="D448" s="221">
        <f t="shared" si="78"/>
        <v>32.84956267</v>
      </c>
      <c r="E448" s="221">
        <f t="shared" si="78"/>
        <v>0</v>
      </c>
      <c r="F448" s="221">
        <f t="shared" si="12"/>
        <v>5093.316133</v>
      </c>
      <c r="G448" s="438">
        <f t="shared" si="4"/>
        <v>0.09126498232</v>
      </c>
      <c r="H448" s="220" t="str">
        <f t="shared" si="13"/>
        <v>Science data acquisition and storage</v>
      </c>
      <c r="I448" s="182"/>
      <c r="J448" s="182"/>
      <c r="K448" s="11"/>
      <c r="L448" s="182"/>
      <c r="M448" s="182"/>
      <c r="N448" s="182"/>
      <c r="O448" s="182"/>
      <c r="P448" s="11"/>
      <c r="Q448" s="11"/>
      <c r="R448" s="11"/>
      <c r="S448" s="11"/>
      <c r="T448" s="11"/>
      <c r="U448" s="11"/>
      <c r="V448" s="11"/>
      <c r="W448" s="11"/>
      <c r="X448" s="11"/>
      <c r="Y448" s="11"/>
      <c r="Z448" s="11"/>
      <c r="AA448" s="11"/>
    </row>
    <row r="449" ht="15.75" customHeight="1">
      <c r="A449" s="435">
        <f t="shared" si="10"/>
        <v>1704</v>
      </c>
      <c r="B449" s="451" t="str">
        <f t="shared" ref="B449:E449" si="79">B89</f>
        <v>Science A</v>
      </c>
      <c r="C449" s="221">
        <f t="shared" si="79"/>
        <v>8</v>
      </c>
      <c r="D449" s="221">
        <f t="shared" si="79"/>
        <v>32.84956267</v>
      </c>
      <c r="E449" s="221">
        <f t="shared" si="79"/>
        <v>0</v>
      </c>
      <c r="F449" s="221">
        <f t="shared" si="12"/>
        <v>5126.165696</v>
      </c>
      <c r="G449" s="438">
        <f t="shared" si="4"/>
        <v>0.09185359977</v>
      </c>
      <c r="H449" s="220" t="str">
        <f t="shared" si="13"/>
        <v>Science data acquisition and storage</v>
      </c>
      <c r="I449" s="182"/>
      <c r="J449" s="182"/>
      <c r="K449" s="11"/>
      <c r="L449" s="182"/>
      <c r="M449" s="182"/>
      <c r="N449" s="182"/>
      <c r="O449" s="182"/>
      <c r="P449" s="11"/>
      <c r="Q449" s="11"/>
      <c r="R449" s="11"/>
      <c r="S449" s="11"/>
      <c r="T449" s="11"/>
      <c r="U449" s="11"/>
      <c r="V449" s="11"/>
      <c r="W449" s="11"/>
      <c r="X449" s="11"/>
      <c r="Y449" s="11"/>
      <c r="Z449" s="11"/>
      <c r="AA449" s="11"/>
    </row>
    <row r="450" ht="15.75" customHeight="1">
      <c r="A450" s="435">
        <f t="shared" si="10"/>
        <v>1708</v>
      </c>
      <c r="B450" s="451" t="str">
        <f t="shared" ref="B450:E450" si="80">B90</f>
        <v>Science A</v>
      </c>
      <c r="C450" s="221">
        <f t="shared" si="80"/>
        <v>8</v>
      </c>
      <c r="D450" s="221">
        <f t="shared" si="80"/>
        <v>32.84956267</v>
      </c>
      <c r="E450" s="221">
        <f t="shared" si="80"/>
        <v>0</v>
      </c>
      <c r="F450" s="221">
        <f t="shared" si="12"/>
        <v>5159.015259</v>
      </c>
      <c r="G450" s="438">
        <f t="shared" si="4"/>
        <v>0.09244221722</v>
      </c>
      <c r="H450" s="220" t="str">
        <f t="shared" si="13"/>
        <v>Science data acquisition and storage</v>
      </c>
      <c r="I450" s="182"/>
      <c r="J450" s="182"/>
      <c r="K450" s="11"/>
      <c r="L450" s="182"/>
      <c r="M450" s="182"/>
      <c r="N450" s="182"/>
      <c r="O450" s="182"/>
      <c r="P450" s="11"/>
      <c r="Q450" s="11"/>
      <c r="R450" s="11"/>
      <c r="S450" s="11"/>
      <c r="T450" s="11"/>
      <c r="U450" s="11"/>
      <c r="V450" s="11"/>
      <c r="W450" s="11"/>
      <c r="X450" s="11"/>
      <c r="Y450" s="11"/>
      <c r="Z450" s="11"/>
      <c r="AA450" s="11"/>
    </row>
    <row r="451" ht="15.75" customHeight="1">
      <c r="A451" s="435">
        <f t="shared" si="10"/>
        <v>1712</v>
      </c>
      <c r="B451" s="451" t="str">
        <f t="shared" ref="B451:E451" si="81">B91</f>
        <v>Science A</v>
      </c>
      <c r="C451" s="221">
        <f t="shared" si="81"/>
        <v>8</v>
      </c>
      <c r="D451" s="221">
        <f t="shared" si="81"/>
        <v>32.84956267</v>
      </c>
      <c r="E451" s="221">
        <f t="shared" si="81"/>
        <v>0</v>
      </c>
      <c r="F451" s="221">
        <f t="shared" si="12"/>
        <v>5191.864821</v>
      </c>
      <c r="G451" s="438">
        <f t="shared" si="4"/>
        <v>0.09303083467</v>
      </c>
      <c r="H451" s="220" t="str">
        <f t="shared" si="13"/>
        <v>Science data acquisition and storage</v>
      </c>
      <c r="I451" s="182"/>
      <c r="J451" s="182"/>
      <c r="K451" s="11"/>
      <c r="L451" s="182"/>
      <c r="M451" s="182"/>
      <c r="N451" s="182"/>
      <c r="O451" s="182"/>
      <c r="P451" s="11"/>
      <c r="Q451" s="11"/>
      <c r="R451" s="11"/>
      <c r="S451" s="11"/>
      <c r="T451" s="11"/>
      <c r="U451" s="11"/>
      <c r="V451" s="11"/>
      <c r="W451" s="11"/>
      <c r="X451" s="11"/>
      <c r="Y451" s="11"/>
      <c r="Z451" s="11"/>
      <c r="AA451" s="11"/>
    </row>
    <row r="452" ht="15.75" customHeight="1">
      <c r="A452" s="435">
        <f t="shared" si="10"/>
        <v>1716</v>
      </c>
      <c r="B452" s="451" t="str">
        <f t="shared" ref="B452:E452" si="82">B92</f>
        <v>Science A</v>
      </c>
      <c r="C452" s="221">
        <f t="shared" si="82"/>
        <v>8</v>
      </c>
      <c r="D452" s="221">
        <f t="shared" si="82"/>
        <v>32.84956267</v>
      </c>
      <c r="E452" s="221">
        <f t="shared" si="82"/>
        <v>0</v>
      </c>
      <c r="F452" s="221">
        <f t="shared" si="12"/>
        <v>5224.714384</v>
      </c>
      <c r="G452" s="438">
        <f t="shared" si="4"/>
        <v>0.09361945212</v>
      </c>
      <c r="H452" s="220" t="str">
        <f t="shared" si="13"/>
        <v>Science data acquisition and storage</v>
      </c>
      <c r="I452" s="182"/>
      <c r="J452" s="182"/>
      <c r="K452" s="11"/>
      <c r="L452" s="182"/>
      <c r="M452" s="182"/>
      <c r="N452" s="182"/>
      <c r="O452" s="182"/>
      <c r="P452" s="11"/>
      <c r="Q452" s="11"/>
      <c r="R452" s="11"/>
      <c r="S452" s="11"/>
      <c r="T452" s="11"/>
      <c r="U452" s="11"/>
      <c r="V452" s="11"/>
      <c r="W452" s="11"/>
      <c r="X452" s="11"/>
      <c r="Y452" s="11"/>
      <c r="Z452" s="11"/>
      <c r="AA452" s="11"/>
    </row>
    <row r="453" ht="15.75" customHeight="1">
      <c r="A453" s="435">
        <f t="shared" si="10"/>
        <v>1720</v>
      </c>
      <c r="B453" s="451" t="str">
        <f t="shared" ref="B453:E453" si="83">B93</f>
        <v>Science A</v>
      </c>
      <c r="C453" s="221">
        <f t="shared" si="83"/>
        <v>8</v>
      </c>
      <c r="D453" s="221">
        <f t="shared" si="83"/>
        <v>32.84956267</v>
      </c>
      <c r="E453" s="221">
        <f t="shared" si="83"/>
        <v>0</v>
      </c>
      <c r="F453" s="221">
        <f t="shared" si="12"/>
        <v>5257.563947</v>
      </c>
      <c r="G453" s="438">
        <f t="shared" si="4"/>
        <v>0.09420806957</v>
      </c>
      <c r="H453" s="220" t="str">
        <f t="shared" si="13"/>
        <v>Science data acquisition and storage</v>
      </c>
      <c r="I453" s="182"/>
      <c r="J453" s="182"/>
      <c r="K453" s="11"/>
      <c r="L453" s="182"/>
      <c r="M453" s="182"/>
      <c r="N453" s="182"/>
      <c r="O453" s="182"/>
      <c r="P453" s="11"/>
      <c r="Q453" s="11"/>
      <c r="R453" s="11"/>
      <c r="S453" s="11"/>
      <c r="T453" s="11"/>
      <c r="U453" s="11"/>
      <c r="V453" s="11"/>
      <c r="W453" s="11"/>
      <c r="X453" s="11"/>
      <c r="Y453" s="11"/>
      <c r="Z453" s="11"/>
      <c r="AA453" s="11"/>
    </row>
    <row r="454" ht="15.75" customHeight="1">
      <c r="A454" s="435">
        <f t="shared" si="10"/>
        <v>1724</v>
      </c>
      <c r="B454" s="451" t="str">
        <f t="shared" ref="B454:E454" si="84">B94</f>
        <v>Science A</v>
      </c>
      <c r="C454" s="221">
        <f t="shared" si="84"/>
        <v>8</v>
      </c>
      <c r="D454" s="221">
        <f t="shared" si="84"/>
        <v>32.84956267</v>
      </c>
      <c r="E454" s="221">
        <f t="shared" si="84"/>
        <v>0</v>
      </c>
      <c r="F454" s="221">
        <f t="shared" si="12"/>
        <v>5290.413509</v>
      </c>
      <c r="G454" s="438">
        <f t="shared" si="4"/>
        <v>0.09479668702</v>
      </c>
      <c r="H454" s="220" t="str">
        <f t="shared" si="13"/>
        <v>Science data acquisition and storage</v>
      </c>
      <c r="I454" s="182"/>
      <c r="J454" s="182"/>
      <c r="K454" s="11"/>
      <c r="L454" s="182"/>
      <c r="M454" s="182"/>
      <c r="N454" s="182"/>
      <c r="O454" s="182"/>
      <c r="P454" s="11"/>
      <c r="Q454" s="11"/>
      <c r="R454" s="11"/>
      <c r="S454" s="11"/>
      <c r="T454" s="11"/>
      <c r="U454" s="11"/>
      <c r="V454" s="11"/>
      <c r="W454" s="11"/>
      <c r="X454" s="11"/>
      <c r="Y454" s="11"/>
      <c r="Z454" s="11"/>
      <c r="AA454" s="11"/>
    </row>
    <row r="455" ht="15.75" customHeight="1">
      <c r="A455" s="435">
        <f t="shared" si="10"/>
        <v>1728</v>
      </c>
      <c r="B455" s="451" t="str">
        <f t="shared" ref="B455:E455" si="85">B95</f>
        <v>Science A</v>
      </c>
      <c r="C455" s="221">
        <f t="shared" si="85"/>
        <v>8</v>
      </c>
      <c r="D455" s="221">
        <f t="shared" si="85"/>
        <v>32.84956267</v>
      </c>
      <c r="E455" s="221">
        <f t="shared" si="85"/>
        <v>0</v>
      </c>
      <c r="F455" s="221">
        <f t="shared" si="12"/>
        <v>5323.263072</v>
      </c>
      <c r="G455" s="438">
        <f t="shared" si="4"/>
        <v>0.09538530447</v>
      </c>
      <c r="H455" s="220" t="str">
        <f t="shared" si="13"/>
        <v>Science data acquisition and storage</v>
      </c>
      <c r="I455" s="182"/>
      <c r="J455" s="182"/>
      <c r="K455" s="11"/>
      <c r="L455" s="182"/>
      <c r="M455" s="182"/>
      <c r="N455" s="182"/>
      <c r="O455" s="182"/>
      <c r="P455" s="11"/>
      <c r="Q455" s="11"/>
      <c r="R455" s="11"/>
      <c r="S455" s="11"/>
      <c r="T455" s="11"/>
      <c r="U455" s="11"/>
      <c r="V455" s="11"/>
      <c r="W455" s="11"/>
      <c r="X455" s="11"/>
      <c r="Y455" s="11"/>
      <c r="Z455" s="11"/>
      <c r="AA455" s="11"/>
    </row>
    <row r="456" ht="15.75" customHeight="1">
      <c r="A456" s="435">
        <f t="shared" si="10"/>
        <v>1732</v>
      </c>
      <c r="B456" s="451" t="str">
        <f t="shared" ref="B456:E456" si="86">B96</f>
        <v>Science A</v>
      </c>
      <c r="C456" s="221">
        <f t="shared" si="86"/>
        <v>8</v>
      </c>
      <c r="D456" s="221">
        <f t="shared" si="86"/>
        <v>32.84956267</v>
      </c>
      <c r="E456" s="221">
        <f t="shared" si="86"/>
        <v>0</v>
      </c>
      <c r="F456" s="221">
        <f t="shared" si="12"/>
        <v>5356.112635</v>
      </c>
      <c r="G456" s="438">
        <f t="shared" si="4"/>
        <v>0.09597392192</v>
      </c>
      <c r="H456" s="220" t="str">
        <f t="shared" si="13"/>
        <v>Science data acquisition and storage</v>
      </c>
      <c r="I456" s="182"/>
      <c r="J456" s="182"/>
      <c r="K456" s="11"/>
      <c r="L456" s="182"/>
      <c r="M456" s="182"/>
      <c r="N456" s="182"/>
      <c r="O456" s="182"/>
      <c r="P456" s="11"/>
      <c r="Q456" s="11"/>
      <c r="R456" s="11"/>
      <c r="S456" s="11"/>
      <c r="T456" s="11"/>
      <c r="U456" s="11"/>
      <c r="V456" s="11"/>
      <c r="W456" s="11"/>
      <c r="X456" s="11"/>
      <c r="Y456" s="11"/>
      <c r="Z456" s="11"/>
      <c r="AA456" s="11"/>
    </row>
    <row r="457" ht="15.75" customHeight="1">
      <c r="A457" s="435">
        <f t="shared" si="10"/>
        <v>1736</v>
      </c>
      <c r="B457" s="451" t="str">
        <f t="shared" ref="B457:E457" si="87">B97</f>
        <v>Science A</v>
      </c>
      <c r="C457" s="221">
        <f t="shared" si="87"/>
        <v>8</v>
      </c>
      <c r="D457" s="221">
        <f t="shared" si="87"/>
        <v>32.84956267</v>
      </c>
      <c r="E457" s="221">
        <f t="shared" si="87"/>
        <v>0</v>
      </c>
      <c r="F457" s="221">
        <f t="shared" si="12"/>
        <v>5388.962197</v>
      </c>
      <c r="G457" s="438">
        <f t="shared" si="4"/>
        <v>0.09656253937</v>
      </c>
      <c r="H457" s="220" t="str">
        <f t="shared" si="13"/>
        <v>Science data acquisition and storage</v>
      </c>
      <c r="I457" s="182"/>
      <c r="J457" s="182"/>
      <c r="K457" s="11"/>
      <c r="L457" s="182"/>
      <c r="M457" s="182"/>
      <c r="N457" s="182"/>
      <c r="O457" s="182"/>
      <c r="P457" s="11"/>
      <c r="Q457" s="11"/>
      <c r="R457" s="11"/>
      <c r="S457" s="11"/>
      <c r="T457" s="11"/>
      <c r="U457" s="11"/>
      <c r="V457" s="11"/>
      <c r="W457" s="11"/>
      <c r="X457" s="11"/>
      <c r="Y457" s="11"/>
      <c r="Z457" s="11"/>
      <c r="AA457" s="11"/>
    </row>
    <row r="458" ht="15.75" customHeight="1">
      <c r="A458" s="435">
        <f t="shared" si="10"/>
        <v>1740</v>
      </c>
      <c r="B458" s="449" t="str">
        <f t="shared" ref="B458:E458" si="88">B98</f>
        <v>Downlink</v>
      </c>
      <c r="C458" s="221">
        <f t="shared" si="88"/>
        <v>0</v>
      </c>
      <c r="D458" s="221">
        <f t="shared" si="88"/>
        <v>0.9775626664</v>
      </c>
      <c r="E458" s="221">
        <f t="shared" si="88"/>
        <v>0.75</v>
      </c>
      <c r="F458" s="221">
        <f t="shared" si="12"/>
        <v>5389.18976</v>
      </c>
      <c r="G458" s="438">
        <f t="shared" si="4"/>
        <v>0.09656661697</v>
      </c>
      <c r="H458" s="220" t="str">
        <f t="shared" si="13"/>
        <v>Validated contact; Downlink preempts Science</v>
      </c>
      <c r="I458" s="182"/>
      <c r="J458" s="182"/>
      <c r="K458" s="11"/>
      <c r="L458" s="182"/>
      <c r="M458" s="182"/>
      <c r="N458" s="182"/>
      <c r="O458" s="182"/>
      <c r="P458" s="11"/>
      <c r="Q458" s="11"/>
      <c r="R458" s="11"/>
      <c r="S458" s="11"/>
      <c r="T458" s="11"/>
      <c r="U458" s="11"/>
      <c r="V458" s="11"/>
      <c r="W458" s="11"/>
      <c r="X458" s="11"/>
      <c r="Y458" s="11"/>
      <c r="Z458" s="11"/>
      <c r="AA458" s="11"/>
    </row>
    <row r="459" ht="15.75" customHeight="1">
      <c r="A459" s="435">
        <f t="shared" si="10"/>
        <v>1744</v>
      </c>
      <c r="B459" s="449" t="str">
        <f t="shared" ref="B459:E459" si="89">B99</f>
        <v>Downlink</v>
      </c>
      <c r="C459" s="221">
        <f t="shared" si="89"/>
        <v>0</v>
      </c>
      <c r="D459" s="221">
        <f t="shared" si="89"/>
        <v>0.9775626664</v>
      </c>
      <c r="E459" s="221">
        <f t="shared" si="89"/>
        <v>0.75</v>
      </c>
      <c r="F459" s="221">
        <f t="shared" si="12"/>
        <v>5389.417323</v>
      </c>
      <c r="G459" s="438">
        <f t="shared" si="4"/>
        <v>0.09657069457</v>
      </c>
      <c r="H459" s="220" t="str">
        <f t="shared" si="13"/>
        <v>Validated contact; Downlink preempts Science</v>
      </c>
      <c r="I459" s="182"/>
      <c r="J459" s="182"/>
      <c r="K459" s="11"/>
      <c r="L459" s="182"/>
      <c r="M459" s="182"/>
      <c r="N459" s="182"/>
      <c r="O459" s="182"/>
      <c r="P459" s="11"/>
      <c r="Q459" s="11"/>
      <c r="R459" s="11"/>
      <c r="S459" s="11"/>
      <c r="T459" s="11"/>
      <c r="U459" s="11"/>
      <c r="V459" s="11"/>
      <c r="W459" s="11"/>
      <c r="X459" s="11"/>
      <c r="Y459" s="11"/>
      <c r="Z459" s="11"/>
      <c r="AA459" s="11"/>
    </row>
    <row r="460" ht="15.75" customHeight="1">
      <c r="A460" s="435">
        <f t="shared" si="10"/>
        <v>1748</v>
      </c>
      <c r="B460" s="429" t="str">
        <f t="shared" ref="B460:B487" si="91">IF(AND(MOD(A460,1440)&gt;=$K$6,MOD(A460,1440)&lt;$L$6),"Safe",IF(OR(AND(MOD(A460,1440)&gt;=$K$14,MOD(A460,1440)&lt;$L$14),AND(MOD(A460,1440)&gt;=$K$15,MOD(A460,1440)&lt;$L$15),AND(MOD(A460,1440)&gt;=$K$16,MOD(A460,1440)&lt;$L$16),AND(MOD(A460,1440)&gt;=$K$17,MOD(A460,1440)&lt;$L$17),AND(MOD(A460,1440)&gt;=$K$18,MOD(A460,1440)&lt;$L$18),AND(MOD(A460,1440)&gt;=$K$19,MOD(A460,1440)&lt;$L$19)),"Downlink",IF(AND(MOD(A460,1440)&gt;=$K$8,MOD(A460,1440)&lt;$L$8),"Science A",IF(AND(MOD(A460,1440)&gt;=$K$9,MOD(A460,1440)&lt;$L$9),"Science B",IF(AND(MOD(A460,1440)&gt;=$K$10,MOD(A460,1440)&lt;$L$10),"Science C","Charge")))))</f>
        <v>Charge</v>
      </c>
      <c r="C460" s="221">
        <f t="shared" ref="C460:E460" si="90">C100</f>
        <v>0</v>
      </c>
      <c r="D460" s="221">
        <f t="shared" si="90"/>
        <v>0.9775626664</v>
      </c>
      <c r="E460" s="221">
        <f t="shared" si="90"/>
        <v>0</v>
      </c>
      <c r="F460" s="221">
        <f t="shared" si="12"/>
        <v>5390.394885</v>
      </c>
      <c r="G460" s="438">
        <f t="shared" si="4"/>
        <v>0.0965882111</v>
      </c>
      <c r="H460" s="220" t="str">
        <f t="shared" si="13"/>
        <v>Default standby Charge</v>
      </c>
      <c r="I460" s="182"/>
      <c r="J460" s="182"/>
      <c r="K460" s="11"/>
      <c r="L460" s="182"/>
      <c r="M460" s="182"/>
      <c r="N460" s="182"/>
      <c r="O460" s="182"/>
      <c r="P460" s="11"/>
      <c r="Q460" s="11"/>
      <c r="R460" s="11"/>
      <c r="S460" s="11"/>
      <c r="T460" s="11"/>
      <c r="U460" s="11"/>
      <c r="V460" s="11"/>
      <c r="W460" s="11"/>
      <c r="X460" s="11"/>
      <c r="Y460" s="11"/>
      <c r="Z460" s="11"/>
      <c r="AA460" s="11"/>
    </row>
    <row r="461" ht="15.75" customHeight="1">
      <c r="A461" s="435">
        <f t="shared" si="10"/>
        <v>1752</v>
      </c>
      <c r="B461" s="429" t="str">
        <f t="shared" si="91"/>
        <v>Charge</v>
      </c>
      <c r="C461" s="221">
        <f t="shared" ref="C461:E461" si="92">C101</f>
        <v>0</v>
      </c>
      <c r="D461" s="221">
        <f t="shared" si="92"/>
        <v>0.9775626664</v>
      </c>
      <c r="E461" s="221">
        <f t="shared" si="92"/>
        <v>0</v>
      </c>
      <c r="F461" s="221">
        <f t="shared" si="12"/>
        <v>5391.372448</v>
      </c>
      <c r="G461" s="438">
        <f t="shared" si="4"/>
        <v>0.09660572764</v>
      </c>
      <c r="H461" s="220" t="str">
        <f t="shared" si="13"/>
        <v>Default standby Charge</v>
      </c>
      <c r="I461" s="182"/>
      <c r="J461" s="182"/>
      <c r="K461" s="11"/>
      <c r="L461" s="182"/>
      <c r="M461" s="182"/>
      <c r="N461" s="182"/>
      <c r="O461" s="182"/>
      <c r="P461" s="11"/>
      <c r="Q461" s="11"/>
      <c r="R461" s="11"/>
      <c r="S461" s="11"/>
      <c r="T461" s="11"/>
      <c r="U461" s="11"/>
      <c r="V461" s="11"/>
      <c r="W461" s="11"/>
      <c r="X461" s="11"/>
      <c r="Y461" s="11"/>
      <c r="Z461" s="11"/>
      <c r="AA461" s="11"/>
    </row>
    <row r="462" ht="15.75" customHeight="1">
      <c r="A462" s="435">
        <f t="shared" si="10"/>
        <v>1756</v>
      </c>
      <c r="B462" s="429" t="str">
        <f t="shared" si="91"/>
        <v>Charge</v>
      </c>
      <c r="C462" s="221">
        <f t="shared" ref="C462:E462" si="93">C102</f>
        <v>0</v>
      </c>
      <c r="D462" s="221">
        <f t="shared" si="93"/>
        <v>0.9775626664</v>
      </c>
      <c r="E462" s="221">
        <f t="shared" si="93"/>
        <v>0</v>
      </c>
      <c r="F462" s="221">
        <f t="shared" si="12"/>
        <v>5392.350011</v>
      </c>
      <c r="G462" s="438">
        <f t="shared" si="4"/>
        <v>0.09662324417</v>
      </c>
      <c r="H462" s="220" t="str">
        <f t="shared" si="13"/>
        <v>Default standby Charge</v>
      </c>
      <c r="I462" s="182"/>
      <c r="J462" s="182"/>
      <c r="K462" s="11"/>
      <c r="L462" s="182"/>
      <c r="M462" s="182"/>
      <c r="N462" s="182"/>
      <c r="O462" s="182"/>
      <c r="P462" s="11"/>
      <c r="Q462" s="11"/>
      <c r="R462" s="11"/>
      <c r="S462" s="11"/>
      <c r="T462" s="11"/>
      <c r="U462" s="11"/>
      <c r="V462" s="11"/>
      <c r="W462" s="11"/>
      <c r="X462" s="11"/>
      <c r="Y462" s="11"/>
      <c r="Z462" s="11"/>
      <c r="AA462" s="11"/>
    </row>
    <row r="463" ht="15.75" customHeight="1">
      <c r="A463" s="435">
        <f t="shared" si="10"/>
        <v>1760</v>
      </c>
      <c r="B463" s="429" t="str">
        <f t="shared" si="91"/>
        <v>Charge</v>
      </c>
      <c r="C463" s="221">
        <f t="shared" ref="C463:E463" si="94">C103</f>
        <v>0</v>
      </c>
      <c r="D463" s="221">
        <f t="shared" si="94"/>
        <v>0.9775626664</v>
      </c>
      <c r="E463" s="221">
        <f t="shared" si="94"/>
        <v>0</v>
      </c>
      <c r="F463" s="221">
        <f t="shared" si="12"/>
        <v>5393.327573</v>
      </c>
      <c r="G463" s="438">
        <f t="shared" si="4"/>
        <v>0.0966407607</v>
      </c>
      <c r="H463" s="220" t="str">
        <f t="shared" si="13"/>
        <v>Default standby Charge</v>
      </c>
      <c r="I463" s="182"/>
      <c r="J463" s="182"/>
      <c r="K463" s="11"/>
      <c r="L463" s="182"/>
      <c r="M463" s="182"/>
      <c r="N463" s="182"/>
      <c r="O463" s="182"/>
      <c r="P463" s="11"/>
      <c r="Q463" s="11"/>
      <c r="R463" s="11"/>
      <c r="S463" s="11"/>
      <c r="T463" s="11"/>
      <c r="U463" s="11"/>
      <c r="V463" s="11"/>
      <c r="W463" s="11"/>
      <c r="X463" s="11"/>
      <c r="Y463" s="11"/>
      <c r="Z463" s="11"/>
      <c r="AA463" s="11"/>
    </row>
    <row r="464" ht="15.75" customHeight="1">
      <c r="A464" s="435">
        <f t="shared" si="10"/>
        <v>1764</v>
      </c>
      <c r="B464" s="429" t="str">
        <f t="shared" si="91"/>
        <v>Charge</v>
      </c>
      <c r="C464" s="221">
        <f t="shared" ref="C464:E464" si="95">C104</f>
        <v>0</v>
      </c>
      <c r="D464" s="221">
        <f t="shared" si="95"/>
        <v>0.9775626664</v>
      </c>
      <c r="E464" s="221">
        <f t="shared" si="95"/>
        <v>0</v>
      </c>
      <c r="F464" s="221">
        <f t="shared" si="12"/>
        <v>5394.305136</v>
      </c>
      <c r="G464" s="438">
        <f t="shared" si="4"/>
        <v>0.09665827723</v>
      </c>
      <c r="H464" s="220" t="str">
        <f t="shared" si="13"/>
        <v>Default standby Charge</v>
      </c>
      <c r="I464" s="182"/>
      <c r="J464" s="182"/>
      <c r="K464" s="11"/>
      <c r="L464" s="182"/>
      <c r="M464" s="182"/>
      <c r="N464" s="182"/>
      <c r="O464" s="182"/>
      <c r="P464" s="11"/>
      <c r="Q464" s="11"/>
      <c r="R464" s="11"/>
      <c r="S464" s="11"/>
      <c r="T464" s="11"/>
      <c r="U464" s="11"/>
      <c r="V464" s="11"/>
      <c r="W464" s="11"/>
      <c r="X464" s="11"/>
      <c r="Y464" s="11"/>
      <c r="Z464" s="11"/>
      <c r="AA464" s="11"/>
    </row>
    <row r="465" ht="15.75" customHeight="1">
      <c r="A465" s="435">
        <f t="shared" si="10"/>
        <v>1768</v>
      </c>
      <c r="B465" s="429" t="str">
        <f t="shared" si="91"/>
        <v>Charge</v>
      </c>
      <c r="C465" s="221">
        <f t="shared" ref="C465:E465" si="96">C105</f>
        <v>0</v>
      </c>
      <c r="D465" s="221">
        <f t="shared" si="96"/>
        <v>0.9775626664</v>
      </c>
      <c r="E465" s="221">
        <f t="shared" si="96"/>
        <v>0</v>
      </c>
      <c r="F465" s="221">
        <f t="shared" si="12"/>
        <v>5395.282699</v>
      </c>
      <c r="G465" s="438">
        <f t="shared" si="4"/>
        <v>0.09667579377</v>
      </c>
      <c r="H465" s="220" t="str">
        <f t="shared" si="13"/>
        <v>Default standby Charge</v>
      </c>
      <c r="I465" s="182"/>
      <c r="J465" s="182"/>
      <c r="K465" s="11"/>
      <c r="L465" s="182"/>
      <c r="M465" s="182"/>
      <c r="N465" s="182"/>
      <c r="O465" s="182"/>
      <c r="P465" s="11"/>
      <c r="Q465" s="11"/>
      <c r="R465" s="11"/>
      <c r="S465" s="11"/>
      <c r="T465" s="11"/>
      <c r="U465" s="11"/>
      <c r="V465" s="11"/>
      <c r="W465" s="11"/>
      <c r="X465" s="11"/>
      <c r="Y465" s="11"/>
      <c r="Z465" s="11"/>
      <c r="AA465" s="11"/>
    </row>
    <row r="466" ht="15.75" customHeight="1">
      <c r="A466" s="435">
        <f t="shared" si="10"/>
        <v>1772</v>
      </c>
      <c r="B466" s="429" t="str">
        <f t="shared" si="91"/>
        <v>Charge</v>
      </c>
      <c r="C466" s="221">
        <f t="shared" ref="C466:E466" si="97">C106</f>
        <v>0</v>
      </c>
      <c r="D466" s="221">
        <f t="shared" si="97"/>
        <v>0.9775626664</v>
      </c>
      <c r="E466" s="221">
        <f t="shared" si="97"/>
        <v>0</v>
      </c>
      <c r="F466" s="221">
        <f t="shared" si="12"/>
        <v>5396.260261</v>
      </c>
      <c r="G466" s="438">
        <f t="shared" si="4"/>
        <v>0.0966933103</v>
      </c>
      <c r="H466" s="220" t="str">
        <f t="shared" si="13"/>
        <v>Default standby Charge</v>
      </c>
      <c r="I466" s="182"/>
      <c r="J466" s="182"/>
      <c r="K466" s="11"/>
      <c r="L466" s="182"/>
      <c r="M466" s="182"/>
      <c r="N466" s="182"/>
      <c r="O466" s="182"/>
      <c r="P466" s="11"/>
      <c r="Q466" s="11"/>
      <c r="R466" s="11"/>
      <c r="S466" s="11"/>
      <c r="T466" s="11"/>
      <c r="U466" s="11"/>
      <c r="V466" s="11"/>
      <c r="W466" s="11"/>
      <c r="X466" s="11"/>
      <c r="Y466" s="11"/>
      <c r="Z466" s="11"/>
      <c r="AA466" s="11"/>
    </row>
    <row r="467" ht="15.75" customHeight="1">
      <c r="A467" s="435">
        <f t="shared" si="10"/>
        <v>1776</v>
      </c>
      <c r="B467" s="429" t="str">
        <f t="shared" si="91"/>
        <v>Charge</v>
      </c>
      <c r="C467" s="221">
        <f t="shared" ref="C467:E467" si="98">C107</f>
        <v>0</v>
      </c>
      <c r="D467" s="221">
        <f t="shared" si="98"/>
        <v>0.9775626664</v>
      </c>
      <c r="E467" s="221">
        <f t="shared" si="98"/>
        <v>0</v>
      </c>
      <c r="F467" s="221">
        <f t="shared" si="12"/>
        <v>5397.237824</v>
      </c>
      <c r="G467" s="438">
        <f t="shared" si="4"/>
        <v>0.09671082683</v>
      </c>
      <c r="H467" s="220" t="str">
        <f t="shared" si="13"/>
        <v>Default standby Charge</v>
      </c>
      <c r="I467" s="182"/>
      <c r="J467" s="182"/>
      <c r="K467" s="11"/>
      <c r="L467" s="182"/>
      <c r="M467" s="182"/>
      <c r="N467" s="182"/>
      <c r="O467" s="182"/>
      <c r="P467" s="11"/>
      <c r="Q467" s="11"/>
      <c r="R467" s="11"/>
      <c r="S467" s="11"/>
      <c r="T467" s="11"/>
      <c r="U467" s="11"/>
      <c r="V467" s="11"/>
      <c r="W467" s="11"/>
      <c r="X467" s="11"/>
      <c r="Y467" s="11"/>
      <c r="Z467" s="11"/>
      <c r="AA467" s="11"/>
    </row>
    <row r="468" ht="15.75" customHeight="1">
      <c r="A468" s="435">
        <f t="shared" si="10"/>
        <v>1780</v>
      </c>
      <c r="B468" s="429" t="str">
        <f t="shared" si="91"/>
        <v>Charge</v>
      </c>
      <c r="C468" s="221">
        <f t="shared" ref="C468:E468" si="99">C108</f>
        <v>0</v>
      </c>
      <c r="D468" s="221">
        <f t="shared" si="99"/>
        <v>0.9775626664</v>
      </c>
      <c r="E468" s="221">
        <f t="shared" si="99"/>
        <v>0</v>
      </c>
      <c r="F468" s="221">
        <f t="shared" si="12"/>
        <v>5398.215387</v>
      </c>
      <c r="G468" s="438">
        <f t="shared" si="4"/>
        <v>0.09672834337</v>
      </c>
      <c r="H468" s="220" t="str">
        <f t="shared" si="13"/>
        <v>Default standby Charge</v>
      </c>
      <c r="I468" s="182"/>
      <c r="J468" s="182"/>
      <c r="K468" s="11"/>
      <c r="L468" s="182"/>
      <c r="M468" s="182"/>
      <c r="N468" s="182"/>
      <c r="O468" s="182"/>
      <c r="P468" s="11"/>
      <c r="Q468" s="11"/>
      <c r="R468" s="11"/>
      <c r="S468" s="11"/>
      <c r="T468" s="11"/>
      <c r="U468" s="11"/>
      <c r="V468" s="11"/>
      <c r="W468" s="11"/>
      <c r="X468" s="11"/>
      <c r="Y468" s="11"/>
      <c r="Z468" s="11"/>
      <c r="AA468" s="11"/>
    </row>
    <row r="469" ht="15.75" customHeight="1">
      <c r="A469" s="435">
        <f t="shared" si="10"/>
        <v>1784</v>
      </c>
      <c r="B469" s="429" t="str">
        <f t="shared" si="91"/>
        <v>Charge</v>
      </c>
      <c r="C469" s="221">
        <f t="shared" ref="C469:E469" si="100">C109</f>
        <v>0</v>
      </c>
      <c r="D469" s="221">
        <f t="shared" si="100"/>
        <v>0.9775626664</v>
      </c>
      <c r="E469" s="221">
        <f t="shared" si="100"/>
        <v>0</v>
      </c>
      <c r="F469" s="221">
        <f t="shared" si="12"/>
        <v>5399.192949</v>
      </c>
      <c r="G469" s="438">
        <f t="shared" si="4"/>
        <v>0.0967458599</v>
      </c>
      <c r="H469" s="220" t="str">
        <f t="shared" si="13"/>
        <v>Default standby Charge</v>
      </c>
      <c r="I469" s="182"/>
      <c r="J469" s="182"/>
      <c r="K469" s="11"/>
      <c r="L469" s="182"/>
      <c r="M469" s="182"/>
      <c r="N469" s="182"/>
      <c r="O469" s="182"/>
      <c r="P469" s="11"/>
      <c r="Q469" s="11"/>
      <c r="R469" s="11"/>
      <c r="S469" s="11"/>
      <c r="T469" s="11"/>
      <c r="U469" s="11"/>
      <c r="V469" s="11"/>
      <c r="W469" s="11"/>
      <c r="X469" s="11"/>
      <c r="Y469" s="11"/>
      <c r="Z469" s="11"/>
      <c r="AA469" s="11"/>
    </row>
    <row r="470" ht="15.75" customHeight="1">
      <c r="A470" s="435">
        <f t="shared" si="10"/>
        <v>1788</v>
      </c>
      <c r="B470" s="429" t="str">
        <f t="shared" si="91"/>
        <v>Charge</v>
      </c>
      <c r="C470" s="221">
        <f t="shared" ref="C470:E470" si="101">C110</f>
        <v>0</v>
      </c>
      <c r="D470" s="221">
        <f t="shared" si="101"/>
        <v>0.9775626664</v>
      </c>
      <c r="E470" s="221">
        <f t="shared" si="101"/>
        <v>0</v>
      </c>
      <c r="F470" s="221">
        <f t="shared" si="12"/>
        <v>5400.170512</v>
      </c>
      <c r="G470" s="438">
        <f t="shared" si="4"/>
        <v>0.09676337643</v>
      </c>
      <c r="H470" s="220" t="str">
        <f t="shared" si="13"/>
        <v>Default standby Charge</v>
      </c>
      <c r="I470" s="182"/>
      <c r="J470" s="182"/>
      <c r="K470" s="11"/>
      <c r="L470" s="182"/>
      <c r="M470" s="182"/>
      <c r="N470" s="182"/>
      <c r="O470" s="182"/>
      <c r="P470" s="11"/>
      <c r="Q470" s="11"/>
      <c r="R470" s="11"/>
      <c r="S470" s="11"/>
      <c r="T470" s="11"/>
      <c r="U470" s="11"/>
      <c r="V470" s="11"/>
      <c r="W470" s="11"/>
      <c r="X470" s="11"/>
      <c r="Y470" s="11"/>
      <c r="Z470" s="11"/>
      <c r="AA470" s="11"/>
    </row>
    <row r="471" ht="15.75" customHeight="1">
      <c r="A471" s="435">
        <f t="shared" si="10"/>
        <v>1792</v>
      </c>
      <c r="B471" s="429" t="str">
        <f t="shared" si="91"/>
        <v>Charge</v>
      </c>
      <c r="C471" s="221">
        <f t="shared" ref="C471:E471" si="102">C111</f>
        <v>0</v>
      </c>
      <c r="D471" s="221">
        <f t="shared" si="102"/>
        <v>0.9775626664</v>
      </c>
      <c r="E471" s="221">
        <f t="shared" si="102"/>
        <v>0</v>
      </c>
      <c r="F471" s="221">
        <f t="shared" si="12"/>
        <v>5401.148075</v>
      </c>
      <c r="G471" s="438">
        <f t="shared" si="4"/>
        <v>0.09678089296</v>
      </c>
      <c r="H471" s="220" t="str">
        <f t="shared" si="13"/>
        <v>Default standby Charge</v>
      </c>
      <c r="I471" s="182"/>
      <c r="J471" s="182"/>
      <c r="K471" s="11"/>
      <c r="L471" s="182"/>
      <c r="M471" s="182"/>
      <c r="N471" s="182"/>
      <c r="O471" s="182"/>
      <c r="P471" s="11"/>
      <c r="Q471" s="11"/>
      <c r="R471" s="11"/>
      <c r="S471" s="11"/>
      <c r="T471" s="11"/>
      <c r="U471" s="11"/>
      <c r="V471" s="11"/>
      <c r="W471" s="11"/>
      <c r="X471" s="11"/>
      <c r="Y471" s="11"/>
      <c r="Z471" s="11"/>
      <c r="AA471" s="11"/>
    </row>
    <row r="472" ht="15.75" customHeight="1">
      <c r="A472" s="435">
        <f t="shared" si="10"/>
        <v>1796</v>
      </c>
      <c r="B472" s="429" t="str">
        <f t="shared" si="91"/>
        <v>Charge</v>
      </c>
      <c r="C472" s="221">
        <f t="shared" ref="C472:E472" si="103">C112</f>
        <v>0</v>
      </c>
      <c r="D472" s="221">
        <f t="shared" si="103"/>
        <v>0.9775626664</v>
      </c>
      <c r="E472" s="221">
        <f t="shared" si="103"/>
        <v>0</v>
      </c>
      <c r="F472" s="221">
        <f t="shared" si="12"/>
        <v>5402.125637</v>
      </c>
      <c r="G472" s="438">
        <f t="shared" si="4"/>
        <v>0.0967984095</v>
      </c>
      <c r="H472" s="220" t="str">
        <f t="shared" si="13"/>
        <v>Default standby Charge</v>
      </c>
      <c r="I472" s="182"/>
      <c r="J472" s="182"/>
      <c r="K472" s="11"/>
      <c r="L472" s="182"/>
      <c r="M472" s="182"/>
      <c r="N472" s="182"/>
      <c r="O472" s="182"/>
      <c r="P472" s="11"/>
      <c r="Q472" s="11"/>
      <c r="R472" s="11"/>
      <c r="S472" s="11"/>
      <c r="T472" s="11"/>
      <c r="U472" s="11"/>
      <c r="V472" s="11"/>
      <c r="W472" s="11"/>
      <c r="X472" s="11"/>
      <c r="Y472" s="11"/>
      <c r="Z472" s="11"/>
      <c r="AA472" s="11"/>
    </row>
    <row r="473" ht="15.75" customHeight="1">
      <c r="A473" s="435">
        <f t="shared" si="10"/>
        <v>1800</v>
      </c>
      <c r="B473" s="429" t="str">
        <f t="shared" si="91"/>
        <v>Charge</v>
      </c>
      <c r="C473" s="221">
        <f t="shared" ref="C473:E473" si="104">C113</f>
        <v>0</v>
      </c>
      <c r="D473" s="221">
        <f t="shared" si="104"/>
        <v>0.9775626664</v>
      </c>
      <c r="E473" s="221">
        <f t="shared" si="104"/>
        <v>0</v>
      </c>
      <c r="F473" s="221">
        <f t="shared" si="12"/>
        <v>5403.1032</v>
      </c>
      <c r="G473" s="438">
        <f t="shared" si="4"/>
        <v>0.09681592603</v>
      </c>
      <c r="H473" s="220" t="str">
        <f t="shared" si="13"/>
        <v>Default standby Charge</v>
      </c>
      <c r="I473" s="182"/>
      <c r="J473" s="182"/>
      <c r="K473" s="11"/>
      <c r="L473" s="182"/>
      <c r="M473" s="182"/>
      <c r="N473" s="182"/>
      <c r="O473" s="182"/>
      <c r="P473" s="11"/>
      <c r="Q473" s="11"/>
      <c r="R473" s="11"/>
      <c r="S473" s="11"/>
      <c r="T473" s="11"/>
      <c r="U473" s="11"/>
      <c r="V473" s="11"/>
      <c r="W473" s="11"/>
      <c r="X473" s="11"/>
      <c r="Y473" s="11"/>
      <c r="Z473" s="11"/>
      <c r="AA473" s="11"/>
    </row>
    <row r="474" ht="15.75" customHeight="1">
      <c r="A474" s="435">
        <f t="shared" si="10"/>
        <v>1804</v>
      </c>
      <c r="B474" s="429" t="str">
        <f t="shared" si="91"/>
        <v>Charge</v>
      </c>
      <c r="C474" s="221">
        <f t="shared" ref="C474:E474" si="105">C114</f>
        <v>0</v>
      </c>
      <c r="D474" s="221">
        <f t="shared" si="105"/>
        <v>0.9775626664</v>
      </c>
      <c r="E474" s="221">
        <f t="shared" si="105"/>
        <v>0</v>
      </c>
      <c r="F474" s="221">
        <f t="shared" si="12"/>
        <v>5404.080763</v>
      </c>
      <c r="G474" s="438">
        <f t="shared" si="4"/>
        <v>0.09683344256</v>
      </c>
      <c r="H474" s="220" t="str">
        <f t="shared" si="13"/>
        <v>Default standby Charge</v>
      </c>
      <c r="I474" s="182"/>
      <c r="J474" s="182"/>
      <c r="K474" s="11"/>
      <c r="L474" s="182"/>
      <c r="M474" s="182"/>
      <c r="N474" s="182"/>
      <c r="O474" s="182"/>
      <c r="P474" s="11"/>
      <c r="Q474" s="11"/>
      <c r="R474" s="11"/>
      <c r="S474" s="11"/>
      <c r="T474" s="11"/>
      <c r="U474" s="11"/>
      <c r="V474" s="11"/>
      <c r="W474" s="11"/>
      <c r="X474" s="11"/>
      <c r="Y474" s="11"/>
      <c r="Z474" s="11"/>
      <c r="AA474" s="11"/>
    </row>
    <row r="475" ht="15.75" customHeight="1">
      <c r="A475" s="435">
        <f t="shared" si="10"/>
        <v>1808</v>
      </c>
      <c r="B475" s="429" t="str">
        <f t="shared" si="91"/>
        <v>Charge</v>
      </c>
      <c r="C475" s="221">
        <f t="shared" ref="C475:E475" si="106">C115</f>
        <v>0</v>
      </c>
      <c r="D475" s="221">
        <f t="shared" si="106"/>
        <v>0.9775626664</v>
      </c>
      <c r="E475" s="221">
        <f t="shared" si="106"/>
        <v>0</v>
      </c>
      <c r="F475" s="221">
        <f t="shared" si="12"/>
        <v>5405.058325</v>
      </c>
      <c r="G475" s="438">
        <f t="shared" si="4"/>
        <v>0.0968509591</v>
      </c>
      <c r="H475" s="220" t="str">
        <f t="shared" si="13"/>
        <v>Default standby Charge</v>
      </c>
      <c r="I475" s="182"/>
      <c r="J475" s="182"/>
      <c r="K475" s="11"/>
      <c r="L475" s="182"/>
      <c r="M475" s="182"/>
      <c r="N475" s="182"/>
      <c r="O475" s="182"/>
      <c r="P475" s="11"/>
      <c r="Q475" s="11"/>
      <c r="R475" s="11"/>
      <c r="S475" s="11"/>
      <c r="T475" s="11"/>
      <c r="U475" s="11"/>
      <c r="V475" s="11"/>
      <c r="W475" s="11"/>
      <c r="X475" s="11"/>
      <c r="Y475" s="11"/>
      <c r="Z475" s="11"/>
      <c r="AA475" s="11"/>
    </row>
    <row r="476" ht="15.75" customHeight="1">
      <c r="A476" s="435">
        <f t="shared" si="10"/>
        <v>1812</v>
      </c>
      <c r="B476" s="429" t="str">
        <f t="shared" si="91"/>
        <v>Charge</v>
      </c>
      <c r="C476" s="221">
        <f t="shared" ref="C476:E476" si="107">C116</f>
        <v>0</v>
      </c>
      <c r="D476" s="221">
        <f t="shared" si="107"/>
        <v>0.9775626664</v>
      </c>
      <c r="E476" s="221">
        <f t="shared" si="107"/>
        <v>0</v>
      </c>
      <c r="F476" s="221">
        <f t="shared" si="12"/>
        <v>5406.035888</v>
      </c>
      <c r="G476" s="438">
        <f t="shared" si="4"/>
        <v>0.09686847563</v>
      </c>
      <c r="H476" s="220" t="str">
        <f t="shared" si="13"/>
        <v>Default standby Charge</v>
      </c>
      <c r="I476" s="182"/>
      <c r="J476" s="182"/>
      <c r="K476" s="11"/>
      <c r="L476" s="182"/>
      <c r="M476" s="182"/>
      <c r="N476" s="182"/>
      <c r="O476" s="182"/>
      <c r="P476" s="11"/>
      <c r="Q476" s="11"/>
      <c r="R476" s="11"/>
      <c r="S476" s="11"/>
      <c r="T476" s="11"/>
      <c r="U476" s="11"/>
      <c r="V476" s="11"/>
      <c r="W476" s="11"/>
      <c r="X476" s="11"/>
      <c r="Y476" s="11"/>
      <c r="Z476" s="11"/>
      <c r="AA476" s="11"/>
    </row>
    <row r="477" ht="15.75" customHeight="1">
      <c r="A477" s="435">
        <f t="shared" si="10"/>
        <v>1816</v>
      </c>
      <c r="B477" s="429" t="str">
        <f t="shared" si="91"/>
        <v>Charge</v>
      </c>
      <c r="C477" s="221">
        <f t="shared" ref="C477:E477" si="108">C117</f>
        <v>0</v>
      </c>
      <c r="D477" s="221">
        <f t="shared" si="108"/>
        <v>0.9775626664</v>
      </c>
      <c r="E477" s="221">
        <f t="shared" si="108"/>
        <v>0</v>
      </c>
      <c r="F477" s="221">
        <f t="shared" si="12"/>
        <v>5407.013451</v>
      </c>
      <c r="G477" s="438">
        <f t="shared" si="4"/>
        <v>0.09688599216</v>
      </c>
      <c r="H477" s="220" t="str">
        <f t="shared" si="13"/>
        <v>Default standby Charge</v>
      </c>
      <c r="I477" s="182"/>
      <c r="J477" s="182"/>
      <c r="K477" s="11"/>
      <c r="L477" s="182"/>
      <c r="M477" s="182"/>
      <c r="N477" s="182"/>
      <c r="O477" s="182"/>
      <c r="P477" s="11"/>
      <c r="Q477" s="11"/>
      <c r="R477" s="11"/>
      <c r="S477" s="11"/>
      <c r="T477" s="11"/>
      <c r="U477" s="11"/>
      <c r="V477" s="11"/>
      <c r="W477" s="11"/>
      <c r="X477" s="11"/>
      <c r="Y477" s="11"/>
      <c r="Z477" s="11"/>
      <c r="AA477" s="11"/>
    </row>
    <row r="478" ht="15.75" customHeight="1">
      <c r="A478" s="435">
        <f t="shared" si="10"/>
        <v>1820</v>
      </c>
      <c r="B478" s="429" t="str">
        <f t="shared" si="91"/>
        <v>Charge</v>
      </c>
      <c r="C478" s="221">
        <f t="shared" ref="C478:E478" si="109">C118</f>
        <v>0</v>
      </c>
      <c r="D478" s="221">
        <f t="shared" si="109"/>
        <v>0.9775626664</v>
      </c>
      <c r="E478" s="221">
        <f t="shared" si="109"/>
        <v>0</v>
      </c>
      <c r="F478" s="221">
        <f t="shared" si="12"/>
        <v>5407.991013</v>
      </c>
      <c r="G478" s="438">
        <f t="shared" si="4"/>
        <v>0.09690350869</v>
      </c>
      <c r="H478" s="220" t="str">
        <f t="shared" si="13"/>
        <v>Default standby Charge</v>
      </c>
      <c r="I478" s="182"/>
      <c r="J478" s="182"/>
      <c r="K478" s="11"/>
      <c r="L478" s="182"/>
      <c r="M478" s="182"/>
      <c r="N478" s="182"/>
      <c r="O478" s="182"/>
      <c r="P478" s="11"/>
      <c r="Q478" s="11"/>
      <c r="R478" s="11"/>
      <c r="S478" s="11"/>
      <c r="T478" s="11"/>
      <c r="U478" s="11"/>
      <c r="V478" s="11"/>
      <c r="W478" s="11"/>
      <c r="X478" s="11"/>
      <c r="Y478" s="11"/>
      <c r="Z478" s="11"/>
      <c r="AA478" s="11"/>
    </row>
    <row r="479" ht="15.75" customHeight="1">
      <c r="A479" s="435">
        <f t="shared" si="10"/>
        <v>1824</v>
      </c>
      <c r="B479" s="429" t="str">
        <f t="shared" si="91"/>
        <v>Charge</v>
      </c>
      <c r="C479" s="221">
        <f t="shared" ref="C479:E479" si="110">C119</f>
        <v>0</v>
      </c>
      <c r="D479" s="221">
        <f t="shared" si="110"/>
        <v>0.9775626664</v>
      </c>
      <c r="E479" s="221">
        <f t="shared" si="110"/>
        <v>0</v>
      </c>
      <c r="F479" s="221">
        <f t="shared" si="12"/>
        <v>5408.968576</v>
      </c>
      <c r="G479" s="438">
        <f t="shared" si="4"/>
        <v>0.09692102523</v>
      </c>
      <c r="H479" s="220" t="str">
        <f t="shared" si="13"/>
        <v>Default standby Charge</v>
      </c>
      <c r="I479" s="182"/>
      <c r="J479" s="182"/>
      <c r="K479" s="11"/>
      <c r="L479" s="182"/>
      <c r="M479" s="182"/>
      <c r="N479" s="182"/>
      <c r="O479" s="182"/>
      <c r="P479" s="11"/>
      <c r="Q479" s="11"/>
      <c r="R479" s="11"/>
      <c r="S479" s="11"/>
      <c r="T479" s="11"/>
      <c r="U479" s="11"/>
      <c r="V479" s="11"/>
      <c r="W479" s="11"/>
      <c r="X479" s="11"/>
      <c r="Y479" s="11"/>
      <c r="Z479" s="11"/>
      <c r="AA479" s="11"/>
    </row>
    <row r="480" ht="15.75" customHeight="1">
      <c r="A480" s="435">
        <f t="shared" si="10"/>
        <v>1828</v>
      </c>
      <c r="B480" s="429" t="str">
        <f t="shared" si="91"/>
        <v>Charge</v>
      </c>
      <c r="C480" s="221">
        <f t="shared" ref="C480:E480" si="111">C120</f>
        <v>0</v>
      </c>
      <c r="D480" s="221">
        <f t="shared" si="111"/>
        <v>0.9775626664</v>
      </c>
      <c r="E480" s="221">
        <f t="shared" si="111"/>
        <v>0</v>
      </c>
      <c r="F480" s="221">
        <f t="shared" si="12"/>
        <v>5409.946139</v>
      </c>
      <c r="G480" s="438">
        <f t="shared" si="4"/>
        <v>0.09693854176</v>
      </c>
      <c r="H480" s="220" t="str">
        <f t="shared" si="13"/>
        <v>Default standby Charge</v>
      </c>
      <c r="I480" s="182"/>
      <c r="J480" s="182"/>
      <c r="K480" s="11"/>
      <c r="L480" s="182"/>
      <c r="M480" s="182"/>
      <c r="N480" s="182"/>
      <c r="O480" s="182"/>
      <c r="P480" s="11"/>
      <c r="Q480" s="11"/>
      <c r="R480" s="11"/>
      <c r="S480" s="11"/>
      <c r="T480" s="11"/>
      <c r="U480" s="11"/>
      <c r="V480" s="11"/>
      <c r="W480" s="11"/>
      <c r="X480" s="11"/>
      <c r="Y480" s="11"/>
      <c r="Z480" s="11"/>
      <c r="AA480" s="11"/>
    </row>
    <row r="481" ht="15.75" customHeight="1">
      <c r="A481" s="435">
        <f t="shared" si="10"/>
        <v>1832</v>
      </c>
      <c r="B481" s="429" t="str">
        <f t="shared" si="91"/>
        <v>Charge</v>
      </c>
      <c r="C481" s="221">
        <f t="shared" ref="C481:E481" si="112">C121</f>
        <v>0</v>
      </c>
      <c r="D481" s="221">
        <f t="shared" si="112"/>
        <v>0.9775626664</v>
      </c>
      <c r="E481" s="221">
        <f t="shared" si="112"/>
        <v>0</v>
      </c>
      <c r="F481" s="221">
        <f t="shared" si="12"/>
        <v>5410.923701</v>
      </c>
      <c r="G481" s="438">
        <f t="shared" si="4"/>
        <v>0.09695605829</v>
      </c>
      <c r="H481" s="220" t="str">
        <f t="shared" si="13"/>
        <v>Default standby Charge</v>
      </c>
      <c r="I481" s="182"/>
      <c r="J481" s="182"/>
      <c r="K481" s="11"/>
      <c r="L481" s="182"/>
      <c r="M481" s="182"/>
      <c r="N481" s="182"/>
      <c r="O481" s="182"/>
      <c r="P481" s="11"/>
      <c r="Q481" s="11"/>
      <c r="R481" s="11"/>
      <c r="S481" s="11"/>
      <c r="T481" s="11"/>
      <c r="U481" s="11"/>
      <c r="V481" s="11"/>
      <c r="W481" s="11"/>
      <c r="X481" s="11"/>
      <c r="Y481" s="11"/>
      <c r="Z481" s="11"/>
      <c r="AA481" s="11"/>
    </row>
    <row r="482" ht="15.75" customHeight="1">
      <c r="A482" s="435">
        <f t="shared" si="10"/>
        <v>1836</v>
      </c>
      <c r="B482" s="429" t="str">
        <f t="shared" si="91"/>
        <v>Charge</v>
      </c>
      <c r="C482" s="221">
        <f t="shared" ref="C482:E482" si="113">C122</f>
        <v>0</v>
      </c>
      <c r="D482" s="221">
        <f t="shared" si="113"/>
        <v>0.9775626664</v>
      </c>
      <c r="E482" s="221">
        <f t="shared" si="113"/>
        <v>0</v>
      </c>
      <c r="F482" s="221">
        <f t="shared" si="12"/>
        <v>5411.901264</v>
      </c>
      <c r="G482" s="438">
        <f t="shared" si="4"/>
        <v>0.09697357483</v>
      </c>
      <c r="H482" s="220" t="str">
        <f t="shared" si="13"/>
        <v>Default standby Charge</v>
      </c>
      <c r="I482" s="182"/>
      <c r="J482" s="182"/>
      <c r="K482" s="11"/>
      <c r="L482" s="182"/>
      <c r="M482" s="182"/>
      <c r="N482" s="182"/>
      <c r="O482" s="182"/>
      <c r="P482" s="11"/>
      <c r="Q482" s="11"/>
      <c r="R482" s="11"/>
      <c r="S482" s="11"/>
      <c r="T482" s="11"/>
      <c r="U482" s="11"/>
      <c r="V482" s="11"/>
      <c r="W482" s="11"/>
      <c r="X482" s="11"/>
      <c r="Y482" s="11"/>
      <c r="Z482" s="11"/>
      <c r="AA482" s="11"/>
    </row>
    <row r="483" ht="15.75" customHeight="1">
      <c r="A483" s="435">
        <f t="shared" si="10"/>
        <v>1840</v>
      </c>
      <c r="B483" s="429" t="str">
        <f t="shared" si="91"/>
        <v>Charge</v>
      </c>
      <c r="C483" s="221">
        <f t="shared" ref="C483:E483" si="114">C123</f>
        <v>0</v>
      </c>
      <c r="D483" s="221">
        <f t="shared" si="114"/>
        <v>0.9775626664</v>
      </c>
      <c r="E483" s="221">
        <f t="shared" si="114"/>
        <v>0</v>
      </c>
      <c r="F483" s="221">
        <f t="shared" si="12"/>
        <v>5412.878827</v>
      </c>
      <c r="G483" s="438">
        <f t="shared" si="4"/>
        <v>0.09699109136</v>
      </c>
      <c r="H483" s="220" t="str">
        <f t="shared" si="13"/>
        <v>Default standby Charge</v>
      </c>
      <c r="I483" s="182"/>
      <c r="J483" s="182"/>
      <c r="K483" s="11"/>
      <c r="L483" s="182"/>
      <c r="M483" s="182"/>
      <c r="N483" s="182"/>
      <c r="O483" s="182"/>
      <c r="P483" s="11"/>
      <c r="Q483" s="11"/>
      <c r="R483" s="11"/>
      <c r="S483" s="11"/>
      <c r="T483" s="11"/>
      <c r="U483" s="11"/>
      <c r="V483" s="11"/>
      <c r="W483" s="11"/>
      <c r="X483" s="11"/>
      <c r="Y483" s="11"/>
      <c r="Z483" s="11"/>
      <c r="AA483" s="11"/>
    </row>
    <row r="484" ht="15.75" customHeight="1">
      <c r="A484" s="435">
        <f t="shared" si="10"/>
        <v>1844</v>
      </c>
      <c r="B484" s="429" t="str">
        <f t="shared" si="91"/>
        <v>Charge</v>
      </c>
      <c r="C484" s="221">
        <f t="shared" ref="C484:E484" si="115">C124</f>
        <v>0</v>
      </c>
      <c r="D484" s="221">
        <f t="shared" si="115"/>
        <v>0.9775626664</v>
      </c>
      <c r="E484" s="221">
        <f t="shared" si="115"/>
        <v>0</v>
      </c>
      <c r="F484" s="221">
        <f t="shared" si="12"/>
        <v>5413.856389</v>
      </c>
      <c r="G484" s="438">
        <f t="shared" si="4"/>
        <v>0.09700860789</v>
      </c>
      <c r="H484" s="220" t="str">
        <f t="shared" si="13"/>
        <v>Default standby Charge</v>
      </c>
      <c r="I484" s="182"/>
      <c r="J484" s="182"/>
      <c r="K484" s="11"/>
      <c r="L484" s="182"/>
      <c r="M484" s="182"/>
      <c r="N484" s="182"/>
      <c r="O484" s="182"/>
      <c r="P484" s="11"/>
      <c r="Q484" s="11"/>
      <c r="R484" s="11"/>
      <c r="S484" s="11"/>
      <c r="T484" s="11"/>
      <c r="U484" s="11"/>
      <c r="V484" s="11"/>
      <c r="W484" s="11"/>
      <c r="X484" s="11"/>
      <c r="Y484" s="11"/>
      <c r="Z484" s="11"/>
      <c r="AA484" s="11"/>
    </row>
    <row r="485" ht="15.75" customHeight="1">
      <c r="A485" s="435">
        <f t="shared" si="10"/>
        <v>1848</v>
      </c>
      <c r="B485" s="429" t="str">
        <f t="shared" si="91"/>
        <v>Charge</v>
      </c>
      <c r="C485" s="221">
        <f t="shared" ref="C485:E485" si="116">C125</f>
        <v>0</v>
      </c>
      <c r="D485" s="221">
        <f t="shared" si="116"/>
        <v>0.9775626664</v>
      </c>
      <c r="E485" s="221">
        <f t="shared" si="116"/>
        <v>0</v>
      </c>
      <c r="F485" s="221">
        <f t="shared" si="12"/>
        <v>5414.833952</v>
      </c>
      <c r="G485" s="438">
        <f t="shared" si="4"/>
        <v>0.09702612442</v>
      </c>
      <c r="H485" s="220" t="str">
        <f t="shared" si="13"/>
        <v>Default standby Charge</v>
      </c>
      <c r="I485" s="182"/>
      <c r="J485" s="182"/>
      <c r="K485" s="11"/>
      <c r="L485" s="182"/>
      <c r="M485" s="182"/>
      <c r="N485" s="182"/>
      <c r="O485" s="182"/>
      <c r="P485" s="11"/>
      <c r="Q485" s="11"/>
      <c r="R485" s="11"/>
      <c r="S485" s="11"/>
      <c r="T485" s="11"/>
      <c r="U485" s="11"/>
      <c r="V485" s="11"/>
      <c r="W485" s="11"/>
      <c r="X485" s="11"/>
      <c r="Y485" s="11"/>
      <c r="Z485" s="11"/>
      <c r="AA485" s="11"/>
    </row>
    <row r="486" ht="15.75" customHeight="1">
      <c r="A486" s="435">
        <f t="shared" si="10"/>
        <v>1852</v>
      </c>
      <c r="B486" s="429" t="str">
        <f t="shared" si="91"/>
        <v>Charge</v>
      </c>
      <c r="C486" s="221">
        <f t="shared" ref="C486:E486" si="117">C126</f>
        <v>0</v>
      </c>
      <c r="D486" s="221">
        <f t="shared" si="117"/>
        <v>0.9775626664</v>
      </c>
      <c r="E486" s="221">
        <f t="shared" si="117"/>
        <v>0</v>
      </c>
      <c r="F486" s="221">
        <f t="shared" si="12"/>
        <v>5415.811515</v>
      </c>
      <c r="G486" s="438">
        <f t="shared" si="4"/>
        <v>0.09704364096</v>
      </c>
      <c r="H486" s="220" t="str">
        <f t="shared" si="13"/>
        <v>Default standby Charge</v>
      </c>
      <c r="I486" s="182"/>
      <c r="J486" s="182"/>
      <c r="K486" s="11"/>
      <c r="L486" s="182"/>
      <c r="M486" s="182"/>
      <c r="N486" s="182"/>
      <c r="O486" s="182"/>
      <c r="P486" s="11"/>
      <c r="Q486" s="11"/>
      <c r="R486" s="11"/>
      <c r="S486" s="11"/>
      <c r="T486" s="11"/>
      <c r="U486" s="11"/>
      <c r="V486" s="11"/>
      <c r="W486" s="11"/>
      <c r="X486" s="11"/>
      <c r="Y486" s="11"/>
      <c r="Z486" s="11"/>
      <c r="AA486" s="11"/>
    </row>
    <row r="487" ht="15.75" customHeight="1">
      <c r="A487" s="435">
        <f t="shared" si="10"/>
        <v>1856</v>
      </c>
      <c r="B487" s="429" t="str">
        <f t="shared" si="91"/>
        <v>Charge</v>
      </c>
      <c r="C487" s="221">
        <f t="shared" ref="C487:E487" si="118">C127</f>
        <v>0</v>
      </c>
      <c r="D487" s="221">
        <f t="shared" si="118"/>
        <v>0.9775626664</v>
      </c>
      <c r="E487" s="221">
        <f t="shared" si="118"/>
        <v>0</v>
      </c>
      <c r="F487" s="221">
        <f t="shared" si="12"/>
        <v>5416.789077</v>
      </c>
      <c r="G487" s="438">
        <f t="shared" si="4"/>
        <v>0.09706115749</v>
      </c>
      <c r="H487" s="220" t="str">
        <f t="shared" si="13"/>
        <v>Default standby Charge</v>
      </c>
      <c r="I487" s="182"/>
      <c r="J487" s="182"/>
      <c r="K487" s="11"/>
      <c r="L487" s="182"/>
      <c r="M487" s="182"/>
      <c r="N487" s="182"/>
      <c r="O487" s="182"/>
      <c r="P487" s="11"/>
      <c r="Q487" s="11"/>
      <c r="R487" s="11"/>
      <c r="S487" s="11"/>
      <c r="T487" s="11"/>
      <c r="U487" s="11"/>
      <c r="V487" s="11"/>
      <c r="W487" s="11"/>
      <c r="X487" s="11"/>
      <c r="Y487" s="11"/>
      <c r="Z487" s="11"/>
      <c r="AA487" s="11"/>
    </row>
    <row r="488" ht="15.75" customHeight="1">
      <c r="A488" s="435">
        <f t="shared" si="10"/>
        <v>1860</v>
      </c>
      <c r="B488" s="484" t="str">
        <f t="shared" ref="B488:E488" si="119">B128</f>
        <v>Science B</v>
      </c>
      <c r="C488" s="221">
        <f t="shared" si="119"/>
        <v>8</v>
      </c>
      <c r="D488" s="221">
        <f t="shared" si="119"/>
        <v>32.84956267</v>
      </c>
      <c r="E488" s="221">
        <f t="shared" si="119"/>
        <v>0</v>
      </c>
      <c r="F488" s="221">
        <f t="shared" si="12"/>
        <v>5449.63864</v>
      </c>
      <c r="G488" s="438">
        <f t="shared" si="4"/>
        <v>0.09764977494</v>
      </c>
      <c r="H488" s="220" t="str">
        <f t="shared" si="13"/>
        <v>Science data acquisition and storage</v>
      </c>
      <c r="I488" s="182"/>
      <c r="J488" s="182"/>
      <c r="K488" s="11"/>
      <c r="L488" s="182"/>
      <c r="M488" s="182"/>
      <c r="N488" s="182"/>
      <c r="O488" s="182"/>
      <c r="P488" s="11"/>
      <c r="Q488" s="11"/>
      <c r="R488" s="11"/>
      <c r="S488" s="11"/>
      <c r="T488" s="11"/>
      <c r="U488" s="11"/>
      <c r="V488" s="11"/>
      <c r="W488" s="11"/>
      <c r="X488" s="11"/>
      <c r="Y488" s="11"/>
      <c r="Z488" s="11"/>
      <c r="AA488" s="11"/>
    </row>
    <row r="489" ht="15.75" customHeight="1">
      <c r="A489" s="435">
        <f t="shared" si="10"/>
        <v>1864</v>
      </c>
      <c r="B489" s="484" t="str">
        <f t="shared" ref="B489:E489" si="120">B129</f>
        <v>Science B</v>
      </c>
      <c r="C489" s="221">
        <f t="shared" si="120"/>
        <v>8</v>
      </c>
      <c r="D489" s="221">
        <f t="shared" si="120"/>
        <v>32.84956267</v>
      </c>
      <c r="E489" s="221">
        <f t="shared" si="120"/>
        <v>0</v>
      </c>
      <c r="F489" s="221">
        <f t="shared" si="12"/>
        <v>5482.488203</v>
      </c>
      <c r="G489" s="438">
        <f t="shared" si="4"/>
        <v>0.09823839239</v>
      </c>
      <c r="H489" s="220" t="str">
        <f t="shared" si="13"/>
        <v>Science data acquisition and storage</v>
      </c>
      <c r="I489" s="182"/>
      <c r="J489" s="182"/>
      <c r="K489" s="11"/>
      <c r="L489" s="182"/>
      <c r="M489" s="182"/>
      <c r="N489" s="182"/>
      <c r="O489" s="182"/>
      <c r="P489" s="11"/>
      <c r="Q489" s="11"/>
      <c r="R489" s="11"/>
      <c r="S489" s="11"/>
      <c r="T489" s="11"/>
      <c r="U489" s="11"/>
      <c r="V489" s="11"/>
      <c r="W489" s="11"/>
      <c r="X489" s="11"/>
      <c r="Y489" s="11"/>
      <c r="Z489" s="11"/>
      <c r="AA489" s="11"/>
    </row>
    <row r="490" ht="15.75" customHeight="1">
      <c r="A490" s="435">
        <f t="shared" si="10"/>
        <v>1868</v>
      </c>
      <c r="B490" s="484" t="str">
        <f t="shared" ref="B490:E490" si="121">B130</f>
        <v>Science B</v>
      </c>
      <c r="C490" s="221">
        <f t="shared" si="121"/>
        <v>8</v>
      </c>
      <c r="D490" s="221">
        <f t="shared" si="121"/>
        <v>32.84956267</v>
      </c>
      <c r="E490" s="221">
        <f t="shared" si="121"/>
        <v>0</v>
      </c>
      <c r="F490" s="221">
        <f t="shared" si="12"/>
        <v>5515.337765</v>
      </c>
      <c r="G490" s="438">
        <f t="shared" si="4"/>
        <v>0.09882700984</v>
      </c>
      <c r="H490" s="220" t="str">
        <f t="shared" si="13"/>
        <v>Science data acquisition and storage</v>
      </c>
      <c r="I490" s="182"/>
      <c r="J490" s="182"/>
      <c r="K490" s="11"/>
      <c r="L490" s="182"/>
      <c r="M490" s="182"/>
      <c r="N490" s="182"/>
      <c r="O490" s="182"/>
      <c r="P490" s="11"/>
      <c r="Q490" s="11"/>
      <c r="R490" s="11"/>
      <c r="S490" s="11"/>
      <c r="T490" s="11"/>
      <c r="U490" s="11"/>
      <c r="V490" s="11"/>
      <c r="W490" s="11"/>
      <c r="X490" s="11"/>
      <c r="Y490" s="11"/>
      <c r="Z490" s="11"/>
      <c r="AA490" s="11"/>
    </row>
    <row r="491" ht="15.75" customHeight="1">
      <c r="A491" s="435">
        <f t="shared" si="10"/>
        <v>1872</v>
      </c>
      <c r="B491" s="484" t="str">
        <f t="shared" ref="B491:E491" si="122">B131</f>
        <v>Science B</v>
      </c>
      <c r="C491" s="221">
        <f t="shared" si="122"/>
        <v>8</v>
      </c>
      <c r="D491" s="221">
        <f t="shared" si="122"/>
        <v>32.84956267</v>
      </c>
      <c r="E491" s="221">
        <f t="shared" si="122"/>
        <v>0</v>
      </c>
      <c r="F491" s="221">
        <f t="shared" si="12"/>
        <v>5548.187328</v>
      </c>
      <c r="G491" s="438">
        <f t="shared" si="4"/>
        <v>0.09941562729</v>
      </c>
      <c r="H491" s="220" t="str">
        <f t="shared" si="13"/>
        <v>Science data acquisition and storage</v>
      </c>
      <c r="I491" s="182"/>
      <c r="J491" s="182"/>
      <c r="K491" s="11"/>
      <c r="L491" s="182"/>
      <c r="M491" s="182"/>
      <c r="N491" s="182"/>
      <c r="O491" s="182"/>
      <c r="P491" s="11"/>
      <c r="Q491" s="11"/>
      <c r="R491" s="11"/>
      <c r="S491" s="11"/>
      <c r="T491" s="11"/>
      <c r="U491" s="11"/>
      <c r="V491" s="11"/>
      <c r="W491" s="11"/>
      <c r="X491" s="11"/>
      <c r="Y491" s="11"/>
      <c r="Z491" s="11"/>
      <c r="AA491" s="11"/>
    </row>
    <row r="492" ht="15.75" customHeight="1">
      <c r="A492" s="435">
        <f t="shared" si="10"/>
        <v>1876</v>
      </c>
      <c r="B492" s="484" t="str">
        <f t="shared" ref="B492:E492" si="123">B132</f>
        <v>Science B</v>
      </c>
      <c r="C492" s="221">
        <f t="shared" si="123"/>
        <v>8</v>
      </c>
      <c r="D492" s="221">
        <f t="shared" si="123"/>
        <v>32.84956267</v>
      </c>
      <c r="E492" s="221">
        <f t="shared" si="123"/>
        <v>0</v>
      </c>
      <c r="F492" s="221">
        <f t="shared" si="12"/>
        <v>5581.036891</v>
      </c>
      <c r="G492" s="438">
        <f t="shared" si="4"/>
        <v>0.1000042447</v>
      </c>
      <c r="H492" s="220" t="str">
        <f t="shared" si="13"/>
        <v>Science data acquisition and storage</v>
      </c>
      <c r="I492" s="182"/>
      <c r="J492" s="182"/>
      <c r="K492" s="11"/>
      <c r="L492" s="182"/>
      <c r="M492" s="182"/>
      <c r="N492" s="182"/>
      <c r="O492" s="182"/>
      <c r="P492" s="11"/>
      <c r="Q492" s="11"/>
      <c r="R492" s="11"/>
      <c r="S492" s="11"/>
      <c r="T492" s="11"/>
      <c r="U492" s="11"/>
      <c r="V492" s="11"/>
      <c r="W492" s="11"/>
      <c r="X492" s="11"/>
      <c r="Y492" s="11"/>
      <c r="Z492" s="11"/>
      <c r="AA492" s="11"/>
    </row>
    <row r="493" ht="15.75" customHeight="1">
      <c r="A493" s="435">
        <f t="shared" si="10"/>
        <v>1880</v>
      </c>
      <c r="B493" s="484" t="str">
        <f t="shared" ref="B493:E493" si="124">B133</f>
        <v>Science B</v>
      </c>
      <c r="C493" s="221">
        <f t="shared" si="124"/>
        <v>8</v>
      </c>
      <c r="D493" s="221">
        <f t="shared" si="124"/>
        <v>32.84956267</v>
      </c>
      <c r="E493" s="221">
        <f t="shared" si="124"/>
        <v>0</v>
      </c>
      <c r="F493" s="221">
        <f t="shared" si="12"/>
        <v>5613.886453</v>
      </c>
      <c r="G493" s="438">
        <f t="shared" si="4"/>
        <v>0.1005928622</v>
      </c>
      <c r="H493" s="220" t="str">
        <f t="shared" si="13"/>
        <v>Science data acquisition and storage</v>
      </c>
      <c r="I493" s="182"/>
      <c r="J493" s="182"/>
      <c r="K493" s="11"/>
      <c r="L493" s="182"/>
      <c r="M493" s="182"/>
      <c r="N493" s="182"/>
      <c r="O493" s="182"/>
      <c r="P493" s="11"/>
      <c r="Q493" s="11"/>
      <c r="R493" s="11"/>
      <c r="S493" s="11"/>
      <c r="T493" s="11"/>
      <c r="U493" s="11"/>
      <c r="V493" s="11"/>
      <c r="W493" s="11"/>
      <c r="X493" s="11"/>
      <c r="Y493" s="11"/>
      <c r="Z493" s="11"/>
      <c r="AA493" s="11"/>
    </row>
    <row r="494" ht="15.75" customHeight="1">
      <c r="A494" s="435">
        <f t="shared" si="10"/>
        <v>1884</v>
      </c>
      <c r="B494" s="484" t="str">
        <f t="shared" ref="B494:E494" si="125">B134</f>
        <v>Science B</v>
      </c>
      <c r="C494" s="221">
        <f t="shared" si="125"/>
        <v>8</v>
      </c>
      <c r="D494" s="221">
        <f t="shared" si="125"/>
        <v>32.84956267</v>
      </c>
      <c r="E494" s="221">
        <f t="shared" si="125"/>
        <v>0</v>
      </c>
      <c r="F494" s="221">
        <f t="shared" si="12"/>
        <v>5646.736016</v>
      </c>
      <c r="G494" s="438">
        <f t="shared" si="4"/>
        <v>0.1011814796</v>
      </c>
      <c r="H494" s="220" t="str">
        <f t="shared" si="13"/>
        <v>Science data acquisition and storage</v>
      </c>
      <c r="I494" s="182"/>
      <c r="J494" s="182"/>
      <c r="K494" s="11"/>
      <c r="L494" s="182"/>
      <c r="M494" s="182"/>
      <c r="N494" s="182"/>
      <c r="O494" s="182"/>
      <c r="P494" s="11"/>
      <c r="Q494" s="11"/>
      <c r="R494" s="11"/>
      <c r="S494" s="11"/>
      <c r="T494" s="11"/>
      <c r="U494" s="11"/>
      <c r="V494" s="11"/>
      <c r="W494" s="11"/>
      <c r="X494" s="11"/>
      <c r="Y494" s="11"/>
      <c r="Z494" s="11"/>
      <c r="AA494" s="11"/>
    </row>
    <row r="495" ht="15.75" customHeight="1">
      <c r="A495" s="435">
        <f t="shared" si="10"/>
        <v>1888</v>
      </c>
      <c r="B495" s="484" t="str">
        <f t="shared" ref="B495:E495" si="126">B135</f>
        <v>Science B</v>
      </c>
      <c r="C495" s="221">
        <f t="shared" si="126"/>
        <v>8</v>
      </c>
      <c r="D495" s="221">
        <f t="shared" si="126"/>
        <v>32.84956267</v>
      </c>
      <c r="E495" s="221">
        <f t="shared" si="126"/>
        <v>0</v>
      </c>
      <c r="F495" s="221">
        <f t="shared" si="12"/>
        <v>5679.585579</v>
      </c>
      <c r="G495" s="438">
        <f t="shared" si="4"/>
        <v>0.1017700971</v>
      </c>
      <c r="H495" s="220" t="str">
        <f t="shared" si="13"/>
        <v>Science data acquisition and storage</v>
      </c>
      <c r="I495" s="182"/>
      <c r="J495" s="182"/>
      <c r="K495" s="11"/>
      <c r="L495" s="182"/>
      <c r="M495" s="182"/>
      <c r="N495" s="182"/>
      <c r="O495" s="182"/>
      <c r="P495" s="11"/>
      <c r="Q495" s="11"/>
      <c r="R495" s="11"/>
      <c r="S495" s="11"/>
      <c r="T495" s="11"/>
      <c r="U495" s="11"/>
      <c r="V495" s="11"/>
      <c r="W495" s="11"/>
      <c r="X495" s="11"/>
      <c r="Y495" s="11"/>
      <c r="Z495" s="11"/>
      <c r="AA495" s="11"/>
    </row>
    <row r="496" ht="15.75" customHeight="1">
      <c r="A496" s="435">
        <f t="shared" si="10"/>
        <v>1892</v>
      </c>
      <c r="B496" s="484" t="str">
        <f t="shared" ref="B496:E496" si="127">B136</f>
        <v>Science B</v>
      </c>
      <c r="C496" s="221">
        <f t="shared" si="127"/>
        <v>8</v>
      </c>
      <c r="D496" s="221">
        <f t="shared" si="127"/>
        <v>32.84956267</v>
      </c>
      <c r="E496" s="221">
        <f t="shared" si="127"/>
        <v>0</v>
      </c>
      <c r="F496" s="221">
        <f t="shared" si="12"/>
        <v>5712.435141</v>
      </c>
      <c r="G496" s="438">
        <f t="shared" si="4"/>
        <v>0.1023587145</v>
      </c>
      <c r="H496" s="220" t="str">
        <f t="shared" si="13"/>
        <v>Science data acquisition and storage</v>
      </c>
      <c r="I496" s="182"/>
      <c r="J496" s="182"/>
      <c r="K496" s="11"/>
      <c r="L496" s="182"/>
      <c r="M496" s="182"/>
      <c r="N496" s="182"/>
      <c r="O496" s="182"/>
      <c r="P496" s="11"/>
      <c r="Q496" s="11"/>
      <c r="R496" s="11"/>
      <c r="S496" s="11"/>
      <c r="T496" s="11"/>
      <c r="U496" s="11"/>
      <c r="V496" s="11"/>
      <c r="W496" s="11"/>
      <c r="X496" s="11"/>
      <c r="Y496" s="11"/>
      <c r="Z496" s="11"/>
      <c r="AA496" s="11"/>
    </row>
    <row r="497" ht="15.75" customHeight="1">
      <c r="A497" s="435">
        <f t="shared" si="10"/>
        <v>1896</v>
      </c>
      <c r="B497" s="484" t="str">
        <f t="shared" ref="B497:E497" si="128">B137</f>
        <v>Science B</v>
      </c>
      <c r="C497" s="221">
        <f t="shared" si="128"/>
        <v>8</v>
      </c>
      <c r="D497" s="221">
        <f t="shared" si="128"/>
        <v>32.84956267</v>
      </c>
      <c r="E497" s="221">
        <f t="shared" si="128"/>
        <v>0</v>
      </c>
      <c r="F497" s="221">
        <f t="shared" si="12"/>
        <v>5745.284704</v>
      </c>
      <c r="G497" s="438">
        <f t="shared" si="4"/>
        <v>0.102947332</v>
      </c>
      <c r="H497" s="220" t="str">
        <f t="shared" si="13"/>
        <v>Science data acquisition and storage</v>
      </c>
      <c r="I497" s="182"/>
      <c r="J497" s="182"/>
      <c r="K497" s="11"/>
      <c r="L497" s="182"/>
      <c r="M497" s="182"/>
      <c r="N497" s="182"/>
      <c r="O497" s="182"/>
      <c r="P497" s="11"/>
      <c r="Q497" s="11"/>
      <c r="R497" s="11"/>
      <c r="S497" s="11"/>
      <c r="T497" s="11"/>
      <c r="U497" s="11"/>
      <c r="V497" s="11"/>
      <c r="W497" s="11"/>
      <c r="X497" s="11"/>
      <c r="Y497" s="11"/>
      <c r="Z497" s="11"/>
      <c r="AA497" s="11"/>
    </row>
    <row r="498" ht="15.75" customHeight="1">
      <c r="A498" s="435">
        <f t="shared" si="10"/>
        <v>1900</v>
      </c>
      <c r="B498" s="484" t="str">
        <f t="shared" ref="B498:E498" si="129">B138</f>
        <v>Science B</v>
      </c>
      <c r="C498" s="221">
        <f t="shared" si="129"/>
        <v>8</v>
      </c>
      <c r="D498" s="221">
        <f t="shared" si="129"/>
        <v>32.84956267</v>
      </c>
      <c r="E498" s="221">
        <f t="shared" si="129"/>
        <v>0</v>
      </c>
      <c r="F498" s="221">
        <f t="shared" si="12"/>
        <v>5778.134267</v>
      </c>
      <c r="G498" s="438">
        <f t="shared" si="4"/>
        <v>0.1035359494</v>
      </c>
      <c r="H498" s="220" t="str">
        <f t="shared" si="13"/>
        <v>Science data acquisition and storage</v>
      </c>
      <c r="I498" s="182"/>
      <c r="J498" s="182"/>
      <c r="K498" s="11"/>
      <c r="L498" s="182"/>
      <c r="M498" s="182"/>
      <c r="N498" s="182"/>
      <c r="O498" s="182"/>
      <c r="P498" s="11"/>
      <c r="Q498" s="11"/>
      <c r="R498" s="11"/>
      <c r="S498" s="11"/>
      <c r="T498" s="11"/>
      <c r="U498" s="11"/>
      <c r="V498" s="11"/>
      <c r="W498" s="11"/>
      <c r="X498" s="11"/>
      <c r="Y498" s="11"/>
      <c r="Z498" s="11"/>
      <c r="AA498" s="11"/>
    </row>
    <row r="499" ht="15.75" customHeight="1">
      <c r="A499" s="435">
        <f t="shared" si="10"/>
        <v>1904</v>
      </c>
      <c r="B499" s="484" t="str">
        <f t="shared" ref="B499:E499" si="130">B139</f>
        <v>Science B</v>
      </c>
      <c r="C499" s="221">
        <f t="shared" si="130"/>
        <v>8</v>
      </c>
      <c r="D499" s="221">
        <f t="shared" si="130"/>
        <v>32.84956267</v>
      </c>
      <c r="E499" s="221">
        <f t="shared" si="130"/>
        <v>0</v>
      </c>
      <c r="F499" s="221">
        <f t="shared" si="12"/>
        <v>5810.983829</v>
      </c>
      <c r="G499" s="438">
        <f t="shared" si="4"/>
        <v>0.1041245669</v>
      </c>
      <c r="H499" s="220" t="str">
        <f t="shared" si="13"/>
        <v>Science data acquisition and storage</v>
      </c>
      <c r="I499" s="182"/>
      <c r="J499" s="182"/>
      <c r="K499" s="11"/>
      <c r="L499" s="182"/>
      <c r="M499" s="182"/>
      <c r="N499" s="182"/>
      <c r="O499" s="182"/>
      <c r="P499" s="11"/>
      <c r="Q499" s="11"/>
      <c r="R499" s="11"/>
      <c r="S499" s="11"/>
      <c r="T499" s="11"/>
      <c r="U499" s="11"/>
      <c r="V499" s="11"/>
      <c r="W499" s="11"/>
      <c r="X499" s="11"/>
      <c r="Y499" s="11"/>
      <c r="Z499" s="11"/>
      <c r="AA499" s="11"/>
    </row>
    <row r="500" ht="15.75" customHeight="1">
      <c r="A500" s="435">
        <f t="shared" si="10"/>
        <v>1908</v>
      </c>
      <c r="B500" s="484" t="str">
        <f t="shared" ref="B500:E500" si="131">B140</f>
        <v>Science B</v>
      </c>
      <c r="C500" s="221">
        <f t="shared" si="131"/>
        <v>8</v>
      </c>
      <c r="D500" s="221">
        <f t="shared" si="131"/>
        <v>32.84956267</v>
      </c>
      <c r="E500" s="221">
        <f t="shared" si="131"/>
        <v>0</v>
      </c>
      <c r="F500" s="221">
        <f t="shared" si="12"/>
        <v>5843.833392</v>
      </c>
      <c r="G500" s="438">
        <f t="shared" si="4"/>
        <v>0.1047131843</v>
      </c>
      <c r="H500" s="220" t="str">
        <f t="shared" si="13"/>
        <v>Science data acquisition and storage</v>
      </c>
      <c r="I500" s="182"/>
      <c r="J500" s="182"/>
      <c r="K500" s="11"/>
      <c r="L500" s="182"/>
      <c r="M500" s="182"/>
      <c r="N500" s="182"/>
      <c r="O500" s="182"/>
      <c r="P500" s="11"/>
      <c r="Q500" s="11"/>
      <c r="R500" s="11"/>
      <c r="S500" s="11"/>
      <c r="T500" s="11"/>
      <c r="U500" s="11"/>
      <c r="V500" s="11"/>
      <c r="W500" s="11"/>
      <c r="X500" s="11"/>
      <c r="Y500" s="11"/>
      <c r="Z500" s="11"/>
      <c r="AA500" s="11"/>
    </row>
    <row r="501" ht="15.75" customHeight="1">
      <c r="A501" s="435">
        <f t="shared" si="10"/>
        <v>1912</v>
      </c>
      <c r="B501" s="484" t="str">
        <f t="shared" ref="B501:E501" si="132">B141</f>
        <v>Science B</v>
      </c>
      <c r="C501" s="221">
        <f t="shared" si="132"/>
        <v>8</v>
      </c>
      <c r="D501" s="221">
        <f t="shared" si="132"/>
        <v>32.84956267</v>
      </c>
      <c r="E501" s="221">
        <f t="shared" si="132"/>
        <v>0</v>
      </c>
      <c r="F501" s="221">
        <f t="shared" si="12"/>
        <v>5876.682955</v>
      </c>
      <c r="G501" s="438">
        <f t="shared" si="4"/>
        <v>0.1053018018</v>
      </c>
      <c r="H501" s="220" t="str">
        <f t="shared" si="13"/>
        <v>Science data acquisition and storage</v>
      </c>
      <c r="I501" s="182"/>
      <c r="J501" s="182"/>
      <c r="K501" s="11"/>
      <c r="L501" s="182"/>
      <c r="M501" s="182"/>
      <c r="N501" s="182"/>
      <c r="O501" s="182"/>
      <c r="P501" s="11"/>
      <c r="Q501" s="11"/>
      <c r="R501" s="11"/>
      <c r="S501" s="11"/>
      <c r="T501" s="11"/>
      <c r="U501" s="11"/>
      <c r="V501" s="11"/>
      <c r="W501" s="11"/>
      <c r="X501" s="11"/>
      <c r="Y501" s="11"/>
      <c r="Z501" s="11"/>
      <c r="AA501" s="11"/>
    </row>
    <row r="502" ht="15.75" customHeight="1">
      <c r="A502" s="435">
        <f t="shared" si="10"/>
        <v>1916</v>
      </c>
      <c r="B502" s="484" t="str">
        <f t="shared" ref="B502:E502" si="133">B142</f>
        <v>Science B</v>
      </c>
      <c r="C502" s="221">
        <f t="shared" si="133"/>
        <v>8</v>
      </c>
      <c r="D502" s="221">
        <f t="shared" si="133"/>
        <v>32.84956267</v>
      </c>
      <c r="E502" s="221">
        <f t="shared" si="133"/>
        <v>0</v>
      </c>
      <c r="F502" s="221">
        <f t="shared" si="12"/>
        <v>5909.532517</v>
      </c>
      <c r="G502" s="438">
        <f t="shared" si="4"/>
        <v>0.1058904192</v>
      </c>
      <c r="H502" s="220" t="str">
        <f t="shared" si="13"/>
        <v>Science data acquisition and storage</v>
      </c>
      <c r="I502" s="182"/>
      <c r="J502" s="182"/>
      <c r="K502" s="11"/>
      <c r="L502" s="182"/>
      <c r="M502" s="182"/>
      <c r="N502" s="182"/>
      <c r="O502" s="182"/>
      <c r="P502" s="11"/>
      <c r="Q502" s="11"/>
      <c r="R502" s="11"/>
      <c r="S502" s="11"/>
      <c r="T502" s="11"/>
      <c r="U502" s="11"/>
      <c r="V502" s="11"/>
      <c r="W502" s="11"/>
      <c r="X502" s="11"/>
      <c r="Y502" s="11"/>
      <c r="Z502" s="11"/>
      <c r="AA502" s="11"/>
    </row>
    <row r="503" ht="15.75" customHeight="1">
      <c r="A503" s="435">
        <f t="shared" si="10"/>
        <v>1920</v>
      </c>
      <c r="B503" s="484" t="str">
        <f t="shared" ref="B503:E503" si="134">B143</f>
        <v>Science B</v>
      </c>
      <c r="C503" s="221">
        <f t="shared" si="134"/>
        <v>8</v>
      </c>
      <c r="D503" s="221">
        <f t="shared" si="134"/>
        <v>32.84956267</v>
      </c>
      <c r="E503" s="221">
        <f t="shared" si="134"/>
        <v>0</v>
      </c>
      <c r="F503" s="221">
        <f t="shared" si="12"/>
        <v>5942.38208</v>
      </c>
      <c r="G503" s="438">
        <f t="shared" si="4"/>
        <v>0.1064790367</v>
      </c>
      <c r="H503" s="220" t="str">
        <f t="shared" si="13"/>
        <v>Science data acquisition and storage</v>
      </c>
      <c r="I503" s="182"/>
      <c r="J503" s="182"/>
      <c r="K503" s="11"/>
      <c r="L503" s="182"/>
      <c r="M503" s="182"/>
      <c r="N503" s="182"/>
      <c r="O503" s="182"/>
      <c r="P503" s="11"/>
      <c r="Q503" s="11"/>
      <c r="R503" s="11"/>
      <c r="S503" s="11"/>
      <c r="T503" s="11"/>
      <c r="U503" s="11"/>
      <c r="V503" s="11"/>
      <c r="W503" s="11"/>
      <c r="X503" s="11"/>
      <c r="Y503" s="11"/>
      <c r="Z503" s="11"/>
      <c r="AA503" s="11"/>
    </row>
    <row r="504" ht="15.75" customHeight="1">
      <c r="A504" s="435">
        <f t="shared" si="10"/>
        <v>1924</v>
      </c>
      <c r="B504" s="484" t="str">
        <f t="shared" ref="B504:E504" si="135">B144</f>
        <v>Science B</v>
      </c>
      <c r="C504" s="221">
        <f t="shared" si="135"/>
        <v>8</v>
      </c>
      <c r="D504" s="221">
        <f t="shared" si="135"/>
        <v>32.84956267</v>
      </c>
      <c r="E504" s="221">
        <f t="shared" si="135"/>
        <v>0</v>
      </c>
      <c r="F504" s="221">
        <f t="shared" si="12"/>
        <v>5975.231643</v>
      </c>
      <c r="G504" s="438">
        <f t="shared" si="4"/>
        <v>0.1070676541</v>
      </c>
      <c r="H504" s="220" t="str">
        <f t="shared" si="13"/>
        <v>Science data acquisition and storage</v>
      </c>
      <c r="I504" s="182"/>
      <c r="J504" s="182"/>
      <c r="K504" s="11"/>
      <c r="L504" s="182"/>
      <c r="M504" s="182"/>
      <c r="N504" s="182"/>
      <c r="O504" s="182"/>
      <c r="P504" s="11"/>
      <c r="Q504" s="11"/>
      <c r="R504" s="11"/>
      <c r="S504" s="11"/>
      <c r="T504" s="11"/>
      <c r="U504" s="11"/>
      <c r="V504" s="11"/>
      <c r="W504" s="11"/>
      <c r="X504" s="11"/>
      <c r="Y504" s="11"/>
      <c r="Z504" s="11"/>
      <c r="AA504" s="11"/>
    </row>
    <row r="505" ht="15.75" customHeight="1">
      <c r="A505" s="435">
        <f t="shared" si="10"/>
        <v>1928</v>
      </c>
      <c r="B505" s="484" t="str">
        <f t="shared" ref="B505:E505" si="136">B145</f>
        <v>Science B</v>
      </c>
      <c r="C505" s="221">
        <f t="shared" si="136"/>
        <v>8</v>
      </c>
      <c r="D505" s="221">
        <f t="shared" si="136"/>
        <v>32.84956267</v>
      </c>
      <c r="E505" s="221">
        <f t="shared" si="136"/>
        <v>0</v>
      </c>
      <c r="F505" s="221">
        <f t="shared" si="12"/>
        <v>6008.081205</v>
      </c>
      <c r="G505" s="438">
        <f t="shared" si="4"/>
        <v>0.1076562716</v>
      </c>
      <c r="H505" s="220" t="str">
        <f t="shared" si="13"/>
        <v>Science data acquisition and storage</v>
      </c>
      <c r="I505" s="182"/>
      <c r="J505" s="182"/>
      <c r="K505" s="11"/>
      <c r="L505" s="182"/>
      <c r="M505" s="182"/>
      <c r="N505" s="182"/>
      <c r="O505" s="182"/>
      <c r="P505" s="11"/>
      <c r="Q505" s="11"/>
      <c r="R505" s="11"/>
      <c r="S505" s="11"/>
      <c r="T505" s="11"/>
      <c r="U505" s="11"/>
      <c r="V505" s="11"/>
      <c r="W505" s="11"/>
      <c r="X505" s="11"/>
      <c r="Y505" s="11"/>
      <c r="Z505" s="11"/>
      <c r="AA505" s="11"/>
    </row>
    <row r="506" ht="15.75" customHeight="1">
      <c r="A506" s="435">
        <f t="shared" si="10"/>
        <v>1932</v>
      </c>
      <c r="B506" s="484" t="str">
        <f t="shared" ref="B506:E506" si="137">B146</f>
        <v>Science B</v>
      </c>
      <c r="C506" s="221">
        <f t="shared" si="137"/>
        <v>8</v>
      </c>
      <c r="D506" s="221">
        <f t="shared" si="137"/>
        <v>32.84956267</v>
      </c>
      <c r="E506" s="221">
        <f t="shared" si="137"/>
        <v>0</v>
      </c>
      <c r="F506" s="221">
        <f t="shared" si="12"/>
        <v>6040.930768</v>
      </c>
      <c r="G506" s="438">
        <f t="shared" si="4"/>
        <v>0.108244889</v>
      </c>
      <c r="H506" s="220" t="str">
        <f t="shared" si="13"/>
        <v>Science data acquisition and storage</v>
      </c>
      <c r="I506" s="182"/>
      <c r="J506" s="182"/>
      <c r="K506" s="11"/>
      <c r="L506" s="182"/>
      <c r="M506" s="182"/>
      <c r="N506" s="182"/>
      <c r="O506" s="182"/>
      <c r="P506" s="11"/>
      <c r="Q506" s="11"/>
      <c r="R506" s="11"/>
      <c r="S506" s="11"/>
      <c r="T506" s="11"/>
      <c r="U506" s="11"/>
      <c r="V506" s="11"/>
      <c r="W506" s="11"/>
      <c r="X506" s="11"/>
      <c r="Y506" s="11"/>
      <c r="Z506" s="11"/>
      <c r="AA506" s="11"/>
    </row>
    <row r="507" ht="15.75" customHeight="1">
      <c r="A507" s="435">
        <f t="shared" si="10"/>
        <v>1936</v>
      </c>
      <c r="B507" s="484" t="str">
        <f t="shared" ref="B507:E507" si="138">B147</f>
        <v>Science B</v>
      </c>
      <c r="C507" s="221">
        <f t="shared" si="138"/>
        <v>8</v>
      </c>
      <c r="D507" s="221">
        <f t="shared" si="138"/>
        <v>32.84956267</v>
      </c>
      <c r="E507" s="221">
        <f t="shared" si="138"/>
        <v>0</v>
      </c>
      <c r="F507" s="221">
        <f t="shared" si="12"/>
        <v>6073.780331</v>
      </c>
      <c r="G507" s="438">
        <f t="shared" si="4"/>
        <v>0.1088335065</v>
      </c>
      <c r="H507" s="220" t="str">
        <f t="shared" si="13"/>
        <v>Science data acquisition and storage</v>
      </c>
      <c r="I507" s="182"/>
      <c r="J507" s="182"/>
      <c r="K507" s="11"/>
      <c r="L507" s="182"/>
      <c r="M507" s="182"/>
      <c r="N507" s="182"/>
      <c r="O507" s="182"/>
      <c r="P507" s="11"/>
      <c r="Q507" s="11"/>
      <c r="R507" s="11"/>
      <c r="S507" s="11"/>
      <c r="T507" s="11"/>
      <c r="U507" s="11"/>
      <c r="V507" s="11"/>
      <c r="W507" s="11"/>
      <c r="X507" s="11"/>
      <c r="Y507" s="11"/>
      <c r="Z507" s="11"/>
      <c r="AA507" s="11"/>
    </row>
    <row r="508" ht="15.75" customHeight="1">
      <c r="A508" s="435">
        <f t="shared" si="10"/>
        <v>1940</v>
      </c>
      <c r="B508" s="484" t="str">
        <f t="shared" ref="B508:E508" si="139">B148</f>
        <v>Science B</v>
      </c>
      <c r="C508" s="221">
        <f t="shared" si="139"/>
        <v>8</v>
      </c>
      <c r="D508" s="221">
        <f t="shared" si="139"/>
        <v>32.84956267</v>
      </c>
      <c r="E508" s="221">
        <f t="shared" si="139"/>
        <v>0</v>
      </c>
      <c r="F508" s="221">
        <f t="shared" si="12"/>
        <v>6106.629893</v>
      </c>
      <c r="G508" s="438">
        <f t="shared" si="4"/>
        <v>0.1094221239</v>
      </c>
      <c r="H508" s="220" t="str">
        <f t="shared" si="13"/>
        <v>Science data acquisition and storage</v>
      </c>
      <c r="I508" s="182"/>
      <c r="J508" s="182"/>
      <c r="K508" s="11"/>
      <c r="L508" s="182"/>
      <c r="M508" s="182"/>
      <c r="N508" s="182"/>
      <c r="O508" s="182"/>
      <c r="P508" s="11"/>
      <c r="Q508" s="11"/>
      <c r="R508" s="11"/>
      <c r="S508" s="11"/>
      <c r="T508" s="11"/>
      <c r="U508" s="11"/>
      <c r="V508" s="11"/>
      <c r="W508" s="11"/>
      <c r="X508" s="11"/>
      <c r="Y508" s="11"/>
      <c r="Z508" s="11"/>
      <c r="AA508" s="11"/>
    </row>
    <row r="509" ht="15.75" customHeight="1">
      <c r="A509" s="435">
        <f t="shared" si="10"/>
        <v>1944</v>
      </c>
      <c r="B509" s="484" t="str">
        <f t="shared" ref="B509:E509" si="140">B149</f>
        <v>Science B</v>
      </c>
      <c r="C509" s="221">
        <f t="shared" si="140"/>
        <v>8</v>
      </c>
      <c r="D509" s="221">
        <f t="shared" si="140"/>
        <v>32.84956267</v>
      </c>
      <c r="E509" s="221">
        <f t="shared" si="140"/>
        <v>0</v>
      </c>
      <c r="F509" s="221">
        <f t="shared" si="12"/>
        <v>6139.479456</v>
      </c>
      <c r="G509" s="438">
        <f t="shared" si="4"/>
        <v>0.1100107414</v>
      </c>
      <c r="H509" s="220" t="str">
        <f t="shared" si="13"/>
        <v>Science data acquisition and storage</v>
      </c>
      <c r="I509" s="182"/>
      <c r="J509" s="182"/>
      <c r="K509" s="11"/>
      <c r="L509" s="182"/>
      <c r="M509" s="182"/>
      <c r="N509" s="182"/>
      <c r="O509" s="182"/>
      <c r="P509" s="11"/>
      <c r="Q509" s="11"/>
      <c r="R509" s="11"/>
      <c r="S509" s="11"/>
      <c r="T509" s="11"/>
      <c r="U509" s="11"/>
      <c r="V509" s="11"/>
      <c r="W509" s="11"/>
      <c r="X509" s="11"/>
      <c r="Y509" s="11"/>
      <c r="Z509" s="11"/>
      <c r="AA509" s="11"/>
    </row>
    <row r="510" ht="15.75" customHeight="1">
      <c r="A510" s="435">
        <f t="shared" si="10"/>
        <v>1948</v>
      </c>
      <c r="B510" s="484" t="str">
        <f t="shared" ref="B510:E510" si="141">B150</f>
        <v>Science B</v>
      </c>
      <c r="C510" s="221">
        <f t="shared" si="141"/>
        <v>8</v>
      </c>
      <c r="D510" s="221">
        <f t="shared" si="141"/>
        <v>32.84956267</v>
      </c>
      <c r="E510" s="221">
        <f t="shared" si="141"/>
        <v>0</v>
      </c>
      <c r="F510" s="221">
        <f t="shared" si="12"/>
        <v>6172.329019</v>
      </c>
      <c r="G510" s="438">
        <f t="shared" si="4"/>
        <v>0.1105993588</v>
      </c>
      <c r="H510" s="220" t="str">
        <f t="shared" si="13"/>
        <v>Science data acquisition and storage</v>
      </c>
      <c r="I510" s="182"/>
      <c r="J510" s="182"/>
      <c r="K510" s="11"/>
      <c r="L510" s="182"/>
      <c r="M510" s="182"/>
      <c r="N510" s="182"/>
      <c r="O510" s="182"/>
      <c r="P510" s="11"/>
      <c r="Q510" s="11"/>
      <c r="R510" s="11"/>
      <c r="S510" s="11"/>
      <c r="T510" s="11"/>
      <c r="U510" s="11"/>
      <c r="V510" s="11"/>
      <c r="W510" s="11"/>
      <c r="X510" s="11"/>
      <c r="Y510" s="11"/>
      <c r="Z510" s="11"/>
      <c r="AA510" s="11"/>
    </row>
    <row r="511" ht="15.75" customHeight="1">
      <c r="A511" s="435">
        <f t="shared" si="10"/>
        <v>1952</v>
      </c>
      <c r="B511" s="484" t="str">
        <f t="shared" ref="B511:E511" si="142">B151</f>
        <v>Science B</v>
      </c>
      <c r="C511" s="221">
        <f t="shared" si="142"/>
        <v>8</v>
      </c>
      <c r="D511" s="221">
        <f t="shared" si="142"/>
        <v>32.84956267</v>
      </c>
      <c r="E511" s="221">
        <f t="shared" si="142"/>
        <v>0</v>
      </c>
      <c r="F511" s="221">
        <f t="shared" si="12"/>
        <v>6205.178581</v>
      </c>
      <c r="G511" s="438">
        <f t="shared" si="4"/>
        <v>0.1111879763</v>
      </c>
      <c r="H511" s="220" t="str">
        <f t="shared" si="13"/>
        <v>Science data acquisition and storage</v>
      </c>
      <c r="I511" s="182"/>
      <c r="J511" s="182"/>
      <c r="K511" s="11"/>
      <c r="L511" s="182"/>
      <c r="M511" s="182"/>
      <c r="N511" s="182"/>
      <c r="O511" s="182"/>
      <c r="P511" s="11"/>
      <c r="Q511" s="11"/>
      <c r="R511" s="11"/>
      <c r="S511" s="11"/>
      <c r="T511" s="11"/>
      <c r="U511" s="11"/>
      <c r="V511" s="11"/>
      <c r="W511" s="11"/>
      <c r="X511" s="11"/>
      <c r="Y511" s="11"/>
      <c r="Z511" s="11"/>
      <c r="AA511" s="11"/>
    </row>
    <row r="512" ht="15.75" customHeight="1">
      <c r="A512" s="435">
        <f t="shared" si="10"/>
        <v>1956</v>
      </c>
      <c r="B512" s="484" t="str">
        <f t="shared" ref="B512:E512" si="143">B152</f>
        <v>Science B</v>
      </c>
      <c r="C512" s="221">
        <f t="shared" si="143"/>
        <v>8</v>
      </c>
      <c r="D512" s="221">
        <f t="shared" si="143"/>
        <v>32.84956267</v>
      </c>
      <c r="E512" s="221">
        <f t="shared" si="143"/>
        <v>0</v>
      </c>
      <c r="F512" s="221">
        <f t="shared" si="12"/>
        <v>6238.028144</v>
      </c>
      <c r="G512" s="438">
        <f t="shared" si="4"/>
        <v>0.1117765937</v>
      </c>
      <c r="H512" s="220" t="str">
        <f t="shared" si="13"/>
        <v>Science data acquisition and storage</v>
      </c>
      <c r="I512" s="182"/>
      <c r="J512" s="182"/>
      <c r="K512" s="11"/>
      <c r="L512" s="182"/>
      <c r="M512" s="182"/>
      <c r="N512" s="182"/>
      <c r="O512" s="182"/>
      <c r="P512" s="11"/>
      <c r="Q512" s="11"/>
      <c r="R512" s="11"/>
      <c r="S512" s="11"/>
      <c r="T512" s="11"/>
      <c r="U512" s="11"/>
      <c r="V512" s="11"/>
      <c r="W512" s="11"/>
      <c r="X512" s="11"/>
      <c r="Y512" s="11"/>
      <c r="Z512" s="11"/>
      <c r="AA512" s="11"/>
    </row>
    <row r="513" ht="15.75" customHeight="1">
      <c r="A513" s="435">
        <f t="shared" si="10"/>
        <v>1960</v>
      </c>
      <c r="B513" s="484" t="str">
        <f t="shared" ref="B513:E513" si="144">B153</f>
        <v>Science B</v>
      </c>
      <c r="C513" s="221">
        <f t="shared" si="144"/>
        <v>8</v>
      </c>
      <c r="D513" s="221">
        <f t="shared" si="144"/>
        <v>32.84956267</v>
      </c>
      <c r="E513" s="221">
        <f t="shared" si="144"/>
        <v>0</v>
      </c>
      <c r="F513" s="221">
        <f t="shared" si="12"/>
        <v>6270.877707</v>
      </c>
      <c r="G513" s="438">
        <f t="shared" si="4"/>
        <v>0.1123652112</v>
      </c>
      <c r="H513" s="220" t="str">
        <f t="shared" si="13"/>
        <v>Science data acquisition and storage</v>
      </c>
      <c r="I513" s="182"/>
      <c r="J513" s="182"/>
      <c r="K513" s="11"/>
      <c r="L513" s="182"/>
      <c r="M513" s="182"/>
      <c r="N513" s="182"/>
      <c r="O513" s="182"/>
      <c r="P513" s="11"/>
      <c r="Q513" s="11"/>
      <c r="R513" s="11"/>
      <c r="S513" s="11"/>
      <c r="T513" s="11"/>
      <c r="U513" s="11"/>
      <c r="V513" s="11"/>
      <c r="W513" s="11"/>
      <c r="X513" s="11"/>
      <c r="Y513" s="11"/>
      <c r="Z513" s="11"/>
      <c r="AA513" s="11"/>
    </row>
    <row r="514" ht="15.75" customHeight="1">
      <c r="A514" s="435">
        <f t="shared" si="10"/>
        <v>1964</v>
      </c>
      <c r="B514" s="484" t="str">
        <f t="shared" ref="B514:E514" si="145">B154</f>
        <v>Science B</v>
      </c>
      <c r="C514" s="221">
        <f t="shared" si="145"/>
        <v>8</v>
      </c>
      <c r="D514" s="221">
        <f t="shared" si="145"/>
        <v>32.84956267</v>
      </c>
      <c r="E514" s="221">
        <f t="shared" si="145"/>
        <v>0</v>
      </c>
      <c r="F514" s="221">
        <f t="shared" si="12"/>
        <v>6303.727269</v>
      </c>
      <c r="G514" s="438">
        <f t="shared" si="4"/>
        <v>0.1129538286</v>
      </c>
      <c r="H514" s="220" t="str">
        <f t="shared" si="13"/>
        <v>Science data acquisition and storage</v>
      </c>
      <c r="I514" s="182"/>
      <c r="J514" s="182"/>
      <c r="K514" s="11"/>
      <c r="L514" s="182"/>
      <c r="M514" s="182"/>
      <c r="N514" s="182"/>
      <c r="O514" s="182"/>
      <c r="P514" s="11"/>
      <c r="Q514" s="11"/>
      <c r="R514" s="11"/>
      <c r="S514" s="11"/>
      <c r="T514" s="11"/>
      <c r="U514" s="11"/>
      <c r="V514" s="11"/>
      <c r="W514" s="11"/>
      <c r="X514" s="11"/>
      <c r="Y514" s="11"/>
      <c r="Z514" s="11"/>
      <c r="AA514" s="11"/>
    </row>
    <row r="515" ht="15.75" customHeight="1">
      <c r="A515" s="435">
        <f t="shared" si="10"/>
        <v>1968</v>
      </c>
      <c r="B515" s="484" t="str">
        <f t="shared" ref="B515:E515" si="146">B155</f>
        <v>Science B</v>
      </c>
      <c r="C515" s="221">
        <f t="shared" si="146"/>
        <v>8</v>
      </c>
      <c r="D515" s="221">
        <f t="shared" si="146"/>
        <v>32.84956267</v>
      </c>
      <c r="E515" s="221">
        <f t="shared" si="146"/>
        <v>0</v>
      </c>
      <c r="F515" s="221">
        <f t="shared" si="12"/>
        <v>6336.576832</v>
      </c>
      <c r="G515" s="438">
        <f t="shared" si="4"/>
        <v>0.1135424461</v>
      </c>
      <c r="H515" s="220" t="str">
        <f t="shared" si="13"/>
        <v>Science data acquisition and storage</v>
      </c>
      <c r="I515" s="182"/>
      <c r="J515" s="182"/>
      <c r="K515" s="11"/>
      <c r="L515" s="182"/>
      <c r="M515" s="182"/>
      <c r="N515" s="182"/>
      <c r="O515" s="182"/>
      <c r="P515" s="11"/>
      <c r="Q515" s="11"/>
      <c r="R515" s="11"/>
      <c r="S515" s="11"/>
      <c r="T515" s="11"/>
      <c r="U515" s="11"/>
      <c r="V515" s="11"/>
      <c r="W515" s="11"/>
      <c r="X515" s="11"/>
      <c r="Y515" s="11"/>
      <c r="Z515" s="11"/>
      <c r="AA515" s="11"/>
    </row>
    <row r="516" ht="15.75" customHeight="1">
      <c r="A516" s="435">
        <f t="shared" si="10"/>
        <v>1972</v>
      </c>
      <c r="B516" s="484" t="str">
        <f t="shared" ref="B516:E516" si="147">B156</f>
        <v>Science B</v>
      </c>
      <c r="C516" s="221">
        <f t="shared" si="147"/>
        <v>8</v>
      </c>
      <c r="D516" s="221">
        <f t="shared" si="147"/>
        <v>32.84956267</v>
      </c>
      <c r="E516" s="221">
        <f t="shared" si="147"/>
        <v>0</v>
      </c>
      <c r="F516" s="221">
        <f t="shared" si="12"/>
        <v>6369.426395</v>
      </c>
      <c r="G516" s="438">
        <f t="shared" si="4"/>
        <v>0.1141310635</v>
      </c>
      <c r="H516" s="220" t="str">
        <f t="shared" si="13"/>
        <v>Science data acquisition and storage</v>
      </c>
      <c r="I516" s="182"/>
      <c r="J516" s="182"/>
      <c r="K516" s="11"/>
      <c r="L516" s="182"/>
      <c r="M516" s="182"/>
      <c r="N516" s="182"/>
      <c r="O516" s="182"/>
      <c r="P516" s="11"/>
      <c r="Q516" s="11"/>
      <c r="R516" s="11"/>
      <c r="S516" s="11"/>
      <c r="T516" s="11"/>
      <c r="U516" s="11"/>
      <c r="V516" s="11"/>
      <c r="W516" s="11"/>
      <c r="X516" s="11"/>
      <c r="Y516" s="11"/>
      <c r="Z516" s="11"/>
      <c r="AA516" s="11"/>
    </row>
    <row r="517" ht="15.75" customHeight="1">
      <c r="A517" s="435">
        <f t="shared" si="10"/>
        <v>1976</v>
      </c>
      <c r="B517" s="484" t="str">
        <f t="shared" ref="B517:E517" si="148">B157</f>
        <v>Science B</v>
      </c>
      <c r="C517" s="221">
        <f t="shared" si="148"/>
        <v>8</v>
      </c>
      <c r="D517" s="221">
        <f t="shared" si="148"/>
        <v>32.84956267</v>
      </c>
      <c r="E517" s="221">
        <f t="shared" si="148"/>
        <v>0</v>
      </c>
      <c r="F517" s="221">
        <f t="shared" si="12"/>
        <v>6402.275957</v>
      </c>
      <c r="G517" s="438">
        <f t="shared" si="4"/>
        <v>0.114719681</v>
      </c>
      <c r="H517" s="220" t="str">
        <f t="shared" si="13"/>
        <v>Science data acquisition and storage</v>
      </c>
      <c r="I517" s="182"/>
      <c r="J517" s="182"/>
      <c r="K517" s="11"/>
      <c r="L517" s="182"/>
      <c r="M517" s="182"/>
      <c r="N517" s="182"/>
      <c r="O517" s="182"/>
      <c r="P517" s="11"/>
      <c r="Q517" s="11"/>
      <c r="R517" s="11"/>
      <c r="S517" s="11"/>
      <c r="T517" s="11"/>
      <c r="U517" s="11"/>
      <c r="V517" s="11"/>
      <c r="W517" s="11"/>
      <c r="X517" s="11"/>
      <c r="Y517" s="11"/>
      <c r="Z517" s="11"/>
      <c r="AA517" s="11"/>
    </row>
    <row r="518" ht="15.75" customHeight="1">
      <c r="A518" s="435">
        <f t="shared" si="10"/>
        <v>1980</v>
      </c>
      <c r="B518" s="429" t="str">
        <f t="shared" ref="B518:B527" si="150">IF(AND(MOD(A518,1440)&gt;=$K$6,MOD(A518,1440)&lt;$L$6),"Safe",IF(OR(AND(MOD(A518,1440)&gt;=$K$14,MOD(A518,1440)&lt;$L$14),AND(MOD(A518,1440)&gt;=$K$15,MOD(A518,1440)&lt;$L$15),AND(MOD(A518,1440)&gt;=$K$16,MOD(A518,1440)&lt;$L$16),AND(MOD(A518,1440)&gt;=$K$17,MOD(A518,1440)&lt;$L$17),AND(MOD(A518,1440)&gt;=$K$18,MOD(A518,1440)&lt;$L$18),AND(MOD(A518,1440)&gt;=$K$19,MOD(A518,1440)&lt;$L$19)),"Downlink",IF(AND(MOD(A518,1440)&gt;=$K$8,MOD(A518,1440)&lt;$L$8),"Science A",IF(AND(MOD(A518,1440)&gt;=$K$9,MOD(A518,1440)&lt;$L$9),"Science B",IF(AND(MOD(A518,1440)&gt;=$K$10,MOD(A518,1440)&lt;$L$10),"Science C","Charge")))))</f>
        <v>Charge</v>
      </c>
      <c r="C518" s="221">
        <f t="shared" ref="C518:E518" si="149">C158</f>
        <v>0</v>
      </c>
      <c r="D518" s="221">
        <f t="shared" si="149"/>
        <v>0.9775626664</v>
      </c>
      <c r="E518" s="221">
        <f t="shared" si="149"/>
        <v>0</v>
      </c>
      <c r="F518" s="221">
        <f t="shared" si="12"/>
        <v>6403.25352</v>
      </c>
      <c r="G518" s="438">
        <f t="shared" si="4"/>
        <v>0.1147371975</v>
      </c>
      <c r="H518" s="220" t="str">
        <f t="shared" si="13"/>
        <v>Default standby Charge</v>
      </c>
      <c r="I518" s="182"/>
      <c r="J518" s="182"/>
      <c r="K518" s="11"/>
      <c r="L518" s="182"/>
      <c r="M518" s="182"/>
      <c r="N518" s="182"/>
      <c r="O518" s="182"/>
      <c r="P518" s="11"/>
      <c r="Q518" s="11"/>
      <c r="R518" s="11"/>
      <c r="S518" s="11"/>
      <c r="T518" s="11"/>
      <c r="U518" s="11"/>
      <c r="V518" s="11"/>
      <c r="W518" s="11"/>
      <c r="X518" s="11"/>
      <c r="Y518" s="11"/>
      <c r="Z518" s="11"/>
      <c r="AA518" s="11"/>
    </row>
    <row r="519" ht="15.75" customHeight="1">
      <c r="A519" s="435">
        <f t="shared" si="10"/>
        <v>1984</v>
      </c>
      <c r="B519" s="429" t="str">
        <f t="shared" si="150"/>
        <v>Charge</v>
      </c>
      <c r="C519" s="221">
        <f t="shared" ref="C519:E519" si="151">C159</f>
        <v>0</v>
      </c>
      <c r="D519" s="221">
        <f t="shared" si="151"/>
        <v>0.9775626664</v>
      </c>
      <c r="E519" s="221">
        <f t="shared" si="151"/>
        <v>0</v>
      </c>
      <c r="F519" s="221">
        <f t="shared" si="12"/>
        <v>6404.231083</v>
      </c>
      <c r="G519" s="438">
        <f t="shared" si="4"/>
        <v>0.1147547141</v>
      </c>
      <c r="H519" s="220" t="str">
        <f t="shared" si="13"/>
        <v>Default standby Charge</v>
      </c>
      <c r="I519" s="182"/>
      <c r="J519" s="182"/>
      <c r="K519" s="11"/>
      <c r="L519" s="182"/>
      <c r="M519" s="182"/>
      <c r="N519" s="182"/>
      <c r="O519" s="182"/>
      <c r="P519" s="11"/>
      <c r="Q519" s="11"/>
      <c r="R519" s="11"/>
      <c r="S519" s="11"/>
      <c r="T519" s="11"/>
      <c r="U519" s="11"/>
      <c r="V519" s="11"/>
      <c r="W519" s="11"/>
      <c r="X519" s="11"/>
      <c r="Y519" s="11"/>
      <c r="Z519" s="11"/>
      <c r="AA519" s="11"/>
    </row>
    <row r="520" ht="15.75" customHeight="1">
      <c r="A520" s="435">
        <f t="shared" si="10"/>
        <v>1988</v>
      </c>
      <c r="B520" s="429" t="str">
        <f t="shared" si="150"/>
        <v>Charge</v>
      </c>
      <c r="C520" s="221">
        <f t="shared" ref="C520:E520" si="152">C160</f>
        <v>0</v>
      </c>
      <c r="D520" s="221">
        <f t="shared" si="152"/>
        <v>0.9775626664</v>
      </c>
      <c r="E520" s="221">
        <f t="shared" si="152"/>
        <v>0</v>
      </c>
      <c r="F520" s="221">
        <f t="shared" si="12"/>
        <v>6405.208645</v>
      </c>
      <c r="G520" s="438">
        <f t="shared" si="4"/>
        <v>0.1147722306</v>
      </c>
      <c r="H520" s="220" t="str">
        <f t="shared" si="13"/>
        <v>Default standby Charge</v>
      </c>
      <c r="I520" s="182"/>
      <c r="J520" s="182"/>
      <c r="K520" s="11"/>
      <c r="L520" s="182"/>
      <c r="M520" s="182"/>
      <c r="N520" s="182"/>
      <c r="O520" s="182"/>
      <c r="P520" s="11"/>
      <c r="Q520" s="11"/>
      <c r="R520" s="11"/>
      <c r="S520" s="11"/>
      <c r="T520" s="11"/>
      <c r="U520" s="11"/>
      <c r="V520" s="11"/>
      <c r="W520" s="11"/>
      <c r="X520" s="11"/>
      <c r="Y520" s="11"/>
      <c r="Z520" s="11"/>
      <c r="AA520" s="11"/>
    </row>
    <row r="521" ht="15.75" customHeight="1">
      <c r="A521" s="435">
        <f t="shared" si="10"/>
        <v>1992</v>
      </c>
      <c r="B521" s="429" t="str">
        <f t="shared" si="150"/>
        <v>Charge</v>
      </c>
      <c r="C521" s="221">
        <f t="shared" ref="C521:E521" si="153">C161</f>
        <v>0</v>
      </c>
      <c r="D521" s="221">
        <f t="shared" si="153"/>
        <v>0.9775626664</v>
      </c>
      <c r="E521" s="221">
        <f t="shared" si="153"/>
        <v>0</v>
      </c>
      <c r="F521" s="221">
        <f t="shared" si="12"/>
        <v>6406.186208</v>
      </c>
      <c r="G521" s="438">
        <f t="shared" si="4"/>
        <v>0.1147897471</v>
      </c>
      <c r="H521" s="220" t="str">
        <f t="shared" si="13"/>
        <v>Default standby Charge</v>
      </c>
      <c r="I521" s="182"/>
      <c r="J521" s="182"/>
      <c r="K521" s="11"/>
      <c r="L521" s="182"/>
      <c r="M521" s="182"/>
      <c r="N521" s="182"/>
      <c r="O521" s="182"/>
      <c r="P521" s="11"/>
      <c r="Q521" s="11"/>
      <c r="R521" s="11"/>
      <c r="S521" s="11"/>
      <c r="T521" s="11"/>
      <c r="U521" s="11"/>
      <c r="V521" s="11"/>
      <c r="W521" s="11"/>
      <c r="X521" s="11"/>
      <c r="Y521" s="11"/>
      <c r="Z521" s="11"/>
      <c r="AA521" s="11"/>
    </row>
    <row r="522" ht="15.75" customHeight="1">
      <c r="A522" s="435">
        <f t="shared" si="10"/>
        <v>1996</v>
      </c>
      <c r="B522" s="429" t="str">
        <f t="shared" si="150"/>
        <v>Charge</v>
      </c>
      <c r="C522" s="221">
        <f t="shared" ref="C522:E522" si="154">C162</f>
        <v>0</v>
      </c>
      <c r="D522" s="221">
        <f t="shared" si="154"/>
        <v>0.9775626664</v>
      </c>
      <c r="E522" s="221">
        <f t="shared" si="154"/>
        <v>0</v>
      </c>
      <c r="F522" s="221">
        <f t="shared" si="12"/>
        <v>6407.163771</v>
      </c>
      <c r="G522" s="438">
        <f t="shared" si="4"/>
        <v>0.1148072637</v>
      </c>
      <c r="H522" s="220" t="str">
        <f t="shared" si="13"/>
        <v>Default standby Charge</v>
      </c>
      <c r="I522" s="182"/>
      <c r="J522" s="182"/>
      <c r="K522" s="11"/>
      <c r="L522" s="182"/>
      <c r="M522" s="182"/>
      <c r="N522" s="182"/>
      <c r="O522" s="182"/>
      <c r="P522" s="11"/>
      <c r="Q522" s="11"/>
      <c r="R522" s="11"/>
      <c r="S522" s="11"/>
      <c r="T522" s="11"/>
      <c r="U522" s="11"/>
      <c r="V522" s="11"/>
      <c r="W522" s="11"/>
      <c r="X522" s="11"/>
      <c r="Y522" s="11"/>
      <c r="Z522" s="11"/>
      <c r="AA522" s="11"/>
    </row>
    <row r="523" ht="15.75" customHeight="1">
      <c r="A523" s="435">
        <f t="shared" si="10"/>
        <v>2000</v>
      </c>
      <c r="B523" s="429" t="str">
        <f t="shared" si="150"/>
        <v>Charge</v>
      </c>
      <c r="C523" s="221">
        <f t="shared" ref="C523:E523" si="155">C163</f>
        <v>0</v>
      </c>
      <c r="D523" s="221">
        <f t="shared" si="155"/>
        <v>0.9775626664</v>
      </c>
      <c r="E523" s="221">
        <f t="shared" si="155"/>
        <v>0</v>
      </c>
      <c r="F523" s="221">
        <f t="shared" si="12"/>
        <v>6408.141333</v>
      </c>
      <c r="G523" s="438">
        <f t="shared" si="4"/>
        <v>0.1148247802</v>
      </c>
      <c r="H523" s="220" t="str">
        <f t="shared" si="13"/>
        <v>Default standby Charge</v>
      </c>
      <c r="I523" s="182"/>
      <c r="J523" s="182"/>
      <c r="K523" s="11"/>
      <c r="L523" s="182"/>
      <c r="M523" s="182"/>
      <c r="N523" s="182"/>
      <c r="O523" s="182"/>
      <c r="P523" s="11"/>
      <c r="Q523" s="11"/>
      <c r="R523" s="11"/>
      <c r="S523" s="11"/>
      <c r="T523" s="11"/>
      <c r="U523" s="11"/>
      <c r="V523" s="11"/>
      <c r="W523" s="11"/>
      <c r="X523" s="11"/>
      <c r="Y523" s="11"/>
      <c r="Z523" s="11"/>
      <c r="AA523" s="11"/>
    </row>
    <row r="524" ht="15.75" customHeight="1">
      <c r="A524" s="435">
        <f t="shared" si="10"/>
        <v>2004</v>
      </c>
      <c r="B524" s="429" t="str">
        <f t="shared" si="150"/>
        <v>Charge</v>
      </c>
      <c r="C524" s="221">
        <f t="shared" ref="C524:E524" si="156">C164</f>
        <v>0</v>
      </c>
      <c r="D524" s="221">
        <f t="shared" si="156"/>
        <v>0.9775626664</v>
      </c>
      <c r="E524" s="221">
        <f t="shared" si="156"/>
        <v>0</v>
      </c>
      <c r="F524" s="221">
        <f t="shared" si="12"/>
        <v>6409.118896</v>
      </c>
      <c r="G524" s="438">
        <f t="shared" si="4"/>
        <v>0.1148422967</v>
      </c>
      <c r="H524" s="220" t="str">
        <f t="shared" si="13"/>
        <v>Default standby Charge</v>
      </c>
      <c r="I524" s="182"/>
      <c r="J524" s="182"/>
      <c r="K524" s="11"/>
      <c r="L524" s="182"/>
      <c r="M524" s="182"/>
      <c r="N524" s="182"/>
      <c r="O524" s="182"/>
      <c r="P524" s="11"/>
      <c r="Q524" s="11"/>
      <c r="R524" s="11"/>
      <c r="S524" s="11"/>
      <c r="T524" s="11"/>
      <c r="U524" s="11"/>
      <c r="V524" s="11"/>
      <c r="W524" s="11"/>
      <c r="X524" s="11"/>
      <c r="Y524" s="11"/>
      <c r="Z524" s="11"/>
      <c r="AA524" s="11"/>
    </row>
    <row r="525" ht="15.75" customHeight="1">
      <c r="A525" s="435">
        <f t="shared" si="10"/>
        <v>2008</v>
      </c>
      <c r="B525" s="429" t="str">
        <f t="shared" si="150"/>
        <v>Charge</v>
      </c>
      <c r="C525" s="221">
        <f t="shared" ref="C525:E525" si="157">C165</f>
        <v>0</v>
      </c>
      <c r="D525" s="221">
        <f t="shared" si="157"/>
        <v>0.9775626664</v>
      </c>
      <c r="E525" s="221">
        <f t="shared" si="157"/>
        <v>0</v>
      </c>
      <c r="F525" s="221">
        <f t="shared" si="12"/>
        <v>6410.096459</v>
      </c>
      <c r="G525" s="438">
        <f t="shared" si="4"/>
        <v>0.1148598133</v>
      </c>
      <c r="H525" s="220" t="str">
        <f t="shared" si="13"/>
        <v>Default standby Charge</v>
      </c>
      <c r="I525" s="182"/>
      <c r="J525" s="182"/>
      <c r="K525" s="11"/>
      <c r="L525" s="182"/>
      <c r="M525" s="182"/>
      <c r="N525" s="182"/>
      <c r="O525" s="182"/>
      <c r="P525" s="11"/>
      <c r="Q525" s="11"/>
      <c r="R525" s="11"/>
      <c r="S525" s="11"/>
      <c r="T525" s="11"/>
      <c r="U525" s="11"/>
      <c r="V525" s="11"/>
      <c r="W525" s="11"/>
      <c r="X525" s="11"/>
      <c r="Y525" s="11"/>
      <c r="Z525" s="11"/>
      <c r="AA525" s="11"/>
    </row>
    <row r="526" ht="15.75" customHeight="1">
      <c r="A526" s="435">
        <f t="shared" si="10"/>
        <v>2012</v>
      </c>
      <c r="B526" s="429" t="str">
        <f t="shared" si="150"/>
        <v>Charge</v>
      </c>
      <c r="C526" s="221">
        <f t="shared" ref="C526:E526" si="158">C166</f>
        <v>0</v>
      </c>
      <c r="D526" s="221">
        <f t="shared" si="158"/>
        <v>0.9775626664</v>
      </c>
      <c r="E526" s="221">
        <f t="shared" si="158"/>
        <v>0</v>
      </c>
      <c r="F526" s="221">
        <f t="shared" si="12"/>
        <v>6411.074021</v>
      </c>
      <c r="G526" s="438">
        <f t="shared" si="4"/>
        <v>0.1148773298</v>
      </c>
      <c r="H526" s="220" t="str">
        <f t="shared" si="13"/>
        <v>Default standby Charge</v>
      </c>
      <c r="I526" s="182"/>
      <c r="J526" s="182"/>
      <c r="K526" s="11"/>
      <c r="L526" s="182"/>
      <c r="M526" s="182"/>
      <c r="N526" s="182"/>
      <c r="O526" s="182"/>
      <c r="P526" s="11"/>
      <c r="Q526" s="11"/>
      <c r="R526" s="11"/>
      <c r="S526" s="11"/>
      <c r="T526" s="11"/>
      <c r="U526" s="11"/>
      <c r="V526" s="11"/>
      <c r="W526" s="11"/>
      <c r="X526" s="11"/>
      <c r="Y526" s="11"/>
      <c r="Z526" s="11"/>
      <c r="AA526" s="11"/>
    </row>
    <row r="527" ht="15.75" customHeight="1">
      <c r="A527" s="435">
        <f t="shared" si="10"/>
        <v>2016</v>
      </c>
      <c r="B527" s="429" t="str">
        <f t="shared" si="150"/>
        <v>Charge</v>
      </c>
      <c r="C527" s="221">
        <f t="shared" ref="C527:E527" si="159">C167</f>
        <v>0</v>
      </c>
      <c r="D527" s="221">
        <f t="shared" si="159"/>
        <v>0.9775626664</v>
      </c>
      <c r="E527" s="221">
        <f t="shared" si="159"/>
        <v>0</v>
      </c>
      <c r="F527" s="221">
        <f t="shared" si="12"/>
        <v>6412.051584</v>
      </c>
      <c r="G527" s="438">
        <f t="shared" si="4"/>
        <v>0.1148948463</v>
      </c>
      <c r="H527" s="220" t="str">
        <f t="shared" si="13"/>
        <v>Default standby Charge</v>
      </c>
      <c r="I527" s="182"/>
      <c r="J527" s="182"/>
      <c r="K527" s="11"/>
      <c r="L527" s="182"/>
      <c r="M527" s="182"/>
      <c r="N527" s="182"/>
      <c r="O527" s="182"/>
      <c r="P527" s="11"/>
      <c r="Q527" s="11"/>
      <c r="R527" s="11"/>
      <c r="S527" s="11"/>
      <c r="T527" s="11"/>
      <c r="U527" s="11"/>
      <c r="V527" s="11"/>
      <c r="W527" s="11"/>
      <c r="X527" s="11"/>
      <c r="Y527" s="11"/>
      <c r="Z527" s="11"/>
      <c r="AA527" s="11"/>
    </row>
    <row r="528" ht="15.75" customHeight="1">
      <c r="A528" s="435">
        <f t="shared" si="10"/>
        <v>2020</v>
      </c>
      <c r="B528" s="640" t="str">
        <f t="shared" ref="B528:E528" si="160">B168</f>
        <v>Science C</v>
      </c>
      <c r="C528" s="221">
        <f t="shared" si="160"/>
        <v>8</v>
      </c>
      <c r="D528" s="221">
        <f t="shared" si="160"/>
        <v>64.81756267</v>
      </c>
      <c r="E528" s="221">
        <f t="shared" si="160"/>
        <v>0</v>
      </c>
      <c r="F528" s="221">
        <f t="shared" si="12"/>
        <v>6476.869147</v>
      </c>
      <c r="G528" s="438">
        <f t="shared" si="4"/>
        <v>0.1160562849</v>
      </c>
      <c r="H528" s="220" t="str">
        <f t="shared" si="13"/>
        <v>Science data acquisition and storage</v>
      </c>
      <c r="I528" s="182"/>
      <c r="J528" s="182"/>
      <c r="K528" s="11"/>
      <c r="L528" s="182"/>
      <c r="M528" s="182"/>
      <c r="N528" s="182"/>
      <c r="O528" s="182"/>
      <c r="P528" s="11"/>
      <c r="Q528" s="11"/>
      <c r="R528" s="11"/>
      <c r="S528" s="11"/>
      <c r="T528" s="11"/>
      <c r="U528" s="11"/>
      <c r="V528" s="11"/>
      <c r="W528" s="11"/>
      <c r="X528" s="11"/>
      <c r="Y528" s="11"/>
      <c r="Z528" s="11"/>
      <c r="AA528" s="11"/>
    </row>
    <row r="529" ht="15.75" customHeight="1">
      <c r="A529" s="435">
        <f t="shared" si="10"/>
        <v>2024</v>
      </c>
      <c r="B529" s="640" t="str">
        <f t="shared" ref="B529:E529" si="161">B169</f>
        <v>Science C</v>
      </c>
      <c r="C529" s="221">
        <f t="shared" si="161"/>
        <v>8</v>
      </c>
      <c r="D529" s="221">
        <f t="shared" si="161"/>
        <v>64.81756267</v>
      </c>
      <c r="E529" s="221">
        <f t="shared" si="161"/>
        <v>0</v>
      </c>
      <c r="F529" s="221">
        <f t="shared" si="12"/>
        <v>6541.686709</v>
      </c>
      <c r="G529" s="438">
        <f t="shared" si="4"/>
        <v>0.1172177234</v>
      </c>
      <c r="H529" s="220" t="str">
        <f t="shared" si="13"/>
        <v>Science data acquisition and storage</v>
      </c>
      <c r="I529" s="182"/>
      <c r="J529" s="182"/>
      <c r="K529" s="11"/>
      <c r="L529" s="182"/>
      <c r="M529" s="182"/>
      <c r="N529" s="182"/>
      <c r="O529" s="182"/>
      <c r="P529" s="11"/>
      <c r="Q529" s="11"/>
      <c r="R529" s="11"/>
      <c r="S529" s="11"/>
      <c r="T529" s="11"/>
      <c r="U529" s="11"/>
      <c r="V529" s="11"/>
      <c r="W529" s="11"/>
      <c r="X529" s="11"/>
      <c r="Y529" s="11"/>
      <c r="Z529" s="11"/>
      <c r="AA529" s="11"/>
    </row>
    <row r="530" ht="15.75" customHeight="1">
      <c r="A530" s="435">
        <f t="shared" si="10"/>
        <v>2028</v>
      </c>
      <c r="B530" s="640" t="str">
        <f t="shared" ref="B530:E530" si="162">B170</f>
        <v>Science C</v>
      </c>
      <c r="C530" s="221">
        <f t="shared" si="162"/>
        <v>8</v>
      </c>
      <c r="D530" s="221">
        <f t="shared" si="162"/>
        <v>64.81756267</v>
      </c>
      <c r="E530" s="221">
        <f t="shared" si="162"/>
        <v>0</v>
      </c>
      <c r="F530" s="221">
        <f t="shared" si="12"/>
        <v>6606.504272</v>
      </c>
      <c r="G530" s="438">
        <f t="shared" si="4"/>
        <v>0.118379162</v>
      </c>
      <c r="H530" s="220" t="str">
        <f t="shared" si="13"/>
        <v>Science data acquisition and storage</v>
      </c>
      <c r="I530" s="182"/>
      <c r="J530" s="182"/>
      <c r="K530" s="11"/>
      <c r="L530" s="182"/>
      <c r="M530" s="182"/>
      <c r="N530" s="182"/>
      <c r="O530" s="182"/>
      <c r="P530" s="11"/>
      <c r="Q530" s="11"/>
      <c r="R530" s="11"/>
      <c r="S530" s="11"/>
      <c r="T530" s="11"/>
      <c r="U530" s="11"/>
      <c r="V530" s="11"/>
      <c r="W530" s="11"/>
      <c r="X530" s="11"/>
      <c r="Y530" s="11"/>
      <c r="Z530" s="11"/>
      <c r="AA530" s="11"/>
    </row>
    <row r="531" ht="15.75" customHeight="1">
      <c r="A531" s="435">
        <f t="shared" si="10"/>
        <v>2032</v>
      </c>
      <c r="B531" s="640" t="str">
        <f t="shared" ref="B531:E531" si="163">B171</f>
        <v>Science C</v>
      </c>
      <c r="C531" s="221">
        <f t="shared" si="163"/>
        <v>8</v>
      </c>
      <c r="D531" s="221">
        <f t="shared" si="163"/>
        <v>64.81756267</v>
      </c>
      <c r="E531" s="221">
        <f t="shared" si="163"/>
        <v>0</v>
      </c>
      <c r="F531" s="221">
        <f t="shared" si="12"/>
        <v>6671.321835</v>
      </c>
      <c r="G531" s="438">
        <f t="shared" si="4"/>
        <v>0.1195406005</v>
      </c>
      <c r="H531" s="220" t="str">
        <f t="shared" si="13"/>
        <v>Science data acquisition and storage</v>
      </c>
      <c r="I531" s="182"/>
      <c r="J531" s="182"/>
      <c r="K531" s="11"/>
      <c r="L531" s="182"/>
      <c r="M531" s="182"/>
      <c r="N531" s="182"/>
      <c r="O531" s="182"/>
      <c r="P531" s="11"/>
      <c r="Q531" s="11"/>
      <c r="R531" s="11"/>
      <c r="S531" s="11"/>
      <c r="T531" s="11"/>
      <c r="U531" s="11"/>
      <c r="V531" s="11"/>
      <c r="W531" s="11"/>
      <c r="X531" s="11"/>
      <c r="Y531" s="11"/>
      <c r="Z531" s="11"/>
      <c r="AA531" s="11"/>
    </row>
    <row r="532" ht="15.75" customHeight="1">
      <c r="A532" s="435">
        <f t="shared" si="10"/>
        <v>2036</v>
      </c>
      <c r="B532" s="640" t="str">
        <f t="shared" ref="B532:E532" si="164">B172</f>
        <v>Science C</v>
      </c>
      <c r="C532" s="221">
        <f t="shared" si="164"/>
        <v>8</v>
      </c>
      <c r="D532" s="221">
        <f t="shared" si="164"/>
        <v>64.81756267</v>
      </c>
      <c r="E532" s="221">
        <f t="shared" si="164"/>
        <v>0</v>
      </c>
      <c r="F532" s="221">
        <f t="shared" si="12"/>
        <v>6736.139397</v>
      </c>
      <c r="G532" s="438">
        <f t="shared" si="4"/>
        <v>0.1207020391</v>
      </c>
      <c r="H532" s="220" t="str">
        <f t="shared" si="13"/>
        <v>Science data acquisition and storage</v>
      </c>
      <c r="I532" s="182"/>
      <c r="J532" s="182"/>
      <c r="K532" s="11"/>
      <c r="L532" s="182"/>
      <c r="M532" s="182"/>
      <c r="N532" s="182"/>
      <c r="O532" s="182"/>
      <c r="P532" s="11"/>
      <c r="Q532" s="11"/>
      <c r="R532" s="11"/>
      <c r="S532" s="11"/>
      <c r="T532" s="11"/>
      <c r="U532" s="11"/>
      <c r="V532" s="11"/>
      <c r="W532" s="11"/>
      <c r="X532" s="11"/>
      <c r="Y532" s="11"/>
      <c r="Z532" s="11"/>
      <c r="AA532" s="11"/>
    </row>
    <row r="533" ht="15.75" customHeight="1">
      <c r="A533" s="435">
        <f t="shared" si="10"/>
        <v>2040</v>
      </c>
      <c r="B533" s="449" t="str">
        <f t="shared" ref="B533:E533" si="165">B173</f>
        <v>Downlink</v>
      </c>
      <c r="C533" s="221">
        <f t="shared" si="165"/>
        <v>0</v>
      </c>
      <c r="D533" s="221">
        <f t="shared" si="165"/>
        <v>0.9775626664</v>
      </c>
      <c r="E533" s="221">
        <f t="shared" si="165"/>
        <v>0.75</v>
      </c>
      <c r="F533" s="221">
        <f t="shared" si="12"/>
        <v>6736.36696</v>
      </c>
      <c r="G533" s="438">
        <f t="shared" si="4"/>
        <v>0.1207061167</v>
      </c>
      <c r="H533" s="220" t="str">
        <f t="shared" si="13"/>
        <v>Validated contact; Downlink preempts Science</v>
      </c>
      <c r="I533" s="182"/>
      <c r="J533" s="182"/>
      <c r="K533" s="11"/>
      <c r="L533" s="182"/>
      <c r="M533" s="182"/>
      <c r="N533" s="182"/>
      <c r="O533" s="182"/>
      <c r="P533" s="11"/>
      <c r="Q533" s="11"/>
      <c r="R533" s="11"/>
      <c r="S533" s="11"/>
      <c r="T533" s="11"/>
      <c r="U533" s="11"/>
      <c r="V533" s="11"/>
      <c r="W533" s="11"/>
      <c r="X533" s="11"/>
      <c r="Y533" s="11"/>
      <c r="Z533" s="11"/>
      <c r="AA533" s="11"/>
    </row>
    <row r="534" ht="15.75" customHeight="1">
      <c r="A534" s="435">
        <f t="shared" si="10"/>
        <v>2044</v>
      </c>
      <c r="B534" s="449" t="str">
        <f t="shared" ref="B534:E534" si="166">B174</f>
        <v>Downlink</v>
      </c>
      <c r="C534" s="221">
        <f t="shared" si="166"/>
        <v>0</v>
      </c>
      <c r="D534" s="221">
        <f t="shared" si="166"/>
        <v>0.9775626664</v>
      </c>
      <c r="E534" s="221">
        <f t="shared" si="166"/>
        <v>0.75</v>
      </c>
      <c r="F534" s="221">
        <f t="shared" si="12"/>
        <v>6736.594523</v>
      </c>
      <c r="G534" s="438">
        <f t="shared" si="4"/>
        <v>0.1207101943</v>
      </c>
      <c r="H534" s="220" t="str">
        <f t="shared" si="13"/>
        <v>Validated contact; Downlink preempts Science</v>
      </c>
      <c r="I534" s="182"/>
      <c r="J534" s="182"/>
      <c r="K534" s="11"/>
      <c r="L534" s="182"/>
      <c r="M534" s="182"/>
      <c r="N534" s="182"/>
      <c r="O534" s="182"/>
      <c r="P534" s="11"/>
      <c r="Q534" s="11"/>
      <c r="R534" s="11"/>
      <c r="S534" s="11"/>
      <c r="T534" s="11"/>
      <c r="U534" s="11"/>
      <c r="V534" s="11"/>
      <c r="W534" s="11"/>
      <c r="X534" s="11"/>
      <c r="Y534" s="11"/>
      <c r="Z534" s="11"/>
      <c r="AA534" s="11"/>
    </row>
    <row r="535" ht="15.75" customHeight="1">
      <c r="A535" s="435">
        <f t="shared" si="10"/>
        <v>2048</v>
      </c>
      <c r="B535" s="640" t="str">
        <f t="shared" ref="B535:E535" si="167">B175</f>
        <v>Science C</v>
      </c>
      <c r="C535" s="221">
        <f t="shared" si="167"/>
        <v>8</v>
      </c>
      <c r="D535" s="221">
        <f t="shared" si="167"/>
        <v>64.81756267</v>
      </c>
      <c r="E535" s="221">
        <f t="shared" si="167"/>
        <v>0</v>
      </c>
      <c r="F535" s="221">
        <f t="shared" si="12"/>
        <v>6801.412085</v>
      </c>
      <c r="G535" s="438">
        <f t="shared" si="4"/>
        <v>0.1218716328</v>
      </c>
      <c r="H535" s="220" t="str">
        <f t="shared" si="13"/>
        <v>Science data acquisition and storage</v>
      </c>
      <c r="I535" s="182"/>
      <c r="J535" s="182"/>
      <c r="K535" s="11"/>
      <c r="L535" s="182"/>
      <c r="M535" s="182"/>
      <c r="N535" s="182"/>
      <c r="O535" s="182"/>
      <c r="P535" s="11"/>
      <c r="Q535" s="11"/>
      <c r="R535" s="11"/>
      <c r="S535" s="11"/>
      <c r="T535" s="11"/>
      <c r="U535" s="11"/>
      <c r="V535" s="11"/>
      <c r="W535" s="11"/>
      <c r="X535" s="11"/>
      <c r="Y535" s="11"/>
      <c r="Z535" s="11"/>
      <c r="AA535" s="11"/>
    </row>
    <row r="536" ht="15.75" customHeight="1">
      <c r="A536" s="435">
        <f t="shared" si="10"/>
        <v>2052</v>
      </c>
      <c r="B536" s="640" t="str">
        <f t="shared" ref="B536:E536" si="168">B176</f>
        <v>Science C</v>
      </c>
      <c r="C536" s="221">
        <f t="shared" si="168"/>
        <v>8</v>
      </c>
      <c r="D536" s="221">
        <f t="shared" si="168"/>
        <v>64.81756267</v>
      </c>
      <c r="E536" s="221">
        <f t="shared" si="168"/>
        <v>0</v>
      </c>
      <c r="F536" s="221">
        <f t="shared" si="12"/>
        <v>6866.229648</v>
      </c>
      <c r="G536" s="438">
        <f t="shared" si="4"/>
        <v>0.1230330714</v>
      </c>
      <c r="H536" s="220" t="str">
        <f t="shared" si="13"/>
        <v>Science data acquisition and storage</v>
      </c>
      <c r="I536" s="182"/>
      <c r="J536" s="182"/>
      <c r="K536" s="11"/>
      <c r="L536" s="182"/>
      <c r="M536" s="182"/>
      <c r="N536" s="182"/>
      <c r="O536" s="182"/>
      <c r="P536" s="11"/>
      <c r="Q536" s="11"/>
      <c r="R536" s="11"/>
      <c r="S536" s="11"/>
      <c r="T536" s="11"/>
      <c r="U536" s="11"/>
      <c r="V536" s="11"/>
      <c r="W536" s="11"/>
      <c r="X536" s="11"/>
      <c r="Y536" s="11"/>
      <c r="Z536" s="11"/>
      <c r="AA536" s="11"/>
    </row>
    <row r="537" ht="15.75" customHeight="1">
      <c r="A537" s="435">
        <f t="shared" si="10"/>
        <v>2056</v>
      </c>
      <c r="B537" s="640" t="str">
        <f t="shared" ref="B537:E537" si="169">B177</f>
        <v>Science C</v>
      </c>
      <c r="C537" s="221">
        <f t="shared" si="169"/>
        <v>8</v>
      </c>
      <c r="D537" s="221">
        <f t="shared" si="169"/>
        <v>64.81756267</v>
      </c>
      <c r="E537" s="221">
        <f t="shared" si="169"/>
        <v>0</v>
      </c>
      <c r="F537" s="221">
        <f t="shared" si="12"/>
        <v>6931.047211</v>
      </c>
      <c r="G537" s="438">
        <f t="shared" si="4"/>
        <v>0.1241945099</v>
      </c>
      <c r="H537" s="220" t="str">
        <f t="shared" si="13"/>
        <v>Science data acquisition and storage</v>
      </c>
      <c r="I537" s="182"/>
      <c r="J537" s="182"/>
      <c r="K537" s="11"/>
      <c r="L537" s="182"/>
      <c r="M537" s="182"/>
      <c r="N537" s="182"/>
      <c r="O537" s="182"/>
      <c r="P537" s="11"/>
      <c r="Q537" s="11"/>
      <c r="R537" s="11"/>
      <c r="S537" s="11"/>
      <c r="T537" s="11"/>
      <c r="U537" s="11"/>
      <c r="V537" s="11"/>
      <c r="W537" s="11"/>
      <c r="X537" s="11"/>
      <c r="Y537" s="11"/>
      <c r="Z537" s="11"/>
      <c r="AA537" s="11"/>
    </row>
    <row r="538" ht="15.75" customHeight="1">
      <c r="A538" s="435">
        <f t="shared" si="10"/>
        <v>2060</v>
      </c>
      <c r="B538" s="640" t="str">
        <f t="shared" ref="B538:E538" si="170">B178</f>
        <v>Science C</v>
      </c>
      <c r="C538" s="221">
        <f t="shared" si="170"/>
        <v>8</v>
      </c>
      <c r="D538" s="221">
        <f t="shared" si="170"/>
        <v>64.81756267</v>
      </c>
      <c r="E538" s="221">
        <f t="shared" si="170"/>
        <v>0</v>
      </c>
      <c r="F538" s="221">
        <f t="shared" si="12"/>
        <v>6995.864773</v>
      </c>
      <c r="G538" s="438">
        <f t="shared" si="4"/>
        <v>0.1253559485</v>
      </c>
      <c r="H538" s="220" t="str">
        <f t="shared" si="13"/>
        <v>Science data acquisition and storage</v>
      </c>
      <c r="I538" s="182"/>
      <c r="J538" s="182"/>
      <c r="K538" s="11"/>
      <c r="L538" s="182"/>
      <c r="M538" s="182"/>
      <c r="N538" s="182"/>
      <c r="O538" s="182"/>
      <c r="P538" s="11"/>
      <c r="Q538" s="11"/>
      <c r="R538" s="11"/>
      <c r="S538" s="11"/>
      <c r="T538" s="11"/>
      <c r="U538" s="11"/>
      <c r="V538" s="11"/>
      <c r="W538" s="11"/>
      <c r="X538" s="11"/>
      <c r="Y538" s="11"/>
      <c r="Z538" s="11"/>
      <c r="AA538" s="11"/>
    </row>
    <row r="539" ht="15.75" customHeight="1">
      <c r="A539" s="435">
        <f t="shared" si="10"/>
        <v>2064</v>
      </c>
      <c r="B539" s="640" t="str">
        <f t="shared" ref="B539:E539" si="171">B179</f>
        <v>Science C</v>
      </c>
      <c r="C539" s="221">
        <f t="shared" si="171"/>
        <v>8</v>
      </c>
      <c r="D539" s="221">
        <f t="shared" si="171"/>
        <v>64.81756267</v>
      </c>
      <c r="E539" s="221">
        <f t="shared" si="171"/>
        <v>0</v>
      </c>
      <c r="F539" s="221">
        <f t="shared" si="12"/>
        <v>7060.682336</v>
      </c>
      <c r="G539" s="438">
        <f t="shared" si="4"/>
        <v>0.126517387</v>
      </c>
      <c r="H539" s="220" t="str">
        <f t="shared" si="13"/>
        <v>Science data acquisition and storage</v>
      </c>
      <c r="I539" s="182"/>
      <c r="J539" s="182"/>
      <c r="K539" s="11"/>
      <c r="L539" s="182"/>
      <c r="M539" s="182"/>
      <c r="N539" s="182"/>
      <c r="O539" s="182"/>
      <c r="P539" s="11"/>
      <c r="Q539" s="11"/>
      <c r="R539" s="11"/>
      <c r="S539" s="11"/>
      <c r="T539" s="11"/>
      <c r="U539" s="11"/>
      <c r="V539" s="11"/>
      <c r="W539" s="11"/>
      <c r="X539" s="11"/>
      <c r="Y539" s="11"/>
      <c r="Z539" s="11"/>
      <c r="AA539" s="11"/>
    </row>
    <row r="540" ht="15.75" customHeight="1">
      <c r="A540" s="435">
        <f t="shared" si="10"/>
        <v>2068</v>
      </c>
      <c r="B540" s="640" t="str">
        <f t="shared" ref="B540:E540" si="172">B180</f>
        <v>Science C</v>
      </c>
      <c r="C540" s="221">
        <f t="shared" si="172"/>
        <v>8</v>
      </c>
      <c r="D540" s="221">
        <f t="shared" si="172"/>
        <v>64.81756267</v>
      </c>
      <c r="E540" s="221">
        <f t="shared" si="172"/>
        <v>0</v>
      </c>
      <c r="F540" s="221">
        <f t="shared" si="12"/>
        <v>7125.499899</v>
      </c>
      <c r="G540" s="438">
        <f t="shared" si="4"/>
        <v>0.1276788256</v>
      </c>
      <c r="H540" s="220" t="str">
        <f t="shared" si="13"/>
        <v>Science data acquisition and storage</v>
      </c>
      <c r="I540" s="182"/>
      <c r="J540" s="182"/>
      <c r="K540" s="11"/>
      <c r="L540" s="182"/>
      <c r="M540" s="182"/>
      <c r="N540" s="182"/>
      <c r="O540" s="182"/>
      <c r="P540" s="11"/>
      <c r="Q540" s="11"/>
      <c r="R540" s="11"/>
      <c r="S540" s="11"/>
      <c r="T540" s="11"/>
      <c r="U540" s="11"/>
      <c r="V540" s="11"/>
      <c r="W540" s="11"/>
      <c r="X540" s="11"/>
      <c r="Y540" s="11"/>
      <c r="Z540" s="11"/>
      <c r="AA540" s="11"/>
    </row>
    <row r="541" ht="15.75" customHeight="1">
      <c r="A541" s="435">
        <f t="shared" si="10"/>
        <v>2072</v>
      </c>
      <c r="B541" s="640" t="str">
        <f t="shared" ref="B541:E541" si="173">B181</f>
        <v>Science C</v>
      </c>
      <c r="C541" s="221">
        <f t="shared" si="173"/>
        <v>8</v>
      </c>
      <c r="D541" s="221">
        <f t="shared" si="173"/>
        <v>64.81756267</v>
      </c>
      <c r="E541" s="221">
        <f t="shared" si="173"/>
        <v>0</v>
      </c>
      <c r="F541" s="221">
        <f t="shared" si="12"/>
        <v>7190.317461</v>
      </c>
      <c r="G541" s="438">
        <f t="shared" si="4"/>
        <v>0.1288402641</v>
      </c>
      <c r="H541" s="220" t="str">
        <f t="shared" si="13"/>
        <v>Science data acquisition and storage</v>
      </c>
      <c r="I541" s="182"/>
      <c r="J541" s="182"/>
      <c r="K541" s="11"/>
      <c r="L541" s="182"/>
      <c r="M541" s="182"/>
      <c r="N541" s="182"/>
      <c r="O541" s="182"/>
      <c r="P541" s="11"/>
      <c r="Q541" s="11"/>
      <c r="R541" s="11"/>
      <c r="S541" s="11"/>
      <c r="T541" s="11"/>
      <c r="U541" s="11"/>
      <c r="V541" s="11"/>
      <c r="W541" s="11"/>
      <c r="X541" s="11"/>
      <c r="Y541" s="11"/>
      <c r="Z541" s="11"/>
      <c r="AA541" s="11"/>
    </row>
    <row r="542" ht="15.75" customHeight="1">
      <c r="A542" s="435">
        <f t="shared" si="10"/>
        <v>2076</v>
      </c>
      <c r="B542" s="640" t="str">
        <f t="shared" ref="B542:E542" si="174">B182</f>
        <v>Science C</v>
      </c>
      <c r="C542" s="221">
        <f t="shared" si="174"/>
        <v>8</v>
      </c>
      <c r="D542" s="221">
        <f t="shared" si="174"/>
        <v>64.81756267</v>
      </c>
      <c r="E542" s="221">
        <f t="shared" si="174"/>
        <v>0</v>
      </c>
      <c r="F542" s="221">
        <f t="shared" si="12"/>
        <v>7255.135024</v>
      </c>
      <c r="G542" s="438">
        <f t="shared" si="4"/>
        <v>0.1300017027</v>
      </c>
      <c r="H542" s="220" t="str">
        <f t="shared" si="13"/>
        <v>Science data acquisition and storage</v>
      </c>
      <c r="I542" s="182"/>
      <c r="J542" s="182"/>
      <c r="K542" s="11"/>
      <c r="L542" s="182"/>
      <c r="M542" s="182"/>
      <c r="N542" s="182"/>
      <c r="O542" s="182"/>
      <c r="P542" s="11"/>
      <c r="Q542" s="11"/>
      <c r="R542" s="11"/>
      <c r="S542" s="11"/>
      <c r="T542" s="11"/>
      <c r="U542" s="11"/>
      <c r="V542" s="11"/>
      <c r="W542" s="11"/>
      <c r="X542" s="11"/>
      <c r="Y542" s="11"/>
      <c r="Z542" s="11"/>
      <c r="AA542" s="11"/>
    </row>
    <row r="543" ht="15.75" customHeight="1">
      <c r="A543" s="435">
        <f t="shared" si="10"/>
        <v>2080</v>
      </c>
      <c r="B543" s="640" t="str">
        <f t="shared" ref="B543:E543" si="175">B183</f>
        <v>Science C</v>
      </c>
      <c r="C543" s="221">
        <f t="shared" si="175"/>
        <v>8</v>
      </c>
      <c r="D543" s="221">
        <f t="shared" si="175"/>
        <v>64.81756267</v>
      </c>
      <c r="E543" s="221">
        <f t="shared" si="175"/>
        <v>0</v>
      </c>
      <c r="F543" s="221">
        <f t="shared" si="12"/>
        <v>7319.952587</v>
      </c>
      <c r="G543" s="438">
        <f t="shared" si="4"/>
        <v>0.1311631412</v>
      </c>
      <c r="H543" s="220" t="str">
        <f t="shared" si="13"/>
        <v>Science data acquisition and storage</v>
      </c>
      <c r="I543" s="182"/>
      <c r="J543" s="182"/>
      <c r="K543" s="11"/>
      <c r="L543" s="182"/>
      <c r="M543" s="182"/>
      <c r="N543" s="182"/>
      <c r="O543" s="182"/>
      <c r="P543" s="11"/>
      <c r="Q543" s="11"/>
      <c r="R543" s="11"/>
      <c r="S543" s="11"/>
      <c r="T543" s="11"/>
      <c r="U543" s="11"/>
      <c r="V543" s="11"/>
      <c r="W543" s="11"/>
      <c r="X543" s="11"/>
      <c r="Y543" s="11"/>
      <c r="Z543" s="11"/>
      <c r="AA543" s="11"/>
    </row>
    <row r="544" ht="15.75" customHeight="1">
      <c r="A544" s="435">
        <f t="shared" si="10"/>
        <v>2084</v>
      </c>
      <c r="B544" s="640" t="str">
        <f t="shared" ref="B544:E544" si="176">B184</f>
        <v>Science C</v>
      </c>
      <c r="C544" s="221">
        <f t="shared" si="176"/>
        <v>8</v>
      </c>
      <c r="D544" s="221">
        <f t="shared" si="176"/>
        <v>64.81756267</v>
      </c>
      <c r="E544" s="221">
        <f t="shared" si="176"/>
        <v>0</v>
      </c>
      <c r="F544" s="221">
        <f t="shared" si="12"/>
        <v>7384.770149</v>
      </c>
      <c r="G544" s="438">
        <f t="shared" si="4"/>
        <v>0.1323245798</v>
      </c>
      <c r="H544" s="220" t="str">
        <f t="shared" si="13"/>
        <v>Science data acquisition and storage</v>
      </c>
      <c r="I544" s="182"/>
      <c r="J544" s="182"/>
      <c r="K544" s="11"/>
      <c r="L544" s="182"/>
      <c r="M544" s="182"/>
      <c r="N544" s="182"/>
      <c r="O544" s="182"/>
      <c r="P544" s="11"/>
      <c r="Q544" s="11"/>
      <c r="R544" s="11"/>
      <c r="S544" s="11"/>
      <c r="T544" s="11"/>
      <c r="U544" s="11"/>
      <c r="V544" s="11"/>
      <c r="W544" s="11"/>
      <c r="X544" s="11"/>
      <c r="Y544" s="11"/>
      <c r="Z544" s="11"/>
      <c r="AA544" s="11"/>
    </row>
    <row r="545" ht="15.75" customHeight="1">
      <c r="A545" s="435">
        <f t="shared" si="10"/>
        <v>2088</v>
      </c>
      <c r="B545" s="640" t="str">
        <f t="shared" ref="B545:E545" si="177">B185</f>
        <v>Science C</v>
      </c>
      <c r="C545" s="221">
        <f t="shared" si="177"/>
        <v>8</v>
      </c>
      <c r="D545" s="221">
        <f t="shared" si="177"/>
        <v>64.81756267</v>
      </c>
      <c r="E545" s="221">
        <f t="shared" si="177"/>
        <v>0</v>
      </c>
      <c r="F545" s="221">
        <f t="shared" si="12"/>
        <v>7449.587712</v>
      </c>
      <c r="G545" s="438">
        <f t="shared" si="4"/>
        <v>0.1334860183</v>
      </c>
      <c r="H545" s="220" t="str">
        <f t="shared" si="13"/>
        <v>Science data acquisition and storage</v>
      </c>
      <c r="I545" s="182"/>
      <c r="J545" s="182"/>
      <c r="K545" s="11"/>
      <c r="L545" s="182"/>
      <c r="M545" s="182"/>
      <c r="N545" s="182"/>
      <c r="O545" s="182"/>
      <c r="P545" s="11"/>
      <c r="Q545" s="11"/>
      <c r="R545" s="11"/>
      <c r="S545" s="11"/>
      <c r="T545" s="11"/>
      <c r="U545" s="11"/>
      <c r="V545" s="11"/>
      <c r="W545" s="11"/>
      <c r="X545" s="11"/>
      <c r="Y545" s="11"/>
      <c r="Z545" s="11"/>
      <c r="AA545" s="11"/>
    </row>
    <row r="546" ht="15.75" customHeight="1">
      <c r="A546" s="435">
        <f t="shared" si="10"/>
        <v>2092</v>
      </c>
      <c r="B546" s="640" t="str">
        <f t="shared" ref="B546:E546" si="178">B186</f>
        <v>Science C</v>
      </c>
      <c r="C546" s="221">
        <f t="shared" si="178"/>
        <v>8</v>
      </c>
      <c r="D546" s="221">
        <f t="shared" si="178"/>
        <v>64.81756267</v>
      </c>
      <c r="E546" s="221">
        <f t="shared" si="178"/>
        <v>0</v>
      </c>
      <c r="F546" s="221">
        <f t="shared" si="12"/>
        <v>7514.405275</v>
      </c>
      <c r="G546" s="438">
        <f t="shared" si="4"/>
        <v>0.1346474569</v>
      </c>
      <c r="H546" s="220" t="str">
        <f t="shared" si="13"/>
        <v>Science data acquisition and storage</v>
      </c>
      <c r="I546" s="182"/>
      <c r="J546" s="182"/>
      <c r="K546" s="11"/>
      <c r="L546" s="182"/>
      <c r="M546" s="182"/>
      <c r="N546" s="182"/>
      <c r="O546" s="182"/>
      <c r="P546" s="11"/>
      <c r="Q546" s="11"/>
      <c r="R546" s="11"/>
      <c r="S546" s="11"/>
      <c r="T546" s="11"/>
      <c r="U546" s="11"/>
      <c r="V546" s="11"/>
      <c r="W546" s="11"/>
      <c r="X546" s="11"/>
      <c r="Y546" s="11"/>
      <c r="Z546" s="11"/>
      <c r="AA546" s="11"/>
    </row>
    <row r="547" ht="15.75" customHeight="1">
      <c r="A547" s="435">
        <f t="shared" si="10"/>
        <v>2096</v>
      </c>
      <c r="B547" s="640" t="str">
        <f t="shared" ref="B547:E547" si="179">B187</f>
        <v>Science C</v>
      </c>
      <c r="C547" s="221">
        <f t="shared" si="179"/>
        <v>8</v>
      </c>
      <c r="D547" s="221">
        <f t="shared" si="179"/>
        <v>64.81756267</v>
      </c>
      <c r="E547" s="221">
        <f t="shared" si="179"/>
        <v>0</v>
      </c>
      <c r="F547" s="221">
        <f t="shared" si="12"/>
        <v>7579.222837</v>
      </c>
      <c r="G547" s="438">
        <f t="shared" si="4"/>
        <v>0.1358088954</v>
      </c>
      <c r="H547" s="220" t="str">
        <f t="shared" si="13"/>
        <v>Science data acquisition and storage</v>
      </c>
      <c r="I547" s="182"/>
      <c r="J547" s="182"/>
      <c r="K547" s="11"/>
      <c r="L547" s="182"/>
      <c r="M547" s="182"/>
      <c r="N547" s="182"/>
      <c r="O547" s="182"/>
      <c r="P547" s="11"/>
      <c r="Q547" s="11"/>
      <c r="R547" s="11"/>
      <c r="S547" s="11"/>
      <c r="T547" s="11"/>
      <c r="U547" s="11"/>
      <c r="V547" s="11"/>
      <c r="W547" s="11"/>
      <c r="X547" s="11"/>
      <c r="Y547" s="11"/>
      <c r="Z547" s="11"/>
      <c r="AA547" s="11"/>
    </row>
    <row r="548" ht="15.75" customHeight="1">
      <c r="A548" s="435">
        <f t="shared" si="10"/>
        <v>2100</v>
      </c>
      <c r="B548" s="640" t="str">
        <f t="shared" ref="B548:E548" si="180">B188</f>
        <v>Science C</v>
      </c>
      <c r="C548" s="221">
        <f t="shared" si="180"/>
        <v>8</v>
      </c>
      <c r="D548" s="221">
        <f t="shared" si="180"/>
        <v>64.81756267</v>
      </c>
      <c r="E548" s="221">
        <f t="shared" si="180"/>
        <v>0</v>
      </c>
      <c r="F548" s="221">
        <f t="shared" si="12"/>
        <v>7644.0404</v>
      </c>
      <c r="G548" s="438">
        <f t="shared" si="4"/>
        <v>0.136970334</v>
      </c>
      <c r="H548" s="220" t="str">
        <f t="shared" si="13"/>
        <v>Science data acquisition and storage</v>
      </c>
      <c r="I548" s="182"/>
      <c r="J548" s="182"/>
      <c r="K548" s="11"/>
      <c r="L548" s="182"/>
      <c r="M548" s="182"/>
      <c r="N548" s="182"/>
      <c r="O548" s="182"/>
      <c r="P548" s="11"/>
      <c r="Q548" s="11"/>
      <c r="R548" s="11"/>
      <c r="S548" s="11"/>
      <c r="T548" s="11"/>
      <c r="U548" s="11"/>
      <c r="V548" s="11"/>
      <c r="W548" s="11"/>
      <c r="X548" s="11"/>
      <c r="Y548" s="11"/>
      <c r="Z548" s="11"/>
      <c r="AA548" s="11"/>
    </row>
    <row r="549" ht="15.75" customHeight="1">
      <c r="A549" s="435">
        <f t="shared" si="10"/>
        <v>2104</v>
      </c>
      <c r="B549" s="640" t="str">
        <f t="shared" ref="B549:E549" si="181">B189</f>
        <v>Science C</v>
      </c>
      <c r="C549" s="221">
        <f t="shared" si="181"/>
        <v>8</v>
      </c>
      <c r="D549" s="221">
        <f t="shared" si="181"/>
        <v>64.81756267</v>
      </c>
      <c r="E549" s="221">
        <f t="shared" si="181"/>
        <v>0</v>
      </c>
      <c r="F549" s="221">
        <f t="shared" si="12"/>
        <v>7708.857963</v>
      </c>
      <c r="G549" s="438">
        <f t="shared" si="4"/>
        <v>0.1381317726</v>
      </c>
      <c r="H549" s="220" t="str">
        <f t="shared" si="13"/>
        <v>Science data acquisition and storage</v>
      </c>
      <c r="I549" s="182"/>
      <c r="J549" s="182"/>
      <c r="K549" s="11"/>
      <c r="L549" s="182"/>
      <c r="M549" s="182"/>
      <c r="N549" s="182"/>
      <c r="O549" s="182"/>
      <c r="P549" s="11"/>
      <c r="Q549" s="11"/>
      <c r="R549" s="11"/>
      <c r="S549" s="11"/>
      <c r="T549" s="11"/>
      <c r="U549" s="11"/>
      <c r="V549" s="11"/>
      <c r="W549" s="11"/>
      <c r="X549" s="11"/>
      <c r="Y549" s="11"/>
      <c r="Z549" s="11"/>
      <c r="AA549" s="11"/>
    </row>
    <row r="550" ht="15.75" customHeight="1">
      <c r="A550" s="435">
        <f t="shared" si="10"/>
        <v>2108</v>
      </c>
      <c r="B550" s="640" t="str">
        <f t="shared" ref="B550:E550" si="182">B190</f>
        <v>Science C</v>
      </c>
      <c r="C550" s="221">
        <f t="shared" si="182"/>
        <v>8</v>
      </c>
      <c r="D550" s="221">
        <f t="shared" si="182"/>
        <v>64.81756267</v>
      </c>
      <c r="E550" s="221">
        <f t="shared" si="182"/>
        <v>0</v>
      </c>
      <c r="F550" s="221">
        <f t="shared" si="12"/>
        <v>7773.675525</v>
      </c>
      <c r="G550" s="438">
        <f t="shared" si="4"/>
        <v>0.1392932111</v>
      </c>
      <c r="H550" s="220" t="str">
        <f t="shared" si="13"/>
        <v>Science data acquisition and storage</v>
      </c>
      <c r="I550" s="182"/>
      <c r="J550" s="182"/>
      <c r="K550" s="11"/>
      <c r="L550" s="182"/>
      <c r="M550" s="182"/>
      <c r="N550" s="182"/>
      <c r="O550" s="182"/>
      <c r="P550" s="11"/>
      <c r="Q550" s="11"/>
      <c r="R550" s="11"/>
      <c r="S550" s="11"/>
      <c r="T550" s="11"/>
      <c r="U550" s="11"/>
      <c r="V550" s="11"/>
      <c r="W550" s="11"/>
      <c r="X550" s="11"/>
      <c r="Y550" s="11"/>
      <c r="Z550" s="11"/>
      <c r="AA550" s="11"/>
    </row>
    <row r="551" ht="15.75" customHeight="1">
      <c r="A551" s="435">
        <f t="shared" si="10"/>
        <v>2112</v>
      </c>
      <c r="B551" s="640" t="str">
        <f t="shared" ref="B551:E551" si="183">B191</f>
        <v>Science C</v>
      </c>
      <c r="C551" s="221">
        <f t="shared" si="183"/>
        <v>8</v>
      </c>
      <c r="D551" s="221">
        <f t="shared" si="183"/>
        <v>64.81756267</v>
      </c>
      <c r="E551" s="221">
        <f t="shared" si="183"/>
        <v>0</v>
      </c>
      <c r="F551" s="221">
        <f t="shared" si="12"/>
        <v>7838.493088</v>
      </c>
      <c r="G551" s="438">
        <f t="shared" si="4"/>
        <v>0.1404546497</v>
      </c>
      <c r="H551" s="220" t="str">
        <f t="shared" si="13"/>
        <v>Science data acquisition and storage</v>
      </c>
      <c r="I551" s="182"/>
      <c r="J551" s="182"/>
      <c r="K551" s="11"/>
      <c r="L551" s="182"/>
      <c r="M551" s="182"/>
      <c r="N551" s="182"/>
      <c r="O551" s="182"/>
      <c r="P551" s="11"/>
      <c r="Q551" s="11"/>
      <c r="R551" s="11"/>
      <c r="S551" s="11"/>
      <c r="T551" s="11"/>
      <c r="U551" s="11"/>
      <c r="V551" s="11"/>
      <c r="W551" s="11"/>
      <c r="X551" s="11"/>
      <c r="Y551" s="11"/>
      <c r="Z551" s="11"/>
      <c r="AA551" s="11"/>
    </row>
    <row r="552" ht="15.75" customHeight="1">
      <c r="A552" s="435">
        <f t="shared" si="10"/>
        <v>2116</v>
      </c>
      <c r="B552" s="640" t="str">
        <f t="shared" ref="B552:E552" si="184">B192</f>
        <v>Science C</v>
      </c>
      <c r="C552" s="221">
        <f t="shared" si="184"/>
        <v>8</v>
      </c>
      <c r="D552" s="221">
        <f t="shared" si="184"/>
        <v>64.81756267</v>
      </c>
      <c r="E552" s="221">
        <f t="shared" si="184"/>
        <v>0</v>
      </c>
      <c r="F552" s="221">
        <f t="shared" si="12"/>
        <v>7903.310651</v>
      </c>
      <c r="G552" s="438">
        <f t="shared" si="4"/>
        <v>0.1416160882</v>
      </c>
      <c r="H552" s="220" t="str">
        <f t="shared" si="13"/>
        <v>Science data acquisition and storage</v>
      </c>
      <c r="I552" s="182"/>
      <c r="J552" s="182"/>
      <c r="K552" s="11"/>
      <c r="L552" s="182"/>
      <c r="M552" s="182"/>
      <c r="N552" s="182"/>
      <c r="O552" s="182"/>
      <c r="P552" s="11"/>
      <c r="Q552" s="11"/>
      <c r="R552" s="11"/>
      <c r="S552" s="11"/>
      <c r="T552" s="11"/>
      <c r="U552" s="11"/>
      <c r="V552" s="11"/>
      <c r="W552" s="11"/>
      <c r="X552" s="11"/>
      <c r="Y552" s="11"/>
      <c r="Z552" s="11"/>
      <c r="AA552" s="11"/>
    </row>
    <row r="553" ht="15.75" customHeight="1">
      <c r="A553" s="435">
        <f t="shared" si="10"/>
        <v>2120</v>
      </c>
      <c r="B553" s="640" t="str">
        <f t="shared" ref="B553:E553" si="185">B193</f>
        <v>Science C</v>
      </c>
      <c r="C553" s="221">
        <f t="shared" si="185"/>
        <v>8</v>
      </c>
      <c r="D553" s="221">
        <f t="shared" si="185"/>
        <v>64.81756267</v>
      </c>
      <c r="E553" s="221">
        <f t="shared" si="185"/>
        <v>0</v>
      </c>
      <c r="F553" s="221">
        <f t="shared" si="12"/>
        <v>7968.128213</v>
      </c>
      <c r="G553" s="438">
        <f t="shared" si="4"/>
        <v>0.1427775268</v>
      </c>
      <c r="H553" s="220" t="str">
        <f t="shared" si="13"/>
        <v>Science data acquisition and storage</v>
      </c>
      <c r="I553" s="182"/>
      <c r="J553" s="182"/>
      <c r="K553" s="11"/>
      <c r="L553" s="182"/>
      <c r="M553" s="182"/>
      <c r="N553" s="182"/>
      <c r="O553" s="182"/>
      <c r="P553" s="11"/>
      <c r="Q553" s="11"/>
      <c r="R553" s="11"/>
      <c r="S553" s="11"/>
      <c r="T553" s="11"/>
      <c r="U553" s="11"/>
      <c r="V553" s="11"/>
      <c r="W553" s="11"/>
      <c r="X553" s="11"/>
      <c r="Y553" s="11"/>
      <c r="Z553" s="11"/>
      <c r="AA553" s="11"/>
    </row>
    <row r="554" ht="15.75" customHeight="1">
      <c r="A554" s="435">
        <f t="shared" si="10"/>
        <v>2124</v>
      </c>
      <c r="B554" s="640" t="str">
        <f t="shared" ref="B554:E554" si="186">B194</f>
        <v>Science C</v>
      </c>
      <c r="C554" s="221">
        <f t="shared" si="186"/>
        <v>8</v>
      </c>
      <c r="D554" s="221">
        <f t="shared" si="186"/>
        <v>64.81756267</v>
      </c>
      <c r="E554" s="221">
        <f t="shared" si="186"/>
        <v>0</v>
      </c>
      <c r="F554" s="221">
        <f t="shared" si="12"/>
        <v>8032.945776</v>
      </c>
      <c r="G554" s="438">
        <f t="shared" si="4"/>
        <v>0.1439389653</v>
      </c>
      <c r="H554" s="220" t="str">
        <f t="shared" si="13"/>
        <v>Science data acquisition and storage</v>
      </c>
      <c r="I554" s="182"/>
      <c r="J554" s="182"/>
      <c r="K554" s="11"/>
      <c r="L554" s="182"/>
      <c r="M554" s="182"/>
      <c r="N554" s="182"/>
      <c r="O554" s="182"/>
      <c r="P554" s="11"/>
      <c r="Q554" s="11"/>
      <c r="R554" s="11"/>
      <c r="S554" s="11"/>
      <c r="T554" s="11"/>
      <c r="U554" s="11"/>
      <c r="V554" s="11"/>
      <c r="W554" s="11"/>
      <c r="X554" s="11"/>
      <c r="Y554" s="11"/>
      <c r="Z554" s="11"/>
      <c r="AA554" s="11"/>
    </row>
    <row r="555" ht="15.75" customHeight="1">
      <c r="A555" s="435">
        <f t="shared" si="10"/>
        <v>2128</v>
      </c>
      <c r="B555" s="640" t="str">
        <f t="shared" ref="B555:E555" si="187">B195</f>
        <v>Science C</v>
      </c>
      <c r="C555" s="221">
        <f t="shared" si="187"/>
        <v>8</v>
      </c>
      <c r="D555" s="221">
        <f t="shared" si="187"/>
        <v>64.81756267</v>
      </c>
      <c r="E555" s="221">
        <f t="shared" si="187"/>
        <v>0</v>
      </c>
      <c r="F555" s="221">
        <f t="shared" si="12"/>
        <v>8097.763339</v>
      </c>
      <c r="G555" s="438">
        <f t="shared" si="4"/>
        <v>0.1451004039</v>
      </c>
      <c r="H555" s="220" t="str">
        <f t="shared" si="13"/>
        <v>Science data acquisition and storage</v>
      </c>
      <c r="I555" s="182"/>
      <c r="J555" s="182"/>
      <c r="K555" s="11"/>
      <c r="L555" s="182"/>
      <c r="M555" s="182"/>
      <c r="N555" s="182"/>
      <c r="O555" s="182"/>
      <c r="P555" s="11"/>
      <c r="Q555" s="11"/>
      <c r="R555" s="11"/>
      <c r="S555" s="11"/>
      <c r="T555" s="11"/>
      <c r="U555" s="11"/>
      <c r="V555" s="11"/>
      <c r="W555" s="11"/>
      <c r="X555" s="11"/>
      <c r="Y555" s="11"/>
      <c r="Z555" s="11"/>
      <c r="AA555" s="11"/>
    </row>
    <row r="556" ht="15.75" customHeight="1">
      <c r="A556" s="435">
        <f t="shared" si="10"/>
        <v>2132</v>
      </c>
      <c r="B556" s="640" t="str">
        <f t="shared" ref="B556:E556" si="188">B196</f>
        <v>Science C</v>
      </c>
      <c r="C556" s="221">
        <f t="shared" si="188"/>
        <v>8</v>
      </c>
      <c r="D556" s="221">
        <f t="shared" si="188"/>
        <v>64.81756267</v>
      </c>
      <c r="E556" s="221">
        <f t="shared" si="188"/>
        <v>0</v>
      </c>
      <c r="F556" s="221">
        <f t="shared" si="12"/>
        <v>8162.580901</v>
      </c>
      <c r="G556" s="438">
        <f t="shared" si="4"/>
        <v>0.1462618424</v>
      </c>
      <c r="H556" s="220" t="str">
        <f t="shared" si="13"/>
        <v>Science data acquisition and storage</v>
      </c>
      <c r="I556" s="182"/>
      <c r="J556" s="182"/>
      <c r="K556" s="11"/>
      <c r="L556" s="182"/>
      <c r="M556" s="182"/>
      <c r="N556" s="182"/>
      <c r="O556" s="182"/>
      <c r="P556" s="11"/>
      <c r="Q556" s="11"/>
      <c r="R556" s="11"/>
      <c r="S556" s="11"/>
      <c r="T556" s="11"/>
      <c r="U556" s="11"/>
      <c r="V556" s="11"/>
      <c r="W556" s="11"/>
      <c r="X556" s="11"/>
      <c r="Y556" s="11"/>
      <c r="Z556" s="11"/>
      <c r="AA556" s="11"/>
    </row>
    <row r="557" ht="15.75" customHeight="1">
      <c r="A557" s="435">
        <f t="shared" si="10"/>
        <v>2136</v>
      </c>
      <c r="B557" s="640" t="str">
        <f t="shared" ref="B557:E557" si="189">B197</f>
        <v>Science C</v>
      </c>
      <c r="C557" s="221">
        <f t="shared" si="189"/>
        <v>8</v>
      </c>
      <c r="D557" s="221">
        <f t="shared" si="189"/>
        <v>64.81756267</v>
      </c>
      <c r="E557" s="221">
        <f t="shared" si="189"/>
        <v>0</v>
      </c>
      <c r="F557" s="221">
        <f t="shared" si="12"/>
        <v>8227.398464</v>
      </c>
      <c r="G557" s="438">
        <f t="shared" si="4"/>
        <v>0.147423281</v>
      </c>
      <c r="H557" s="220" t="str">
        <f t="shared" si="13"/>
        <v>Science data acquisition and storage</v>
      </c>
      <c r="I557" s="182"/>
      <c r="J557" s="182"/>
      <c r="K557" s="11"/>
      <c r="L557" s="182"/>
      <c r="M557" s="182"/>
      <c r="N557" s="182"/>
      <c r="O557" s="182"/>
      <c r="P557" s="11"/>
      <c r="Q557" s="11"/>
      <c r="R557" s="11"/>
      <c r="S557" s="11"/>
      <c r="T557" s="11"/>
      <c r="U557" s="11"/>
      <c r="V557" s="11"/>
      <c r="W557" s="11"/>
      <c r="X557" s="11"/>
      <c r="Y557" s="11"/>
      <c r="Z557" s="11"/>
      <c r="AA557" s="11"/>
    </row>
    <row r="558" ht="15.75" customHeight="1">
      <c r="A558" s="435">
        <f t="shared" si="10"/>
        <v>2140</v>
      </c>
      <c r="B558" s="640" t="str">
        <f t="shared" ref="B558:E558" si="190">B198</f>
        <v>Science C</v>
      </c>
      <c r="C558" s="221">
        <f t="shared" si="190"/>
        <v>8</v>
      </c>
      <c r="D558" s="221">
        <f t="shared" si="190"/>
        <v>64.81756267</v>
      </c>
      <c r="E558" s="221">
        <f t="shared" si="190"/>
        <v>0</v>
      </c>
      <c r="F558" s="221">
        <f t="shared" si="12"/>
        <v>8292.216027</v>
      </c>
      <c r="G558" s="438">
        <f t="shared" si="4"/>
        <v>0.1485847195</v>
      </c>
      <c r="H558" s="220" t="str">
        <f t="shared" si="13"/>
        <v>Science data acquisition and storage</v>
      </c>
      <c r="I558" s="182"/>
      <c r="J558" s="182"/>
      <c r="K558" s="11"/>
      <c r="L558" s="182"/>
      <c r="M558" s="182"/>
      <c r="N558" s="182"/>
      <c r="O558" s="182"/>
      <c r="P558" s="11"/>
      <c r="Q558" s="11"/>
      <c r="R558" s="11"/>
      <c r="S558" s="11"/>
      <c r="T558" s="11"/>
      <c r="U558" s="11"/>
      <c r="V558" s="11"/>
      <c r="W558" s="11"/>
      <c r="X558" s="11"/>
      <c r="Y558" s="11"/>
      <c r="Z558" s="11"/>
      <c r="AA558" s="11"/>
    </row>
    <row r="559" ht="15.75" customHeight="1">
      <c r="A559" s="435">
        <f t="shared" si="10"/>
        <v>2144</v>
      </c>
      <c r="B559" s="640" t="str">
        <f t="shared" ref="B559:E559" si="191">B199</f>
        <v>Science C</v>
      </c>
      <c r="C559" s="221">
        <f t="shared" si="191"/>
        <v>8</v>
      </c>
      <c r="D559" s="221">
        <f t="shared" si="191"/>
        <v>64.81756267</v>
      </c>
      <c r="E559" s="221">
        <f t="shared" si="191"/>
        <v>0</v>
      </c>
      <c r="F559" s="221">
        <f t="shared" si="12"/>
        <v>8357.033589</v>
      </c>
      <c r="G559" s="438">
        <f t="shared" si="4"/>
        <v>0.1497461581</v>
      </c>
      <c r="H559" s="220" t="str">
        <f t="shared" si="13"/>
        <v>Science data acquisition and storage</v>
      </c>
      <c r="I559" s="182"/>
      <c r="J559" s="182"/>
      <c r="K559" s="11"/>
      <c r="L559" s="182"/>
      <c r="M559" s="182"/>
      <c r="N559" s="182"/>
      <c r="O559" s="182"/>
      <c r="P559" s="11"/>
      <c r="Q559" s="11"/>
      <c r="R559" s="11"/>
      <c r="S559" s="11"/>
      <c r="T559" s="11"/>
      <c r="U559" s="11"/>
      <c r="V559" s="11"/>
      <c r="W559" s="11"/>
      <c r="X559" s="11"/>
      <c r="Y559" s="11"/>
      <c r="Z559" s="11"/>
      <c r="AA559" s="11"/>
    </row>
    <row r="560" ht="15.75" customHeight="1">
      <c r="A560" s="435">
        <f t="shared" si="10"/>
        <v>2148</v>
      </c>
      <c r="B560" s="640" t="str">
        <f t="shared" ref="B560:E560" si="192">B200</f>
        <v>Science C</v>
      </c>
      <c r="C560" s="221">
        <f t="shared" si="192"/>
        <v>8</v>
      </c>
      <c r="D560" s="221">
        <f t="shared" si="192"/>
        <v>64.81756267</v>
      </c>
      <c r="E560" s="221">
        <f t="shared" si="192"/>
        <v>0</v>
      </c>
      <c r="F560" s="221">
        <f t="shared" si="12"/>
        <v>8421.851152</v>
      </c>
      <c r="G560" s="438">
        <f t="shared" si="4"/>
        <v>0.1509075966</v>
      </c>
      <c r="H560" s="220" t="str">
        <f t="shared" si="13"/>
        <v>Science data acquisition and storage</v>
      </c>
      <c r="I560" s="182"/>
      <c r="J560" s="182"/>
      <c r="K560" s="11"/>
      <c r="L560" s="182"/>
      <c r="M560" s="182"/>
      <c r="N560" s="182"/>
      <c r="O560" s="182"/>
      <c r="P560" s="11"/>
      <c r="Q560" s="11"/>
      <c r="R560" s="11"/>
      <c r="S560" s="11"/>
      <c r="T560" s="11"/>
      <c r="U560" s="11"/>
      <c r="V560" s="11"/>
      <c r="W560" s="11"/>
      <c r="X560" s="11"/>
      <c r="Y560" s="11"/>
      <c r="Z560" s="11"/>
      <c r="AA560" s="11"/>
    </row>
    <row r="561" ht="15.75" customHeight="1">
      <c r="A561" s="435">
        <f t="shared" si="10"/>
        <v>2152</v>
      </c>
      <c r="B561" s="640" t="str">
        <f t="shared" ref="B561:E561" si="193">B201</f>
        <v>Science C</v>
      </c>
      <c r="C561" s="221">
        <f t="shared" si="193"/>
        <v>8</v>
      </c>
      <c r="D561" s="221">
        <f t="shared" si="193"/>
        <v>64.81756267</v>
      </c>
      <c r="E561" s="221">
        <f t="shared" si="193"/>
        <v>0</v>
      </c>
      <c r="F561" s="221">
        <f t="shared" si="12"/>
        <v>8486.668715</v>
      </c>
      <c r="G561" s="438">
        <f t="shared" si="4"/>
        <v>0.1520690352</v>
      </c>
      <c r="H561" s="220" t="str">
        <f t="shared" si="13"/>
        <v>Science data acquisition and storage</v>
      </c>
      <c r="I561" s="182"/>
      <c r="J561" s="182"/>
      <c r="K561" s="11"/>
      <c r="L561" s="182"/>
      <c r="M561" s="182"/>
      <c r="N561" s="182"/>
      <c r="O561" s="182"/>
      <c r="P561" s="11"/>
      <c r="Q561" s="11"/>
      <c r="R561" s="11"/>
      <c r="S561" s="11"/>
      <c r="T561" s="11"/>
      <c r="U561" s="11"/>
      <c r="V561" s="11"/>
      <c r="W561" s="11"/>
      <c r="X561" s="11"/>
      <c r="Y561" s="11"/>
      <c r="Z561" s="11"/>
      <c r="AA561" s="11"/>
    </row>
    <row r="562" ht="15.75" customHeight="1">
      <c r="A562" s="435">
        <f t="shared" si="10"/>
        <v>2156</v>
      </c>
      <c r="B562" s="640" t="str">
        <f t="shared" ref="B562:E562" si="194">B202</f>
        <v>Science C</v>
      </c>
      <c r="C562" s="221">
        <f t="shared" si="194"/>
        <v>8</v>
      </c>
      <c r="D562" s="221">
        <f t="shared" si="194"/>
        <v>64.81756267</v>
      </c>
      <c r="E562" s="221">
        <f t="shared" si="194"/>
        <v>0</v>
      </c>
      <c r="F562" s="221">
        <f t="shared" si="12"/>
        <v>8551.486277</v>
      </c>
      <c r="G562" s="438">
        <f t="shared" si="4"/>
        <v>0.1532304737</v>
      </c>
      <c r="H562" s="220" t="str">
        <f t="shared" si="13"/>
        <v>Science data acquisition and storage</v>
      </c>
      <c r="I562" s="182"/>
      <c r="J562" s="182"/>
      <c r="K562" s="11"/>
      <c r="L562" s="182"/>
      <c r="M562" s="182"/>
      <c r="N562" s="182"/>
      <c r="O562" s="182"/>
      <c r="P562" s="11"/>
      <c r="Q562" s="11"/>
      <c r="R562" s="11"/>
      <c r="S562" s="11"/>
      <c r="T562" s="11"/>
      <c r="U562" s="11"/>
      <c r="V562" s="11"/>
      <c r="W562" s="11"/>
      <c r="X562" s="11"/>
      <c r="Y562" s="11"/>
      <c r="Z562" s="11"/>
      <c r="AA562" s="11"/>
    </row>
    <row r="563" ht="15.75" customHeight="1">
      <c r="A563" s="435">
        <f t="shared" si="10"/>
        <v>2160</v>
      </c>
      <c r="B563" s="429" t="str">
        <f t="shared" ref="B563:B582" si="196">IF(AND(MOD(A563,1440)&gt;=$K$6,MOD(A563,1440)&lt;$L$6),"Safe",IF(OR(AND(MOD(A563,1440)&gt;=$K$14,MOD(A563,1440)&lt;$L$14),AND(MOD(A563,1440)&gt;=$K$15,MOD(A563,1440)&lt;$L$15),AND(MOD(A563,1440)&gt;=$K$16,MOD(A563,1440)&lt;$L$16),AND(MOD(A563,1440)&gt;=$K$17,MOD(A563,1440)&lt;$L$17),AND(MOD(A563,1440)&gt;=$K$18,MOD(A563,1440)&lt;$L$18),AND(MOD(A563,1440)&gt;=$K$19,MOD(A563,1440)&lt;$L$19)),"Downlink",IF(AND(MOD(A563,1440)&gt;=$K$8,MOD(A563,1440)&lt;$L$8),"Science A",IF(AND(MOD(A563,1440)&gt;=$K$9,MOD(A563,1440)&lt;$L$9),"Science B",IF(AND(MOD(A563,1440)&gt;=$K$10,MOD(A563,1440)&lt;$L$10),"Science C","Charge")))))</f>
        <v>Charge</v>
      </c>
      <c r="C563" s="221">
        <f t="shared" ref="C563:E563" si="195">C203</f>
        <v>0</v>
      </c>
      <c r="D563" s="221">
        <f t="shared" si="195"/>
        <v>0.9775626664</v>
      </c>
      <c r="E563" s="221">
        <f t="shared" si="195"/>
        <v>0</v>
      </c>
      <c r="F563" s="221">
        <f t="shared" si="12"/>
        <v>8552.46384</v>
      </c>
      <c r="G563" s="438">
        <f t="shared" si="4"/>
        <v>0.1532479902</v>
      </c>
      <c r="H563" s="220" t="str">
        <f t="shared" si="13"/>
        <v>Default standby Charge</v>
      </c>
      <c r="I563" s="182"/>
      <c r="J563" s="182"/>
      <c r="K563" s="11"/>
      <c r="L563" s="182"/>
      <c r="M563" s="182"/>
      <c r="N563" s="182"/>
      <c r="O563" s="182"/>
      <c r="P563" s="11"/>
      <c r="Q563" s="11"/>
      <c r="R563" s="11"/>
      <c r="S563" s="11"/>
      <c r="T563" s="11"/>
      <c r="U563" s="11"/>
      <c r="V563" s="11"/>
      <c r="W563" s="11"/>
      <c r="X563" s="11"/>
      <c r="Y563" s="11"/>
      <c r="Z563" s="11"/>
      <c r="AA563" s="11"/>
    </row>
    <row r="564" ht="15.75" customHeight="1">
      <c r="A564" s="435">
        <f t="shared" si="10"/>
        <v>2164</v>
      </c>
      <c r="B564" s="429" t="str">
        <f t="shared" si="196"/>
        <v>Charge</v>
      </c>
      <c r="C564" s="221">
        <f t="shared" ref="C564:E564" si="197">C204</f>
        <v>0</v>
      </c>
      <c r="D564" s="221">
        <f t="shared" si="197"/>
        <v>0.9775626664</v>
      </c>
      <c r="E564" s="221">
        <f t="shared" si="197"/>
        <v>0</v>
      </c>
      <c r="F564" s="221">
        <f t="shared" si="12"/>
        <v>8553.441403</v>
      </c>
      <c r="G564" s="438">
        <f t="shared" si="4"/>
        <v>0.1532655068</v>
      </c>
      <c r="H564" s="220" t="str">
        <f t="shared" si="13"/>
        <v>Default standby Charge</v>
      </c>
      <c r="I564" s="182"/>
      <c r="J564" s="182"/>
      <c r="K564" s="11"/>
      <c r="L564" s="182"/>
      <c r="M564" s="182"/>
      <c r="N564" s="182"/>
      <c r="O564" s="182"/>
      <c r="P564" s="11"/>
      <c r="Q564" s="11"/>
      <c r="R564" s="11"/>
      <c r="S564" s="11"/>
      <c r="T564" s="11"/>
      <c r="U564" s="11"/>
      <c r="V564" s="11"/>
      <c r="W564" s="11"/>
      <c r="X564" s="11"/>
      <c r="Y564" s="11"/>
      <c r="Z564" s="11"/>
      <c r="AA564" s="11"/>
    </row>
    <row r="565" ht="15.75" customHeight="1">
      <c r="A565" s="435">
        <f t="shared" si="10"/>
        <v>2168</v>
      </c>
      <c r="B565" s="429" t="str">
        <f t="shared" si="196"/>
        <v>Charge</v>
      </c>
      <c r="C565" s="221">
        <f t="shared" ref="C565:E565" si="198">C205</f>
        <v>0</v>
      </c>
      <c r="D565" s="221">
        <f t="shared" si="198"/>
        <v>0.9775626664</v>
      </c>
      <c r="E565" s="221">
        <f t="shared" si="198"/>
        <v>0</v>
      </c>
      <c r="F565" s="221">
        <f t="shared" si="12"/>
        <v>8554.418965</v>
      </c>
      <c r="G565" s="438">
        <f t="shared" si="4"/>
        <v>0.1532830233</v>
      </c>
      <c r="H565" s="220" t="str">
        <f t="shared" si="13"/>
        <v>Default standby Charge</v>
      </c>
      <c r="I565" s="182"/>
      <c r="J565" s="182"/>
      <c r="K565" s="11"/>
      <c r="L565" s="182"/>
      <c r="M565" s="182"/>
      <c r="N565" s="182"/>
      <c r="O565" s="182"/>
      <c r="P565" s="11"/>
      <c r="Q565" s="11"/>
      <c r="R565" s="11"/>
      <c r="S565" s="11"/>
      <c r="T565" s="11"/>
      <c r="U565" s="11"/>
      <c r="V565" s="11"/>
      <c r="W565" s="11"/>
      <c r="X565" s="11"/>
      <c r="Y565" s="11"/>
      <c r="Z565" s="11"/>
      <c r="AA565" s="11"/>
    </row>
    <row r="566" ht="15.75" customHeight="1">
      <c r="A566" s="435">
        <f t="shared" si="10"/>
        <v>2172</v>
      </c>
      <c r="B566" s="429" t="str">
        <f t="shared" si="196"/>
        <v>Charge</v>
      </c>
      <c r="C566" s="221">
        <f t="shared" ref="C566:E566" si="199">C206</f>
        <v>0</v>
      </c>
      <c r="D566" s="221">
        <f t="shared" si="199"/>
        <v>0.9775626664</v>
      </c>
      <c r="E566" s="221">
        <f t="shared" si="199"/>
        <v>0</v>
      </c>
      <c r="F566" s="221">
        <f t="shared" si="12"/>
        <v>8555.396528</v>
      </c>
      <c r="G566" s="438">
        <f t="shared" si="4"/>
        <v>0.1533005398</v>
      </c>
      <c r="H566" s="220" t="str">
        <f t="shared" si="13"/>
        <v>Default standby Charge</v>
      </c>
      <c r="I566" s="182"/>
      <c r="J566" s="182"/>
      <c r="K566" s="11"/>
      <c r="L566" s="182"/>
      <c r="M566" s="182"/>
      <c r="N566" s="182"/>
      <c r="O566" s="182"/>
      <c r="P566" s="11"/>
      <c r="Q566" s="11"/>
      <c r="R566" s="11"/>
      <c r="S566" s="11"/>
      <c r="T566" s="11"/>
      <c r="U566" s="11"/>
      <c r="V566" s="11"/>
      <c r="W566" s="11"/>
      <c r="X566" s="11"/>
      <c r="Y566" s="11"/>
      <c r="Z566" s="11"/>
      <c r="AA566" s="11"/>
    </row>
    <row r="567" ht="15.75" customHeight="1">
      <c r="A567" s="435">
        <f t="shared" si="10"/>
        <v>2176</v>
      </c>
      <c r="B567" s="429" t="str">
        <f t="shared" si="196"/>
        <v>Charge</v>
      </c>
      <c r="C567" s="221">
        <f t="shared" ref="C567:E567" si="200">C207</f>
        <v>0</v>
      </c>
      <c r="D567" s="221">
        <f t="shared" si="200"/>
        <v>0.9775626664</v>
      </c>
      <c r="E567" s="221">
        <f t="shared" si="200"/>
        <v>0</v>
      </c>
      <c r="F567" s="221">
        <f t="shared" si="12"/>
        <v>8556.374091</v>
      </c>
      <c r="G567" s="438">
        <f t="shared" si="4"/>
        <v>0.1533180564</v>
      </c>
      <c r="H567" s="220" t="str">
        <f t="shared" si="13"/>
        <v>Default standby Charge</v>
      </c>
      <c r="I567" s="182"/>
      <c r="J567" s="182"/>
      <c r="K567" s="11"/>
      <c r="L567" s="182"/>
      <c r="M567" s="182"/>
      <c r="N567" s="182"/>
      <c r="O567" s="182"/>
      <c r="P567" s="11"/>
      <c r="Q567" s="11"/>
      <c r="R567" s="11"/>
      <c r="S567" s="11"/>
      <c r="T567" s="11"/>
      <c r="U567" s="11"/>
      <c r="V567" s="11"/>
      <c r="W567" s="11"/>
      <c r="X567" s="11"/>
      <c r="Y567" s="11"/>
      <c r="Z567" s="11"/>
      <c r="AA567" s="11"/>
    </row>
    <row r="568" ht="15.75" customHeight="1">
      <c r="A568" s="435">
        <f t="shared" si="10"/>
        <v>2180</v>
      </c>
      <c r="B568" s="429" t="str">
        <f t="shared" si="196"/>
        <v>Charge</v>
      </c>
      <c r="C568" s="221">
        <f t="shared" ref="C568:E568" si="201">C208</f>
        <v>0</v>
      </c>
      <c r="D568" s="221">
        <f t="shared" si="201"/>
        <v>0.9775626664</v>
      </c>
      <c r="E568" s="221">
        <f t="shared" si="201"/>
        <v>0</v>
      </c>
      <c r="F568" s="221">
        <f t="shared" si="12"/>
        <v>8557.351653</v>
      </c>
      <c r="G568" s="438">
        <f t="shared" si="4"/>
        <v>0.1533355729</v>
      </c>
      <c r="H568" s="220" t="str">
        <f t="shared" si="13"/>
        <v>Default standby Charge</v>
      </c>
      <c r="I568" s="182"/>
      <c r="J568" s="182"/>
      <c r="K568" s="11"/>
      <c r="L568" s="182"/>
      <c r="M568" s="182"/>
      <c r="N568" s="182"/>
      <c r="O568" s="182"/>
      <c r="P568" s="11"/>
      <c r="Q568" s="11"/>
      <c r="R568" s="11"/>
      <c r="S568" s="11"/>
      <c r="T568" s="11"/>
      <c r="U568" s="11"/>
      <c r="V568" s="11"/>
      <c r="W568" s="11"/>
      <c r="X568" s="11"/>
      <c r="Y568" s="11"/>
      <c r="Z568" s="11"/>
      <c r="AA568" s="11"/>
    </row>
    <row r="569" ht="15.75" customHeight="1">
      <c r="A569" s="435">
        <f t="shared" si="10"/>
        <v>2184</v>
      </c>
      <c r="B569" s="429" t="str">
        <f t="shared" si="196"/>
        <v>Charge</v>
      </c>
      <c r="C569" s="221">
        <f t="shared" ref="C569:E569" si="202">C209</f>
        <v>0</v>
      </c>
      <c r="D569" s="221">
        <f t="shared" si="202"/>
        <v>0.9775626664</v>
      </c>
      <c r="E569" s="221">
        <f t="shared" si="202"/>
        <v>0</v>
      </c>
      <c r="F569" s="221">
        <f t="shared" si="12"/>
        <v>8558.329216</v>
      </c>
      <c r="G569" s="438">
        <f t="shared" si="4"/>
        <v>0.1533530894</v>
      </c>
      <c r="H569" s="220" t="str">
        <f t="shared" si="13"/>
        <v>Default standby Charge</v>
      </c>
      <c r="I569" s="182"/>
      <c r="J569" s="182"/>
      <c r="K569" s="11"/>
      <c r="L569" s="182"/>
      <c r="M569" s="182"/>
      <c r="N569" s="182"/>
      <c r="O569" s="182"/>
      <c r="P569" s="11"/>
      <c r="Q569" s="11"/>
      <c r="R569" s="11"/>
      <c r="S569" s="11"/>
      <c r="T569" s="11"/>
      <c r="U569" s="11"/>
      <c r="V569" s="11"/>
      <c r="W569" s="11"/>
      <c r="X569" s="11"/>
      <c r="Y569" s="11"/>
      <c r="Z569" s="11"/>
      <c r="AA569" s="11"/>
    </row>
    <row r="570" ht="15.75" customHeight="1">
      <c r="A570" s="435">
        <f t="shared" si="10"/>
        <v>2188</v>
      </c>
      <c r="B570" s="429" t="str">
        <f t="shared" si="196"/>
        <v>Charge</v>
      </c>
      <c r="C570" s="221">
        <f t="shared" ref="C570:E570" si="203">C210</f>
        <v>0</v>
      </c>
      <c r="D570" s="221">
        <f t="shared" si="203"/>
        <v>0.9775626664</v>
      </c>
      <c r="E570" s="221">
        <f t="shared" si="203"/>
        <v>0</v>
      </c>
      <c r="F570" s="221">
        <f t="shared" si="12"/>
        <v>8559.306779</v>
      </c>
      <c r="G570" s="438">
        <f t="shared" si="4"/>
        <v>0.153370606</v>
      </c>
      <c r="H570" s="220" t="str">
        <f t="shared" si="13"/>
        <v>Default standby Charge</v>
      </c>
      <c r="I570" s="182"/>
      <c r="J570" s="182"/>
      <c r="K570" s="11"/>
      <c r="L570" s="182"/>
      <c r="M570" s="182"/>
      <c r="N570" s="182"/>
      <c r="O570" s="182"/>
      <c r="P570" s="11"/>
      <c r="Q570" s="11"/>
      <c r="R570" s="11"/>
      <c r="S570" s="11"/>
      <c r="T570" s="11"/>
      <c r="U570" s="11"/>
      <c r="V570" s="11"/>
      <c r="W570" s="11"/>
      <c r="X570" s="11"/>
      <c r="Y570" s="11"/>
      <c r="Z570" s="11"/>
      <c r="AA570" s="11"/>
    </row>
    <row r="571" ht="15.75" customHeight="1">
      <c r="A571" s="435">
        <f t="shared" si="10"/>
        <v>2192</v>
      </c>
      <c r="B571" s="429" t="str">
        <f t="shared" si="196"/>
        <v>Charge</v>
      </c>
      <c r="C571" s="221">
        <f t="shared" ref="C571:E571" si="204">C211</f>
        <v>0</v>
      </c>
      <c r="D571" s="221">
        <f t="shared" si="204"/>
        <v>0.9775626664</v>
      </c>
      <c r="E571" s="221">
        <f t="shared" si="204"/>
        <v>0</v>
      </c>
      <c r="F571" s="221">
        <f t="shared" si="12"/>
        <v>8560.284341</v>
      </c>
      <c r="G571" s="438">
        <f t="shared" si="4"/>
        <v>0.1533881225</v>
      </c>
      <c r="H571" s="220" t="str">
        <f t="shared" si="13"/>
        <v>Default standby Charge</v>
      </c>
      <c r="I571" s="182"/>
      <c r="J571" s="182"/>
      <c r="K571" s="11"/>
      <c r="L571" s="182"/>
      <c r="M571" s="182"/>
      <c r="N571" s="182"/>
      <c r="O571" s="182"/>
      <c r="P571" s="11"/>
      <c r="Q571" s="11"/>
      <c r="R571" s="11"/>
      <c r="S571" s="11"/>
      <c r="T571" s="11"/>
      <c r="U571" s="11"/>
      <c r="V571" s="11"/>
      <c r="W571" s="11"/>
      <c r="X571" s="11"/>
      <c r="Y571" s="11"/>
      <c r="Z571" s="11"/>
      <c r="AA571" s="11"/>
    </row>
    <row r="572" ht="15.75" customHeight="1">
      <c r="A572" s="435">
        <f t="shared" si="10"/>
        <v>2196</v>
      </c>
      <c r="B572" s="429" t="str">
        <f t="shared" si="196"/>
        <v>Charge</v>
      </c>
      <c r="C572" s="221">
        <f t="shared" ref="C572:E572" si="205">C212</f>
        <v>0</v>
      </c>
      <c r="D572" s="221">
        <f t="shared" si="205"/>
        <v>0.9775626664</v>
      </c>
      <c r="E572" s="221">
        <f t="shared" si="205"/>
        <v>0</v>
      </c>
      <c r="F572" s="221">
        <f t="shared" si="12"/>
        <v>8561.261904</v>
      </c>
      <c r="G572" s="438">
        <f t="shared" si="4"/>
        <v>0.153405639</v>
      </c>
      <c r="H572" s="220" t="str">
        <f t="shared" si="13"/>
        <v>Default standby Charge</v>
      </c>
      <c r="I572" s="182"/>
      <c r="J572" s="182"/>
      <c r="K572" s="11"/>
      <c r="L572" s="182"/>
      <c r="M572" s="182"/>
      <c r="N572" s="182"/>
      <c r="O572" s="182"/>
      <c r="P572" s="11"/>
      <c r="Q572" s="11"/>
      <c r="R572" s="11"/>
      <c r="S572" s="11"/>
      <c r="T572" s="11"/>
      <c r="U572" s="11"/>
      <c r="V572" s="11"/>
      <c r="W572" s="11"/>
      <c r="X572" s="11"/>
      <c r="Y572" s="11"/>
      <c r="Z572" s="11"/>
      <c r="AA572" s="11"/>
    </row>
    <row r="573" ht="15.75" customHeight="1">
      <c r="A573" s="435">
        <f t="shared" si="10"/>
        <v>2200</v>
      </c>
      <c r="B573" s="429" t="str">
        <f t="shared" si="196"/>
        <v>Charge</v>
      </c>
      <c r="C573" s="221">
        <f t="shared" ref="C573:E573" si="206">C213</f>
        <v>0</v>
      </c>
      <c r="D573" s="221">
        <f t="shared" si="206"/>
        <v>0.9775626664</v>
      </c>
      <c r="E573" s="221">
        <f t="shared" si="206"/>
        <v>0</v>
      </c>
      <c r="F573" s="221">
        <f t="shared" si="12"/>
        <v>8562.239467</v>
      </c>
      <c r="G573" s="438">
        <f t="shared" si="4"/>
        <v>0.1534231556</v>
      </c>
      <c r="H573" s="220" t="str">
        <f t="shared" si="13"/>
        <v>Default standby Charge</v>
      </c>
      <c r="I573" s="182"/>
      <c r="J573" s="182"/>
      <c r="K573" s="11"/>
      <c r="L573" s="182"/>
      <c r="M573" s="182"/>
      <c r="N573" s="182"/>
      <c r="O573" s="182"/>
      <c r="P573" s="11"/>
      <c r="Q573" s="11"/>
      <c r="R573" s="11"/>
      <c r="S573" s="11"/>
      <c r="T573" s="11"/>
      <c r="U573" s="11"/>
      <c r="V573" s="11"/>
      <c r="W573" s="11"/>
      <c r="X573" s="11"/>
      <c r="Y573" s="11"/>
      <c r="Z573" s="11"/>
      <c r="AA573" s="11"/>
    </row>
    <row r="574" ht="15.75" customHeight="1">
      <c r="A574" s="435">
        <f t="shared" si="10"/>
        <v>2204</v>
      </c>
      <c r="B574" s="429" t="str">
        <f t="shared" si="196"/>
        <v>Charge</v>
      </c>
      <c r="C574" s="221">
        <f t="shared" ref="C574:E574" si="207">C214</f>
        <v>0</v>
      </c>
      <c r="D574" s="221">
        <f t="shared" si="207"/>
        <v>0.9775626664</v>
      </c>
      <c r="E574" s="221">
        <f t="shared" si="207"/>
        <v>0</v>
      </c>
      <c r="F574" s="221">
        <f t="shared" si="12"/>
        <v>8563.217029</v>
      </c>
      <c r="G574" s="438">
        <f t="shared" si="4"/>
        <v>0.1534406721</v>
      </c>
      <c r="H574" s="220" t="str">
        <f t="shared" si="13"/>
        <v>Default standby Charge</v>
      </c>
      <c r="I574" s="182"/>
      <c r="J574" s="182"/>
      <c r="K574" s="11"/>
      <c r="L574" s="182"/>
      <c r="M574" s="182"/>
      <c r="N574" s="182"/>
      <c r="O574" s="182"/>
      <c r="P574" s="11"/>
      <c r="Q574" s="11"/>
      <c r="R574" s="11"/>
      <c r="S574" s="11"/>
      <c r="T574" s="11"/>
      <c r="U574" s="11"/>
      <c r="V574" s="11"/>
      <c r="W574" s="11"/>
      <c r="X574" s="11"/>
      <c r="Y574" s="11"/>
      <c r="Z574" s="11"/>
      <c r="AA574" s="11"/>
    </row>
    <row r="575" ht="15.75" customHeight="1">
      <c r="A575" s="435">
        <f t="shared" si="10"/>
        <v>2208</v>
      </c>
      <c r="B575" s="429" t="str">
        <f t="shared" si="196"/>
        <v>Charge</v>
      </c>
      <c r="C575" s="221">
        <f t="shared" ref="C575:E575" si="208">C215</f>
        <v>0</v>
      </c>
      <c r="D575" s="221">
        <f t="shared" si="208"/>
        <v>0.9775626664</v>
      </c>
      <c r="E575" s="221">
        <f t="shared" si="208"/>
        <v>0</v>
      </c>
      <c r="F575" s="221">
        <f t="shared" si="12"/>
        <v>8564.194592</v>
      </c>
      <c r="G575" s="438">
        <f t="shared" si="4"/>
        <v>0.1534581886</v>
      </c>
      <c r="H575" s="220" t="str">
        <f t="shared" si="13"/>
        <v>Default standby Charge</v>
      </c>
      <c r="I575" s="182"/>
      <c r="J575" s="182"/>
      <c r="K575" s="11"/>
      <c r="L575" s="182"/>
      <c r="M575" s="182"/>
      <c r="N575" s="182"/>
      <c r="O575" s="182"/>
      <c r="P575" s="11"/>
      <c r="Q575" s="11"/>
      <c r="R575" s="11"/>
      <c r="S575" s="11"/>
      <c r="T575" s="11"/>
      <c r="U575" s="11"/>
      <c r="V575" s="11"/>
      <c r="W575" s="11"/>
      <c r="X575" s="11"/>
      <c r="Y575" s="11"/>
      <c r="Z575" s="11"/>
      <c r="AA575" s="11"/>
    </row>
    <row r="576" ht="15.75" customHeight="1">
      <c r="A576" s="435">
        <f t="shared" si="10"/>
        <v>2212</v>
      </c>
      <c r="B576" s="429" t="str">
        <f t="shared" si="196"/>
        <v>Charge</v>
      </c>
      <c r="C576" s="221">
        <f t="shared" ref="C576:E576" si="209">C216</f>
        <v>0</v>
      </c>
      <c r="D576" s="221">
        <f t="shared" si="209"/>
        <v>0.9775626664</v>
      </c>
      <c r="E576" s="221">
        <f t="shared" si="209"/>
        <v>0</v>
      </c>
      <c r="F576" s="221">
        <f t="shared" si="12"/>
        <v>8565.172155</v>
      </c>
      <c r="G576" s="438">
        <f t="shared" si="4"/>
        <v>0.1534757052</v>
      </c>
      <c r="H576" s="220" t="str">
        <f t="shared" si="13"/>
        <v>Default standby Charge</v>
      </c>
      <c r="I576" s="182"/>
      <c r="J576" s="182"/>
      <c r="K576" s="11"/>
      <c r="L576" s="182"/>
      <c r="M576" s="182"/>
      <c r="N576" s="182"/>
      <c r="O576" s="182"/>
      <c r="P576" s="11"/>
      <c r="Q576" s="11"/>
      <c r="R576" s="11"/>
      <c r="S576" s="11"/>
      <c r="T576" s="11"/>
      <c r="U576" s="11"/>
      <c r="V576" s="11"/>
      <c r="W576" s="11"/>
      <c r="X576" s="11"/>
      <c r="Y576" s="11"/>
      <c r="Z576" s="11"/>
      <c r="AA576" s="11"/>
    </row>
    <row r="577" ht="15.75" customHeight="1">
      <c r="A577" s="435">
        <f t="shared" si="10"/>
        <v>2216</v>
      </c>
      <c r="B577" s="429" t="str">
        <f t="shared" si="196"/>
        <v>Charge</v>
      </c>
      <c r="C577" s="221">
        <f t="shared" ref="C577:E577" si="210">C217</f>
        <v>0</v>
      </c>
      <c r="D577" s="221">
        <f t="shared" si="210"/>
        <v>0.9775626664</v>
      </c>
      <c r="E577" s="221">
        <f t="shared" si="210"/>
        <v>0</v>
      </c>
      <c r="F577" s="221">
        <f t="shared" si="12"/>
        <v>8566.149717</v>
      </c>
      <c r="G577" s="438">
        <f t="shared" si="4"/>
        <v>0.1534932217</v>
      </c>
      <c r="H577" s="220" t="str">
        <f t="shared" si="13"/>
        <v>Default standby Charge</v>
      </c>
      <c r="I577" s="182"/>
      <c r="J577" s="182"/>
      <c r="K577" s="11"/>
      <c r="L577" s="182"/>
      <c r="M577" s="182"/>
      <c r="N577" s="182"/>
      <c r="O577" s="182"/>
      <c r="P577" s="11"/>
      <c r="Q577" s="11"/>
      <c r="R577" s="11"/>
      <c r="S577" s="11"/>
      <c r="T577" s="11"/>
      <c r="U577" s="11"/>
      <c r="V577" s="11"/>
      <c r="W577" s="11"/>
      <c r="X577" s="11"/>
      <c r="Y577" s="11"/>
      <c r="Z577" s="11"/>
      <c r="AA577" s="11"/>
    </row>
    <row r="578" ht="15.75" customHeight="1">
      <c r="A578" s="435">
        <f t="shared" si="10"/>
        <v>2220</v>
      </c>
      <c r="B578" s="429" t="str">
        <f t="shared" si="196"/>
        <v>Charge</v>
      </c>
      <c r="C578" s="221">
        <f t="shared" ref="C578:E578" si="211">C218</f>
        <v>0</v>
      </c>
      <c r="D578" s="221">
        <f t="shared" si="211"/>
        <v>0.9775626664</v>
      </c>
      <c r="E578" s="221">
        <f t="shared" si="211"/>
        <v>0</v>
      </c>
      <c r="F578" s="221">
        <f t="shared" si="12"/>
        <v>8567.12728</v>
      </c>
      <c r="G578" s="438">
        <f t="shared" si="4"/>
        <v>0.1535107382</v>
      </c>
      <c r="H578" s="220" t="str">
        <f t="shared" si="13"/>
        <v>Default standby Charge</v>
      </c>
      <c r="I578" s="182"/>
      <c r="J578" s="182"/>
      <c r="K578" s="11"/>
      <c r="L578" s="182"/>
      <c r="M578" s="182"/>
      <c r="N578" s="182"/>
      <c r="O578" s="182"/>
      <c r="P578" s="11"/>
      <c r="Q578" s="11"/>
      <c r="R578" s="11"/>
      <c r="S578" s="11"/>
      <c r="T578" s="11"/>
      <c r="U578" s="11"/>
      <c r="V578" s="11"/>
      <c r="W578" s="11"/>
      <c r="X578" s="11"/>
      <c r="Y578" s="11"/>
      <c r="Z578" s="11"/>
      <c r="AA578" s="11"/>
    </row>
    <row r="579" ht="15.75" customHeight="1">
      <c r="A579" s="435">
        <f t="shared" si="10"/>
        <v>2224</v>
      </c>
      <c r="B579" s="429" t="str">
        <f t="shared" si="196"/>
        <v>Charge</v>
      </c>
      <c r="C579" s="221">
        <f t="shared" ref="C579:E579" si="212">C219</f>
        <v>0</v>
      </c>
      <c r="D579" s="221">
        <f t="shared" si="212"/>
        <v>0.9775626664</v>
      </c>
      <c r="E579" s="221">
        <f t="shared" si="212"/>
        <v>0</v>
      </c>
      <c r="F579" s="221">
        <f t="shared" si="12"/>
        <v>8568.104843</v>
      </c>
      <c r="G579" s="438">
        <f t="shared" si="4"/>
        <v>0.1535282548</v>
      </c>
      <c r="H579" s="220" t="str">
        <f t="shared" si="13"/>
        <v>Default standby Charge</v>
      </c>
      <c r="I579" s="182"/>
      <c r="J579" s="182"/>
      <c r="K579" s="11"/>
      <c r="L579" s="182"/>
      <c r="M579" s="182"/>
      <c r="N579" s="182"/>
      <c r="O579" s="182"/>
      <c r="P579" s="11"/>
      <c r="Q579" s="11"/>
      <c r="R579" s="11"/>
      <c r="S579" s="11"/>
      <c r="T579" s="11"/>
      <c r="U579" s="11"/>
      <c r="V579" s="11"/>
      <c r="W579" s="11"/>
      <c r="X579" s="11"/>
      <c r="Y579" s="11"/>
      <c r="Z579" s="11"/>
      <c r="AA579" s="11"/>
    </row>
    <row r="580" ht="15.75" customHeight="1">
      <c r="A580" s="435">
        <f t="shared" si="10"/>
        <v>2228</v>
      </c>
      <c r="B580" s="429" t="str">
        <f t="shared" si="196"/>
        <v>Charge</v>
      </c>
      <c r="C580" s="221">
        <f t="shared" ref="C580:E580" si="213">C220</f>
        <v>0</v>
      </c>
      <c r="D580" s="221">
        <f t="shared" si="213"/>
        <v>0.9775626664</v>
      </c>
      <c r="E580" s="221">
        <f t="shared" si="213"/>
        <v>0</v>
      </c>
      <c r="F580" s="221">
        <f t="shared" si="12"/>
        <v>8569.082405</v>
      </c>
      <c r="G580" s="438">
        <f t="shared" si="4"/>
        <v>0.1535457713</v>
      </c>
      <c r="H580" s="220" t="str">
        <f t="shared" si="13"/>
        <v>Default standby Charge</v>
      </c>
      <c r="I580" s="182"/>
      <c r="J580" s="182"/>
      <c r="K580" s="11"/>
      <c r="L580" s="182"/>
      <c r="M580" s="182"/>
      <c r="N580" s="182"/>
      <c r="O580" s="182"/>
      <c r="P580" s="11"/>
      <c r="Q580" s="11"/>
      <c r="R580" s="11"/>
      <c r="S580" s="11"/>
      <c r="T580" s="11"/>
      <c r="U580" s="11"/>
      <c r="V580" s="11"/>
      <c r="W580" s="11"/>
      <c r="X580" s="11"/>
      <c r="Y580" s="11"/>
      <c r="Z580" s="11"/>
      <c r="AA580" s="11"/>
    </row>
    <row r="581" ht="15.75" customHeight="1">
      <c r="A581" s="435">
        <f t="shared" si="10"/>
        <v>2232</v>
      </c>
      <c r="B581" s="429" t="str">
        <f t="shared" si="196"/>
        <v>Charge</v>
      </c>
      <c r="C581" s="221">
        <f t="shared" ref="C581:E581" si="214">C221</f>
        <v>0</v>
      </c>
      <c r="D581" s="221">
        <f t="shared" si="214"/>
        <v>0.9775626664</v>
      </c>
      <c r="E581" s="221">
        <f t="shared" si="214"/>
        <v>0</v>
      </c>
      <c r="F581" s="221">
        <f t="shared" si="12"/>
        <v>8570.059968</v>
      </c>
      <c r="G581" s="438">
        <f t="shared" si="4"/>
        <v>0.1535632878</v>
      </c>
      <c r="H581" s="220" t="str">
        <f t="shared" si="13"/>
        <v>Default standby Charge</v>
      </c>
      <c r="I581" s="182"/>
      <c r="J581" s="182"/>
      <c r="K581" s="11"/>
      <c r="L581" s="182"/>
      <c r="M581" s="182"/>
      <c r="N581" s="182"/>
      <c r="O581" s="182"/>
      <c r="P581" s="11"/>
      <c r="Q581" s="11"/>
      <c r="R581" s="11"/>
      <c r="S581" s="11"/>
      <c r="T581" s="11"/>
      <c r="U581" s="11"/>
      <c r="V581" s="11"/>
      <c r="W581" s="11"/>
      <c r="X581" s="11"/>
      <c r="Y581" s="11"/>
      <c r="Z581" s="11"/>
      <c r="AA581" s="11"/>
    </row>
    <row r="582" ht="15.75" customHeight="1">
      <c r="A582" s="435">
        <f t="shared" si="10"/>
        <v>2236</v>
      </c>
      <c r="B582" s="429" t="str">
        <f t="shared" si="196"/>
        <v>Charge</v>
      </c>
      <c r="C582" s="221">
        <f t="shared" ref="C582:E582" si="215">C222</f>
        <v>0</v>
      </c>
      <c r="D582" s="221">
        <f t="shared" si="215"/>
        <v>0.9775626664</v>
      </c>
      <c r="E582" s="221">
        <f t="shared" si="215"/>
        <v>0</v>
      </c>
      <c r="F582" s="221">
        <f t="shared" si="12"/>
        <v>8571.037531</v>
      </c>
      <c r="G582" s="438">
        <f t="shared" si="4"/>
        <v>0.1535808044</v>
      </c>
      <c r="H582" s="220" t="str">
        <f t="shared" si="13"/>
        <v>Default standby Charge</v>
      </c>
      <c r="I582" s="182"/>
      <c r="J582" s="182"/>
      <c r="K582" s="11"/>
      <c r="L582" s="182"/>
      <c r="M582" s="182"/>
      <c r="N582" s="182"/>
      <c r="O582" s="182"/>
      <c r="P582" s="11"/>
      <c r="Q582" s="11"/>
      <c r="R582" s="11"/>
      <c r="S582" s="11"/>
      <c r="T582" s="11"/>
      <c r="U582" s="11"/>
      <c r="V582" s="11"/>
      <c r="W582" s="11"/>
      <c r="X582" s="11"/>
      <c r="Y582" s="11"/>
      <c r="Z582" s="11"/>
      <c r="AA582" s="11"/>
    </row>
    <row r="583" ht="15.75" customHeight="1">
      <c r="A583" s="435">
        <f t="shared" si="10"/>
        <v>2240</v>
      </c>
      <c r="B583" s="449" t="str">
        <f t="shared" ref="B583:E583" si="216">B223</f>
        <v>Downlink</v>
      </c>
      <c r="C583" s="221">
        <f t="shared" si="216"/>
        <v>0</v>
      </c>
      <c r="D583" s="221">
        <f t="shared" si="216"/>
        <v>0.9775626664</v>
      </c>
      <c r="E583" s="221">
        <f t="shared" si="216"/>
        <v>0.75</v>
      </c>
      <c r="F583" s="221">
        <f t="shared" si="12"/>
        <v>8571.265093</v>
      </c>
      <c r="G583" s="438">
        <f t="shared" si="4"/>
        <v>0.153584882</v>
      </c>
      <c r="H583" s="220" t="str">
        <f t="shared" si="13"/>
        <v>Validated contact; Downlink preempts Science</v>
      </c>
      <c r="I583" s="182"/>
      <c r="J583" s="182"/>
      <c r="K583" s="11"/>
      <c r="L583" s="182"/>
      <c r="M583" s="182"/>
      <c r="N583" s="182"/>
      <c r="O583" s="182"/>
      <c r="P583" s="11"/>
      <c r="Q583" s="11"/>
      <c r="R583" s="11"/>
      <c r="S583" s="11"/>
      <c r="T583" s="11"/>
      <c r="U583" s="11"/>
      <c r="V583" s="11"/>
      <c r="W583" s="11"/>
      <c r="X583" s="11"/>
      <c r="Y583" s="11"/>
      <c r="Z583" s="11"/>
      <c r="AA583" s="11"/>
    </row>
    <row r="584" ht="15.75" customHeight="1">
      <c r="A584" s="435">
        <f t="shared" si="10"/>
        <v>2244</v>
      </c>
      <c r="B584" s="449" t="str">
        <f t="shared" ref="B584:E584" si="217">B224</f>
        <v>Downlink</v>
      </c>
      <c r="C584" s="221">
        <f t="shared" si="217"/>
        <v>0</v>
      </c>
      <c r="D584" s="221">
        <f t="shared" si="217"/>
        <v>0.9775626664</v>
      </c>
      <c r="E584" s="221">
        <f t="shared" si="217"/>
        <v>0.75</v>
      </c>
      <c r="F584" s="221">
        <f t="shared" si="12"/>
        <v>8571.492656</v>
      </c>
      <c r="G584" s="438">
        <f t="shared" si="4"/>
        <v>0.1535889596</v>
      </c>
      <c r="H584" s="220" t="str">
        <f t="shared" si="13"/>
        <v>Validated contact; Downlink preempts Science</v>
      </c>
      <c r="I584" s="182"/>
      <c r="J584" s="182"/>
      <c r="K584" s="11"/>
      <c r="L584" s="182"/>
      <c r="M584" s="182"/>
      <c r="N584" s="182"/>
      <c r="O584" s="182"/>
      <c r="P584" s="11"/>
      <c r="Q584" s="11"/>
      <c r="R584" s="11"/>
      <c r="S584" s="11"/>
      <c r="T584" s="11"/>
      <c r="U584" s="11"/>
      <c r="V584" s="11"/>
      <c r="W584" s="11"/>
      <c r="X584" s="11"/>
      <c r="Y584" s="11"/>
      <c r="Z584" s="11"/>
      <c r="AA584" s="11"/>
    </row>
    <row r="585" ht="15.75" customHeight="1">
      <c r="A585" s="435">
        <f t="shared" si="10"/>
        <v>2248</v>
      </c>
      <c r="B585" s="429" t="str">
        <f t="shared" ref="B585:B632" si="219">IF(AND(MOD(A585,1440)&gt;=$K$6,MOD(A585,1440)&lt;$L$6),"Safe",IF(OR(AND(MOD(A585,1440)&gt;=$K$14,MOD(A585,1440)&lt;$L$14),AND(MOD(A585,1440)&gt;=$K$15,MOD(A585,1440)&lt;$L$15),AND(MOD(A585,1440)&gt;=$K$16,MOD(A585,1440)&lt;$L$16),AND(MOD(A585,1440)&gt;=$K$17,MOD(A585,1440)&lt;$L$17),AND(MOD(A585,1440)&gt;=$K$18,MOD(A585,1440)&lt;$L$18),AND(MOD(A585,1440)&gt;=$K$19,MOD(A585,1440)&lt;$L$19)),"Downlink",IF(AND(MOD(A585,1440)&gt;=$K$8,MOD(A585,1440)&lt;$L$8),"Science A",IF(AND(MOD(A585,1440)&gt;=$K$9,MOD(A585,1440)&lt;$L$9),"Science B",IF(AND(MOD(A585,1440)&gt;=$K$10,MOD(A585,1440)&lt;$L$10),"Science C","Charge")))))</f>
        <v>Charge</v>
      </c>
      <c r="C585" s="221">
        <f t="shared" ref="C585:E585" si="218">C225</f>
        <v>0</v>
      </c>
      <c r="D585" s="221">
        <f t="shared" si="218"/>
        <v>0.9775626664</v>
      </c>
      <c r="E585" s="221">
        <f t="shared" si="218"/>
        <v>0</v>
      </c>
      <c r="F585" s="221">
        <f t="shared" si="12"/>
        <v>8572.470219</v>
      </c>
      <c r="G585" s="438">
        <f t="shared" si="4"/>
        <v>0.1536064761</v>
      </c>
      <c r="H585" s="220" t="str">
        <f t="shared" si="13"/>
        <v>Default standby Charge</v>
      </c>
      <c r="I585" s="182"/>
      <c r="J585" s="182"/>
      <c r="K585" s="11"/>
      <c r="L585" s="182"/>
      <c r="M585" s="182"/>
      <c r="N585" s="182"/>
      <c r="O585" s="182"/>
      <c r="P585" s="11"/>
      <c r="Q585" s="11"/>
      <c r="R585" s="11"/>
      <c r="S585" s="11"/>
      <c r="T585" s="11"/>
      <c r="U585" s="11"/>
      <c r="V585" s="11"/>
      <c r="W585" s="11"/>
      <c r="X585" s="11"/>
      <c r="Y585" s="11"/>
      <c r="Z585" s="11"/>
      <c r="AA585" s="11"/>
    </row>
    <row r="586" ht="15.75" customHeight="1">
      <c r="A586" s="435">
        <f t="shared" si="10"/>
        <v>2252</v>
      </c>
      <c r="B586" s="429" t="str">
        <f t="shared" si="219"/>
        <v>Charge</v>
      </c>
      <c r="C586" s="221">
        <f t="shared" ref="C586:E586" si="220">C226</f>
        <v>0</v>
      </c>
      <c r="D586" s="221">
        <f t="shared" si="220"/>
        <v>0.9775626664</v>
      </c>
      <c r="E586" s="221">
        <f t="shared" si="220"/>
        <v>0</v>
      </c>
      <c r="F586" s="221">
        <f t="shared" si="12"/>
        <v>8573.447781</v>
      </c>
      <c r="G586" s="438">
        <f t="shared" si="4"/>
        <v>0.1536239926</v>
      </c>
      <c r="H586" s="220" t="str">
        <f t="shared" si="13"/>
        <v>Default standby Charge</v>
      </c>
      <c r="I586" s="182"/>
      <c r="J586" s="182"/>
      <c r="K586" s="11"/>
      <c r="L586" s="182"/>
      <c r="M586" s="182"/>
      <c r="N586" s="182"/>
      <c r="O586" s="182"/>
      <c r="P586" s="11"/>
      <c r="Q586" s="11"/>
      <c r="R586" s="11"/>
      <c r="S586" s="11"/>
      <c r="T586" s="11"/>
      <c r="U586" s="11"/>
      <c r="V586" s="11"/>
      <c r="W586" s="11"/>
      <c r="X586" s="11"/>
      <c r="Y586" s="11"/>
      <c r="Z586" s="11"/>
      <c r="AA586" s="11"/>
    </row>
    <row r="587" ht="15.75" customHeight="1">
      <c r="A587" s="435">
        <f t="shared" si="10"/>
        <v>2256</v>
      </c>
      <c r="B587" s="429" t="str">
        <f t="shared" si="219"/>
        <v>Charge</v>
      </c>
      <c r="C587" s="221">
        <f t="shared" ref="C587:E587" si="221">C227</f>
        <v>0</v>
      </c>
      <c r="D587" s="221">
        <f t="shared" si="221"/>
        <v>0.9775626664</v>
      </c>
      <c r="E587" s="221">
        <f t="shared" si="221"/>
        <v>0</v>
      </c>
      <c r="F587" s="221">
        <f t="shared" si="12"/>
        <v>8574.425344</v>
      </c>
      <c r="G587" s="438">
        <f t="shared" si="4"/>
        <v>0.1536415092</v>
      </c>
      <c r="H587" s="220" t="str">
        <f t="shared" si="13"/>
        <v>Default standby Charge</v>
      </c>
      <c r="I587" s="182"/>
      <c r="J587" s="182"/>
      <c r="K587" s="11"/>
      <c r="L587" s="182"/>
      <c r="M587" s="182"/>
      <c r="N587" s="182"/>
      <c r="O587" s="182"/>
      <c r="P587" s="11"/>
      <c r="Q587" s="11"/>
      <c r="R587" s="11"/>
      <c r="S587" s="11"/>
      <c r="T587" s="11"/>
      <c r="U587" s="11"/>
      <c r="V587" s="11"/>
      <c r="W587" s="11"/>
      <c r="X587" s="11"/>
      <c r="Y587" s="11"/>
      <c r="Z587" s="11"/>
      <c r="AA587" s="11"/>
    </row>
    <row r="588" ht="15.75" customHeight="1">
      <c r="A588" s="435">
        <f t="shared" si="10"/>
        <v>2260</v>
      </c>
      <c r="B588" s="429" t="str">
        <f t="shared" si="219"/>
        <v>Charge</v>
      </c>
      <c r="C588" s="221">
        <f t="shared" ref="C588:E588" si="222">C228</f>
        <v>0</v>
      </c>
      <c r="D588" s="221">
        <f t="shared" si="222"/>
        <v>0.9775626664</v>
      </c>
      <c r="E588" s="221">
        <f t="shared" si="222"/>
        <v>0</v>
      </c>
      <c r="F588" s="221">
        <f t="shared" si="12"/>
        <v>8575.402907</v>
      </c>
      <c r="G588" s="438">
        <f t="shared" si="4"/>
        <v>0.1536590257</v>
      </c>
      <c r="H588" s="220" t="str">
        <f t="shared" si="13"/>
        <v>Default standby Charge</v>
      </c>
      <c r="I588" s="182"/>
      <c r="J588" s="182"/>
      <c r="K588" s="11"/>
      <c r="L588" s="182"/>
      <c r="M588" s="182"/>
      <c r="N588" s="182"/>
      <c r="O588" s="182"/>
      <c r="P588" s="11"/>
      <c r="Q588" s="11"/>
      <c r="R588" s="11"/>
      <c r="S588" s="11"/>
      <c r="T588" s="11"/>
      <c r="U588" s="11"/>
      <c r="V588" s="11"/>
      <c r="W588" s="11"/>
      <c r="X588" s="11"/>
      <c r="Y588" s="11"/>
      <c r="Z588" s="11"/>
      <c r="AA588" s="11"/>
    </row>
    <row r="589" ht="15.75" customHeight="1">
      <c r="A589" s="435">
        <f t="shared" si="10"/>
        <v>2264</v>
      </c>
      <c r="B589" s="429" t="str">
        <f t="shared" si="219"/>
        <v>Charge</v>
      </c>
      <c r="C589" s="221">
        <f t="shared" ref="C589:E589" si="223">C229</f>
        <v>0</v>
      </c>
      <c r="D589" s="221">
        <f t="shared" si="223"/>
        <v>0.9775626664</v>
      </c>
      <c r="E589" s="221">
        <f t="shared" si="223"/>
        <v>0</v>
      </c>
      <c r="F589" s="221">
        <f t="shared" si="12"/>
        <v>8576.380469</v>
      </c>
      <c r="G589" s="438">
        <f t="shared" si="4"/>
        <v>0.1536765422</v>
      </c>
      <c r="H589" s="220" t="str">
        <f t="shared" si="13"/>
        <v>Default standby Charge</v>
      </c>
      <c r="I589" s="182"/>
      <c r="J589" s="182"/>
      <c r="K589" s="11"/>
      <c r="L589" s="182"/>
      <c r="M589" s="182"/>
      <c r="N589" s="182"/>
      <c r="O589" s="182"/>
      <c r="P589" s="11"/>
      <c r="Q589" s="11"/>
      <c r="R589" s="11"/>
      <c r="S589" s="11"/>
      <c r="T589" s="11"/>
      <c r="U589" s="11"/>
      <c r="V589" s="11"/>
      <c r="W589" s="11"/>
      <c r="X589" s="11"/>
      <c r="Y589" s="11"/>
      <c r="Z589" s="11"/>
      <c r="AA589" s="11"/>
    </row>
    <row r="590" ht="15.75" customHeight="1">
      <c r="A590" s="435">
        <f t="shared" si="10"/>
        <v>2268</v>
      </c>
      <c r="B590" s="429" t="str">
        <f t="shared" si="219"/>
        <v>Charge</v>
      </c>
      <c r="C590" s="221">
        <f t="shared" ref="C590:E590" si="224">C230</f>
        <v>0</v>
      </c>
      <c r="D590" s="221">
        <f t="shared" si="224"/>
        <v>0.9775626664</v>
      </c>
      <c r="E590" s="221">
        <f t="shared" si="224"/>
        <v>0</v>
      </c>
      <c r="F590" s="221">
        <f t="shared" si="12"/>
        <v>8577.358032</v>
      </c>
      <c r="G590" s="438">
        <f t="shared" si="4"/>
        <v>0.1536940588</v>
      </c>
      <c r="H590" s="220" t="str">
        <f t="shared" si="13"/>
        <v>Default standby Charge</v>
      </c>
      <c r="I590" s="182"/>
      <c r="J590" s="182"/>
      <c r="K590" s="11"/>
      <c r="L590" s="182"/>
      <c r="M590" s="182"/>
      <c r="N590" s="182"/>
      <c r="O590" s="182"/>
      <c r="P590" s="11"/>
      <c r="Q590" s="11"/>
      <c r="R590" s="11"/>
      <c r="S590" s="11"/>
      <c r="T590" s="11"/>
      <c r="U590" s="11"/>
      <c r="V590" s="11"/>
      <c r="W590" s="11"/>
      <c r="X590" s="11"/>
      <c r="Y590" s="11"/>
      <c r="Z590" s="11"/>
      <c r="AA590" s="11"/>
    </row>
    <row r="591" ht="15.75" customHeight="1">
      <c r="A591" s="435">
        <f t="shared" si="10"/>
        <v>2272</v>
      </c>
      <c r="B591" s="429" t="str">
        <f t="shared" si="219"/>
        <v>Charge</v>
      </c>
      <c r="C591" s="221">
        <f t="shared" ref="C591:E591" si="225">C231</f>
        <v>0</v>
      </c>
      <c r="D591" s="221">
        <f t="shared" si="225"/>
        <v>0.9775626664</v>
      </c>
      <c r="E591" s="221">
        <f t="shared" si="225"/>
        <v>0</v>
      </c>
      <c r="F591" s="221">
        <f t="shared" si="12"/>
        <v>8578.335595</v>
      </c>
      <c r="G591" s="438">
        <f t="shared" si="4"/>
        <v>0.1537115753</v>
      </c>
      <c r="H591" s="220" t="str">
        <f t="shared" si="13"/>
        <v>Default standby Charge</v>
      </c>
      <c r="I591" s="182"/>
      <c r="J591" s="182"/>
      <c r="K591" s="11"/>
      <c r="L591" s="182"/>
      <c r="M591" s="182"/>
      <c r="N591" s="182"/>
      <c r="O591" s="182"/>
      <c r="P591" s="11"/>
      <c r="Q591" s="11"/>
      <c r="R591" s="11"/>
      <c r="S591" s="11"/>
      <c r="T591" s="11"/>
      <c r="U591" s="11"/>
      <c r="V591" s="11"/>
      <c r="W591" s="11"/>
      <c r="X591" s="11"/>
      <c r="Y591" s="11"/>
      <c r="Z591" s="11"/>
      <c r="AA591" s="11"/>
    </row>
    <row r="592" ht="15.75" customHeight="1">
      <c r="A592" s="435">
        <f t="shared" si="10"/>
        <v>2276</v>
      </c>
      <c r="B592" s="429" t="str">
        <f t="shared" si="219"/>
        <v>Charge</v>
      </c>
      <c r="C592" s="221">
        <f t="shared" ref="C592:E592" si="226">C232</f>
        <v>0</v>
      </c>
      <c r="D592" s="221">
        <f t="shared" si="226"/>
        <v>0.9775626664</v>
      </c>
      <c r="E592" s="221">
        <f t="shared" si="226"/>
        <v>0</v>
      </c>
      <c r="F592" s="221">
        <f t="shared" si="12"/>
        <v>8579.313157</v>
      </c>
      <c r="G592" s="438">
        <f t="shared" si="4"/>
        <v>0.1537290918</v>
      </c>
      <c r="H592" s="220" t="str">
        <f t="shared" si="13"/>
        <v>Default standby Charge</v>
      </c>
      <c r="I592" s="182"/>
      <c r="J592" s="182"/>
      <c r="K592" s="11"/>
      <c r="L592" s="182"/>
      <c r="M592" s="182"/>
      <c r="N592" s="182"/>
      <c r="O592" s="182"/>
      <c r="P592" s="11"/>
      <c r="Q592" s="11"/>
      <c r="R592" s="11"/>
      <c r="S592" s="11"/>
      <c r="T592" s="11"/>
      <c r="U592" s="11"/>
      <c r="V592" s="11"/>
      <c r="W592" s="11"/>
      <c r="X592" s="11"/>
      <c r="Y592" s="11"/>
      <c r="Z592" s="11"/>
      <c r="AA592" s="11"/>
    </row>
    <row r="593" ht="15.75" customHeight="1">
      <c r="A593" s="435">
        <f t="shared" si="10"/>
        <v>2280</v>
      </c>
      <c r="B593" s="429" t="str">
        <f t="shared" si="219"/>
        <v>Charge</v>
      </c>
      <c r="C593" s="221">
        <f t="shared" ref="C593:E593" si="227">C233</f>
        <v>0</v>
      </c>
      <c r="D593" s="221">
        <f t="shared" si="227"/>
        <v>0.9775626664</v>
      </c>
      <c r="E593" s="221">
        <f t="shared" si="227"/>
        <v>0</v>
      </c>
      <c r="F593" s="221">
        <f t="shared" si="12"/>
        <v>8580.29072</v>
      </c>
      <c r="G593" s="438">
        <f t="shared" si="4"/>
        <v>0.1537466084</v>
      </c>
      <c r="H593" s="220" t="str">
        <f t="shared" si="13"/>
        <v>Default standby Charge</v>
      </c>
      <c r="I593" s="182"/>
      <c r="J593" s="182"/>
      <c r="K593" s="11"/>
      <c r="L593" s="182"/>
      <c r="M593" s="182"/>
      <c r="N593" s="182"/>
      <c r="O593" s="182"/>
      <c r="P593" s="11"/>
      <c r="Q593" s="11"/>
      <c r="R593" s="11"/>
      <c r="S593" s="11"/>
      <c r="T593" s="11"/>
      <c r="U593" s="11"/>
      <c r="V593" s="11"/>
      <c r="W593" s="11"/>
      <c r="X593" s="11"/>
      <c r="Y593" s="11"/>
      <c r="Z593" s="11"/>
      <c r="AA593" s="11"/>
    </row>
    <row r="594" ht="15.75" customHeight="1">
      <c r="A594" s="435">
        <f t="shared" si="10"/>
        <v>2284</v>
      </c>
      <c r="B594" s="429" t="str">
        <f t="shared" si="219"/>
        <v>Charge</v>
      </c>
      <c r="C594" s="221">
        <f t="shared" ref="C594:E594" si="228">C234</f>
        <v>0</v>
      </c>
      <c r="D594" s="221">
        <f t="shared" si="228"/>
        <v>0.9775626664</v>
      </c>
      <c r="E594" s="221">
        <f t="shared" si="228"/>
        <v>0</v>
      </c>
      <c r="F594" s="221">
        <f t="shared" si="12"/>
        <v>8581.268283</v>
      </c>
      <c r="G594" s="438">
        <f t="shared" si="4"/>
        <v>0.1537641249</v>
      </c>
      <c r="H594" s="220" t="str">
        <f t="shared" si="13"/>
        <v>Default standby Charge</v>
      </c>
      <c r="I594" s="182"/>
      <c r="J594" s="182"/>
      <c r="K594" s="11"/>
      <c r="L594" s="182"/>
      <c r="M594" s="182"/>
      <c r="N594" s="182"/>
      <c r="O594" s="182"/>
      <c r="P594" s="11"/>
      <c r="Q594" s="11"/>
      <c r="R594" s="11"/>
      <c r="S594" s="11"/>
      <c r="T594" s="11"/>
      <c r="U594" s="11"/>
      <c r="V594" s="11"/>
      <c r="W594" s="11"/>
      <c r="X594" s="11"/>
      <c r="Y594" s="11"/>
      <c r="Z594" s="11"/>
      <c r="AA594" s="11"/>
    </row>
    <row r="595" ht="15.75" customHeight="1">
      <c r="A595" s="435">
        <f t="shared" si="10"/>
        <v>2288</v>
      </c>
      <c r="B595" s="429" t="str">
        <f t="shared" si="219"/>
        <v>Charge</v>
      </c>
      <c r="C595" s="221">
        <f t="shared" ref="C595:E595" si="229">C235</f>
        <v>0</v>
      </c>
      <c r="D595" s="221">
        <f t="shared" si="229"/>
        <v>0.9775626664</v>
      </c>
      <c r="E595" s="221">
        <f t="shared" si="229"/>
        <v>0</v>
      </c>
      <c r="F595" s="221">
        <f t="shared" si="12"/>
        <v>8582.245845</v>
      </c>
      <c r="G595" s="438">
        <f t="shared" si="4"/>
        <v>0.1537816414</v>
      </c>
      <c r="H595" s="220" t="str">
        <f t="shared" si="13"/>
        <v>Default standby Charge</v>
      </c>
      <c r="I595" s="182"/>
      <c r="J595" s="182"/>
      <c r="K595" s="11"/>
      <c r="L595" s="182"/>
      <c r="M595" s="182"/>
      <c r="N595" s="182"/>
      <c r="O595" s="182"/>
      <c r="P595" s="11"/>
      <c r="Q595" s="11"/>
      <c r="R595" s="11"/>
      <c r="S595" s="11"/>
      <c r="T595" s="11"/>
      <c r="U595" s="11"/>
      <c r="V595" s="11"/>
      <c r="W595" s="11"/>
      <c r="X595" s="11"/>
      <c r="Y595" s="11"/>
      <c r="Z595" s="11"/>
      <c r="AA595" s="11"/>
    </row>
    <row r="596" ht="15.75" customHeight="1">
      <c r="A596" s="435">
        <f t="shared" si="10"/>
        <v>2292</v>
      </c>
      <c r="B596" s="429" t="str">
        <f t="shared" si="219"/>
        <v>Charge</v>
      </c>
      <c r="C596" s="221">
        <f t="shared" ref="C596:E596" si="230">C236</f>
        <v>0</v>
      </c>
      <c r="D596" s="221">
        <f t="shared" si="230"/>
        <v>0.9775626664</v>
      </c>
      <c r="E596" s="221">
        <f t="shared" si="230"/>
        <v>0</v>
      </c>
      <c r="F596" s="221">
        <f t="shared" si="12"/>
        <v>8583.223408</v>
      </c>
      <c r="G596" s="438">
        <f t="shared" si="4"/>
        <v>0.153799158</v>
      </c>
      <c r="H596" s="220" t="str">
        <f t="shared" si="13"/>
        <v>Default standby Charge</v>
      </c>
      <c r="I596" s="182"/>
      <c r="J596" s="182"/>
      <c r="K596" s="11"/>
      <c r="L596" s="182"/>
      <c r="M596" s="182"/>
      <c r="N596" s="182"/>
      <c r="O596" s="182"/>
      <c r="P596" s="11"/>
      <c r="Q596" s="11"/>
      <c r="R596" s="11"/>
      <c r="S596" s="11"/>
      <c r="T596" s="11"/>
      <c r="U596" s="11"/>
      <c r="V596" s="11"/>
      <c r="W596" s="11"/>
      <c r="X596" s="11"/>
      <c r="Y596" s="11"/>
      <c r="Z596" s="11"/>
      <c r="AA596" s="11"/>
    </row>
    <row r="597" ht="15.75" customHeight="1">
      <c r="A597" s="435">
        <f t="shared" si="10"/>
        <v>2296</v>
      </c>
      <c r="B597" s="429" t="str">
        <f t="shared" si="219"/>
        <v>Charge</v>
      </c>
      <c r="C597" s="221">
        <f t="shared" ref="C597:E597" si="231">C237</f>
        <v>0</v>
      </c>
      <c r="D597" s="221">
        <f t="shared" si="231"/>
        <v>0.9775626664</v>
      </c>
      <c r="E597" s="221">
        <f t="shared" si="231"/>
        <v>0</v>
      </c>
      <c r="F597" s="221">
        <f t="shared" si="12"/>
        <v>8584.200971</v>
      </c>
      <c r="G597" s="438">
        <f t="shared" si="4"/>
        <v>0.1538166745</v>
      </c>
      <c r="H597" s="220" t="str">
        <f t="shared" si="13"/>
        <v>Default standby Charge</v>
      </c>
      <c r="I597" s="182"/>
      <c r="J597" s="182"/>
      <c r="K597" s="11"/>
      <c r="L597" s="182"/>
      <c r="M597" s="182"/>
      <c r="N597" s="182"/>
      <c r="O597" s="182"/>
      <c r="P597" s="11"/>
      <c r="Q597" s="11"/>
      <c r="R597" s="11"/>
      <c r="S597" s="11"/>
      <c r="T597" s="11"/>
      <c r="U597" s="11"/>
      <c r="V597" s="11"/>
      <c r="W597" s="11"/>
      <c r="X597" s="11"/>
      <c r="Y597" s="11"/>
      <c r="Z597" s="11"/>
      <c r="AA597" s="11"/>
    </row>
    <row r="598" ht="15.75" customHeight="1">
      <c r="A598" s="435">
        <f t="shared" si="10"/>
        <v>2300</v>
      </c>
      <c r="B598" s="429" t="str">
        <f t="shared" si="219"/>
        <v>Charge</v>
      </c>
      <c r="C598" s="221">
        <f t="shared" ref="C598:E598" si="232">C238</f>
        <v>0</v>
      </c>
      <c r="D598" s="221">
        <f t="shared" si="232"/>
        <v>0.9775626664</v>
      </c>
      <c r="E598" s="221">
        <f t="shared" si="232"/>
        <v>0</v>
      </c>
      <c r="F598" s="221">
        <f t="shared" si="12"/>
        <v>8585.178533</v>
      </c>
      <c r="G598" s="438">
        <f t="shared" si="4"/>
        <v>0.153834191</v>
      </c>
      <c r="H598" s="220" t="str">
        <f t="shared" si="13"/>
        <v>Default standby Charge</v>
      </c>
      <c r="I598" s="182"/>
      <c r="J598" s="182"/>
      <c r="K598" s="11"/>
      <c r="L598" s="182"/>
      <c r="M598" s="182"/>
      <c r="N598" s="182"/>
      <c r="O598" s="182"/>
      <c r="P598" s="11"/>
      <c r="Q598" s="11"/>
      <c r="R598" s="11"/>
      <c r="S598" s="11"/>
      <c r="T598" s="11"/>
      <c r="U598" s="11"/>
      <c r="V598" s="11"/>
      <c r="W598" s="11"/>
      <c r="X598" s="11"/>
      <c r="Y598" s="11"/>
      <c r="Z598" s="11"/>
      <c r="AA598" s="11"/>
    </row>
    <row r="599" ht="15.75" customHeight="1">
      <c r="A599" s="435">
        <f t="shared" si="10"/>
        <v>2304</v>
      </c>
      <c r="B599" s="429" t="str">
        <f t="shared" si="219"/>
        <v>Charge</v>
      </c>
      <c r="C599" s="221">
        <f t="shared" ref="C599:E599" si="233">C239</f>
        <v>0</v>
      </c>
      <c r="D599" s="221">
        <f t="shared" si="233"/>
        <v>0.9775626664</v>
      </c>
      <c r="E599" s="221">
        <f t="shared" si="233"/>
        <v>0</v>
      </c>
      <c r="F599" s="221">
        <f t="shared" si="12"/>
        <v>8586.156096</v>
      </c>
      <c r="G599" s="438">
        <f t="shared" si="4"/>
        <v>0.1538517076</v>
      </c>
      <c r="H599" s="220" t="str">
        <f t="shared" si="13"/>
        <v>Default standby Charge</v>
      </c>
      <c r="I599" s="182"/>
      <c r="J599" s="182"/>
      <c r="K599" s="11"/>
      <c r="L599" s="182"/>
      <c r="M599" s="182"/>
      <c r="N599" s="182"/>
      <c r="O599" s="182"/>
      <c r="P599" s="11"/>
      <c r="Q599" s="11"/>
      <c r="R599" s="11"/>
      <c r="S599" s="11"/>
      <c r="T599" s="11"/>
      <c r="U599" s="11"/>
      <c r="V599" s="11"/>
      <c r="W599" s="11"/>
      <c r="X599" s="11"/>
      <c r="Y599" s="11"/>
      <c r="Z599" s="11"/>
      <c r="AA599" s="11"/>
    </row>
    <row r="600" ht="15.75" customHeight="1">
      <c r="A600" s="435">
        <f t="shared" si="10"/>
        <v>2308</v>
      </c>
      <c r="B600" s="429" t="str">
        <f t="shared" si="219"/>
        <v>Charge</v>
      </c>
      <c r="C600" s="221">
        <f t="shared" ref="C600:E600" si="234">C240</f>
        <v>0</v>
      </c>
      <c r="D600" s="221">
        <f t="shared" si="234"/>
        <v>0.9775626664</v>
      </c>
      <c r="E600" s="221">
        <f t="shared" si="234"/>
        <v>0</v>
      </c>
      <c r="F600" s="221">
        <f t="shared" si="12"/>
        <v>8587.133659</v>
      </c>
      <c r="G600" s="438">
        <f t="shared" si="4"/>
        <v>0.1538692241</v>
      </c>
      <c r="H600" s="220" t="str">
        <f t="shared" si="13"/>
        <v>Default standby Charge</v>
      </c>
      <c r="I600" s="182"/>
      <c r="J600" s="182"/>
      <c r="K600" s="11"/>
      <c r="L600" s="182"/>
      <c r="M600" s="182"/>
      <c r="N600" s="182"/>
      <c r="O600" s="182"/>
      <c r="P600" s="11"/>
      <c r="Q600" s="11"/>
      <c r="R600" s="11"/>
      <c r="S600" s="11"/>
      <c r="T600" s="11"/>
      <c r="U600" s="11"/>
      <c r="V600" s="11"/>
      <c r="W600" s="11"/>
      <c r="X600" s="11"/>
      <c r="Y600" s="11"/>
      <c r="Z600" s="11"/>
      <c r="AA600" s="11"/>
    </row>
    <row r="601" ht="15.75" customHeight="1">
      <c r="A601" s="435">
        <f t="shared" si="10"/>
        <v>2312</v>
      </c>
      <c r="B601" s="429" t="str">
        <f t="shared" si="219"/>
        <v>Charge</v>
      </c>
      <c r="C601" s="221">
        <f t="shared" ref="C601:E601" si="235">C241</f>
        <v>0</v>
      </c>
      <c r="D601" s="221">
        <f t="shared" si="235"/>
        <v>0.9775626664</v>
      </c>
      <c r="E601" s="221">
        <f t="shared" si="235"/>
        <v>0</v>
      </c>
      <c r="F601" s="221">
        <f t="shared" si="12"/>
        <v>8588.111221</v>
      </c>
      <c r="G601" s="438">
        <f t="shared" si="4"/>
        <v>0.1538867406</v>
      </c>
      <c r="H601" s="220" t="str">
        <f t="shared" si="13"/>
        <v>Default standby Charge</v>
      </c>
      <c r="I601" s="182"/>
      <c r="J601" s="182"/>
      <c r="K601" s="11"/>
      <c r="L601" s="182"/>
      <c r="M601" s="182"/>
      <c r="N601" s="182"/>
      <c r="O601" s="182"/>
      <c r="P601" s="11"/>
      <c r="Q601" s="11"/>
      <c r="R601" s="11"/>
      <c r="S601" s="11"/>
      <c r="T601" s="11"/>
      <c r="U601" s="11"/>
      <c r="V601" s="11"/>
      <c r="W601" s="11"/>
      <c r="X601" s="11"/>
      <c r="Y601" s="11"/>
      <c r="Z601" s="11"/>
      <c r="AA601" s="11"/>
    </row>
    <row r="602" ht="15.75" customHeight="1">
      <c r="A602" s="435">
        <f t="shared" si="10"/>
        <v>2316</v>
      </c>
      <c r="B602" s="429" t="str">
        <f t="shared" si="219"/>
        <v>Charge</v>
      </c>
      <c r="C602" s="221">
        <f t="shared" ref="C602:E602" si="236">C242</f>
        <v>0</v>
      </c>
      <c r="D602" s="221">
        <f t="shared" si="236"/>
        <v>0.9775626664</v>
      </c>
      <c r="E602" s="221">
        <f t="shared" si="236"/>
        <v>0</v>
      </c>
      <c r="F602" s="221">
        <f t="shared" si="12"/>
        <v>8589.088784</v>
      </c>
      <c r="G602" s="438">
        <f t="shared" si="4"/>
        <v>0.1539042572</v>
      </c>
      <c r="H602" s="220" t="str">
        <f t="shared" si="13"/>
        <v>Default standby Charge</v>
      </c>
      <c r="I602" s="182"/>
      <c r="J602" s="182"/>
      <c r="K602" s="11"/>
      <c r="L602" s="182"/>
      <c r="M602" s="182"/>
      <c r="N602" s="182"/>
      <c r="O602" s="182"/>
      <c r="P602" s="11"/>
      <c r="Q602" s="11"/>
      <c r="R602" s="11"/>
      <c r="S602" s="11"/>
      <c r="T602" s="11"/>
      <c r="U602" s="11"/>
      <c r="V602" s="11"/>
      <c r="W602" s="11"/>
      <c r="X602" s="11"/>
      <c r="Y602" s="11"/>
      <c r="Z602" s="11"/>
      <c r="AA602" s="11"/>
    </row>
    <row r="603" ht="15.75" customHeight="1">
      <c r="A603" s="435">
        <f t="shared" si="10"/>
        <v>2320</v>
      </c>
      <c r="B603" s="429" t="str">
        <f t="shared" si="219"/>
        <v>Charge</v>
      </c>
      <c r="C603" s="221">
        <f t="shared" ref="C603:E603" si="237">C243</f>
        <v>0</v>
      </c>
      <c r="D603" s="221">
        <f t="shared" si="237"/>
        <v>0.9775626664</v>
      </c>
      <c r="E603" s="221">
        <f t="shared" si="237"/>
        <v>0</v>
      </c>
      <c r="F603" s="221">
        <f t="shared" si="12"/>
        <v>8590.066347</v>
      </c>
      <c r="G603" s="438">
        <f t="shared" si="4"/>
        <v>0.1539217737</v>
      </c>
      <c r="H603" s="220" t="str">
        <f t="shared" si="13"/>
        <v>Default standby Charge</v>
      </c>
      <c r="I603" s="182"/>
      <c r="J603" s="182"/>
      <c r="K603" s="11"/>
      <c r="L603" s="182"/>
      <c r="M603" s="182"/>
      <c r="N603" s="182"/>
      <c r="O603" s="182"/>
      <c r="P603" s="11"/>
      <c r="Q603" s="11"/>
      <c r="R603" s="11"/>
      <c r="S603" s="11"/>
      <c r="T603" s="11"/>
      <c r="U603" s="11"/>
      <c r="V603" s="11"/>
      <c r="W603" s="11"/>
      <c r="X603" s="11"/>
      <c r="Y603" s="11"/>
      <c r="Z603" s="11"/>
      <c r="AA603" s="11"/>
    </row>
    <row r="604" ht="15.75" customHeight="1">
      <c r="A604" s="435">
        <f t="shared" si="10"/>
        <v>2324</v>
      </c>
      <c r="B604" s="429" t="str">
        <f t="shared" si="219"/>
        <v>Charge</v>
      </c>
      <c r="C604" s="221">
        <f t="shared" ref="C604:E604" si="238">C244</f>
        <v>0</v>
      </c>
      <c r="D604" s="221">
        <f t="shared" si="238"/>
        <v>0.9775626664</v>
      </c>
      <c r="E604" s="221">
        <f t="shared" si="238"/>
        <v>0</v>
      </c>
      <c r="F604" s="221">
        <f t="shared" si="12"/>
        <v>8591.043909</v>
      </c>
      <c r="G604" s="438">
        <f t="shared" si="4"/>
        <v>0.1539392902</v>
      </c>
      <c r="H604" s="220" t="str">
        <f t="shared" si="13"/>
        <v>Default standby Charge</v>
      </c>
      <c r="I604" s="182"/>
      <c r="J604" s="182"/>
      <c r="K604" s="11"/>
      <c r="L604" s="182"/>
      <c r="M604" s="182"/>
      <c r="N604" s="182"/>
      <c r="O604" s="182"/>
      <c r="P604" s="11"/>
      <c r="Q604" s="11"/>
      <c r="R604" s="11"/>
      <c r="S604" s="11"/>
      <c r="T604" s="11"/>
      <c r="U604" s="11"/>
      <c r="V604" s="11"/>
      <c r="W604" s="11"/>
      <c r="X604" s="11"/>
      <c r="Y604" s="11"/>
      <c r="Z604" s="11"/>
      <c r="AA604" s="11"/>
    </row>
    <row r="605" ht="15.75" customHeight="1">
      <c r="A605" s="435">
        <f t="shared" si="10"/>
        <v>2328</v>
      </c>
      <c r="B605" s="429" t="str">
        <f t="shared" si="219"/>
        <v>Charge</v>
      </c>
      <c r="C605" s="221">
        <f t="shared" ref="C605:E605" si="239">C245</f>
        <v>0</v>
      </c>
      <c r="D605" s="221">
        <f t="shared" si="239"/>
        <v>0.9775626664</v>
      </c>
      <c r="E605" s="221">
        <f t="shared" si="239"/>
        <v>0</v>
      </c>
      <c r="F605" s="221">
        <f t="shared" si="12"/>
        <v>8592.021472</v>
      </c>
      <c r="G605" s="438">
        <f t="shared" si="4"/>
        <v>0.1539568068</v>
      </c>
      <c r="H605" s="220" t="str">
        <f t="shared" si="13"/>
        <v>Default standby Charge</v>
      </c>
      <c r="I605" s="182"/>
      <c r="J605" s="182"/>
      <c r="K605" s="11"/>
      <c r="L605" s="182"/>
      <c r="M605" s="182"/>
      <c r="N605" s="182"/>
      <c r="O605" s="182"/>
      <c r="P605" s="11"/>
      <c r="Q605" s="11"/>
      <c r="R605" s="11"/>
      <c r="S605" s="11"/>
      <c r="T605" s="11"/>
      <c r="U605" s="11"/>
      <c r="V605" s="11"/>
      <c r="W605" s="11"/>
      <c r="X605" s="11"/>
      <c r="Y605" s="11"/>
      <c r="Z605" s="11"/>
      <c r="AA605" s="11"/>
    </row>
    <row r="606" ht="15.75" customHeight="1">
      <c r="A606" s="435">
        <f t="shared" si="10"/>
        <v>2332</v>
      </c>
      <c r="B606" s="429" t="str">
        <f t="shared" si="219"/>
        <v>Charge</v>
      </c>
      <c r="C606" s="221">
        <f t="shared" ref="C606:E606" si="240">C246</f>
        <v>0</v>
      </c>
      <c r="D606" s="221">
        <f t="shared" si="240"/>
        <v>0.9775626664</v>
      </c>
      <c r="E606" s="221">
        <f t="shared" si="240"/>
        <v>0</v>
      </c>
      <c r="F606" s="221">
        <f t="shared" si="12"/>
        <v>8592.999035</v>
      </c>
      <c r="G606" s="438">
        <f t="shared" si="4"/>
        <v>0.1539743233</v>
      </c>
      <c r="H606" s="220" t="str">
        <f t="shared" si="13"/>
        <v>Default standby Charge</v>
      </c>
      <c r="I606" s="182"/>
      <c r="J606" s="182"/>
      <c r="K606" s="11"/>
      <c r="L606" s="182"/>
      <c r="M606" s="182"/>
      <c r="N606" s="182"/>
      <c r="O606" s="182"/>
      <c r="P606" s="11"/>
      <c r="Q606" s="11"/>
      <c r="R606" s="11"/>
      <c r="S606" s="11"/>
      <c r="T606" s="11"/>
      <c r="U606" s="11"/>
      <c r="V606" s="11"/>
      <c r="W606" s="11"/>
      <c r="X606" s="11"/>
      <c r="Y606" s="11"/>
      <c r="Z606" s="11"/>
      <c r="AA606" s="11"/>
    </row>
    <row r="607" ht="15.75" customHeight="1">
      <c r="A607" s="435">
        <f t="shared" si="10"/>
        <v>2336</v>
      </c>
      <c r="B607" s="429" t="str">
        <f t="shared" si="219"/>
        <v>Charge</v>
      </c>
      <c r="C607" s="221">
        <f t="shared" ref="C607:E607" si="241">C247</f>
        <v>0</v>
      </c>
      <c r="D607" s="221">
        <f t="shared" si="241"/>
        <v>0.9775626664</v>
      </c>
      <c r="E607" s="221">
        <f t="shared" si="241"/>
        <v>0</v>
      </c>
      <c r="F607" s="221">
        <f t="shared" si="12"/>
        <v>8593.976597</v>
      </c>
      <c r="G607" s="438">
        <f t="shared" si="4"/>
        <v>0.1539918398</v>
      </c>
      <c r="H607" s="220" t="str">
        <f t="shared" si="13"/>
        <v>Default standby Charge</v>
      </c>
      <c r="I607" s="182"/>
      <c r="J607" s="182"/>
      <c r="K607" s="11"/>
      <c r="L607" s="182"/>
      <c r="M607" s="182"/>
      <c r="N607" s="182"/>
      <c r="O607" s="182"/>
      <c r="P607" s="11"/>
      <c r="Q607" s="11"/>
      <c r="R607" s="11"/>
      <c r="S607" s="11"/>
      <c r="T607" s="11"/>
      <c r="U607" s="11"/>
      <c r="V607" s="11"/>
      <c r="W607" s="11"/>
      <c r="X607" s="11"/>
      <c r="Y607" s="11"/>
      <c r="Z607" s="11"/>
      <c r="AA607" s="11"/>
    </row>
    <row r="608" ht="15.75" customHeight="1">
      <c r="A608" s="435">
        <f t="shared" si="10"/>
        <v>2340</v>
      </c>
      <c r="B608" s="429" t="str">
        <f t="shared" si="219"/>
        <v>Charge</v>
      </c>
      <c r="C608" s="221">
        <f t="shared" ref="C608:E608" si="242">C248</f>
        <v>0</v>
      </c>
      <c r="D608" s="221">
        <f t="shared" si="242"/>
        <v>0.9775626664</v>
      </c>
      <c r="E608" s="221">
        <f t="shared" si="242"/>
        <v>0</v>
      </c>
      <c r="F608" s="221">
        <f t="shared" si="12"/>
        <v>8594.95416</v>
      </c>
      <c r="G608" s="438">
        <f t="shared" si="4"/>
        <v>0.1540093564</v>
      </c>
      <c r="H608" s="220" t="str">
        <f t="shared" si="13"/>
        <v>Default standby Charge</v>
      </c>
      <c r="I608" s="182"/>
      <c r="J608" s="182"/>
      <c r="K608" s="11"/>
      <c r="L608" s="182"/>
      <c r="M608" s="182"/>
      <c r="N608" s="182"/>
      <c r="O608" s="182"/>
      <c r="P608" s="11"/>
      <c r="Q608" s="11"/>
      <c r="R608" s="11"/>
      <c r="S608" s="11"/>
      <c r="T608" s="11"/>
      <c r="U608" s="11"/>
      <c r="V608" s="11"/>
      <c r="W608" s="11"/>
      <c r="X608" s="11"/>
      <c r="Y608" s="11"/>
      <c r="Z608" s="11"/>
      <c r="AA608" s="11"/>
    </row>
    <row r="609" ht="15.75" customHeight="1">
      <c r="A609" s="435">
        <f t="shared" si="10"/>
        <v>2344</v>
      </c>
      <c r="B609" s="429" t="str">
        <f t="shared" si="219"/>
        <v>Charge</v>
      </c>
      <c r="C609" s="221">
        <f t="shared" ref="C609:E609" si="243">C249</f>
        <v>0</v>
      </c>
      <c r="D609" s="221">
        <f t="shared" si="243"/>
        <v>0.9775626664</v>
      </c>
      <c r="E609" s="221">
        <f t="shared" si="243"/>
        <v>0</v>
      </c>
      <c r="F609" s="221">
        <f t="shared" si="12"/>
        <v>8595.931723</v>
      </c>
      <c r="G609" s="438">
        <f t="shared" si="4"/>
        <v>0.1540268729</v>
      </c>
      <c r="H609" s="220" t="str">
        <f t="shared" si="13"/>
        <v>Default standby Charge</v>
      </c>
      <c r="I609" s="182"/>
      <c r="J609" s="182"/>
      <c r="K609" s="11"/>
      <c r="L609" s="182"/>
      <c r="M609" s="182"/>
      <c r="N609" s="182"/>
      <c r="O609" s="182"/>
      <c r="P609" s="11"/>
      <c r="Q609" s="11"/>
      <c r="R609" s="11"/>
      <c r="S609" s="11"/>
      <c r="T609" s="11"/>
      <c r="U609" s="11"/>
      <c r="V609" s="11"/>
      <c r="W609" s="11"/>
      <c r="X609" s="11"/>
      <c r="Y609" s="11"/>
      <c r="Z609" s="11"/>
      <c r="AA609" s="11"/>
    </row>
    <row r="610" ht="15.75" customHeight="1">
      <c r="A610" s="435">
        <f t="shared" si="10"/>
        <v>2348</v>
      </c>
      <c r="B610" s="429" t="str">
        <f t="shared" si="219"/>
        <v>Charge</v>
      </c>
      <c r="C610" s="221">
        <f t="shared" ref="C610:E610" si="244">C250</f>
        <v>0</v>
      </c>
      <c r="D610" s="221">
        <f t="shared" si="244"/>
        <v>0.9775626664</v>
      </c>
      <c r="E610" s="221">
        <f t="shared" si="244"/>
        <v>0</v>
      </c>
      <c r="F610" s="221">
        <f t="shared" si="12"/>
        <v>8596.909285</v>
      </c>
      <c r="G610" s="438">
        <f t="shared" si="4"/>
        <v>0.1540443894</v>
      </c>
      <c r="H610" s="220" t="str">
        <f t="shared" si="13"/>
        <v>Default standby Charge</v>
      </c>
      <c r="I610" s="182"/>
      <c r="J610" s="182"/>
      <c r="K610" s="11"/>
      <c r="L610" s="182"/>
      <c r="M610" s="182"/>
      <c r="N610" s="182"/>
      <c r="O610" s="182"/>
      <c r="P610" s="11"/>
      <c r="Q610" s="11"/>
      <c r="R610" s="11"/>
      <c r="S610" s="11"/>
      <c r="T610" s="11"/>
      <c r="U610" s="11"/>
      <c r="V610" s="11"/>
      <c r="W610" s="11"/>
      <c r="X610" s="11"/>
      <c r="Y610" s="11"/>
      <c r="Z610" s="11"/>
      <c r="AA610" s="11"/>
    </row>
    <row r="611" ht="15.75" customHeight="1">
      <c r="A611" s="435">
        <f t="shared" si="10"/>
        <v>2352</v>
      </c>
      <c r="B611" s="429" t="str">
        <f t="shared" si="219"/>
        <v>Charge</v>
      </c>
      <c r="C611" s="221">
        <f t="shared" ref="C611:E611" si="245">C251</f>
        <v>0</v>
      </c>
      <c r="D611" s="221">
        <f t="shared" si="245"/>
        <v>0.9775626664</v>
      </c>
      <c r="E611" s="221">
        <f t="shared" si="245"/>
        <v>0</v>
      </c>
      <c r="F611" s="221">
        <f t="shared" si="12"/>
        <v>8597.886848</v>
      </c>
      <c r="G611" s="438">
        <f t="shared" si="4"/>
        <v>0.154061906</v>
      </c>
      <c r="H611" s="220" t="str">
        <f t="shared" si="13"/>
        <v>Default standby Charge</v>
      </c>
      <c r="I611" s="182"/>
      <c r="J611" s="182"/>
      <c r="K611" s="11"/>
      <c r="L611" s="182"/>
      <c r="M611" s="182"/>
      <c r="N611" s="182"/>
      <c r="O611" s="182"/>
      <c r="P611" s="11"/>
      <c r="Q611" s="11"/>
      <c r="R611" s="11"/>
      <c r="S611" s="11"/>
      <c r="T611" s="11"/>
      <c r="U611" s="11"/>
      <c r="V611" s="11"/>
      <c r="W611" s="11"/>
      <c r="X611" s="11"/>
      <c r="Y611" s="11"/>
      <c r="Z611" s="11"/>
      <c r="AA611" s="11"/>
    </row>
    <row r="612" ht="15.75" customHeight="1">
      <c r="A612" s="435">
        <f t="shared" si="10"/>
        <v>2356</v>
      </c>
      <c r="B612" s="429" t="str">
        <f t="shared" si="219"/>
        <v>Charge</v>
      </c>
      <c r="C612" s="221">
        <f t="shared" ref="C612:E612" si="246">C252</f>
        <v>0</v>
      </c>
      <c r="D612" s="221">
        <f t="shared" si="246"/>
        <v>0.9775626664</v>
      </c>
      <c r="E612" s="221">
        <f t="shared" si="246"/>
        <v>0</v>
      </c>
      <c r="F612" s="221">
        <f t="shared" si="12"/>
        <v>8598.864411</v>
      </c>
      <c r="G612" s="438">
        <f t="shared" si="4"/>
        <v>0.1540794225</v>
      </c>
      <c r="H612" s="220" t="str">
        <f t="shared" si="13"/>
        <v>Default standby Charge</v>
      </c>
      <c r="I612" s="182"/>
      <c r="J612" s="182"/>
      <c r="K612" s="11"/>
      <c r="L612" s="182"/>
      <c r="M612" s="182"/>
      <c r="N612" s="182"/>
      <c r="O612" s="182"/>
      <c r="P612" s="11"/>
      <c r="Q612" s="11"/>
      <c r="R612" s="11"/>
      <c r="S612" s="11"/>
      <c r="T612" s="11"/>
      <c r="U612" s="11"/>
      <c r="V612" s="11"/>
      <c r="W612" s="11"/>
      <c r="X612" s="11"/>
      <c r="Y612" s="11"/>
      <c r="Z612" s="11"/>
      <c r="AA612" s="11"/>
    </row>
    <row r="613" ht="15.75" customHeight="1">
      <c r="A613" s="435">
        <f t="shared" si="10"/>
        <v>2360</v>
      </c>
      <c r="B613" s="429" t="str">
        <f t="shared" si="219"/>
        <v>Charge</v>
      </c>
      <c r="C613" s="221">
        <f t="shared" ref="C613:E613" si="247">C253</f>
        <v>0</v>
      </c>
      <c r="D613" s="221">
        <f t="shared" si="247"/>
        <v>0.9775626664</v>
      </c>
      <c r="E613" s="221">
        <f t="shared" si="247"/>
        <v>0</v>
      </c>
      <c r="F613" s="221">
        <f t="shared" si="12"/>
        <v>8599.841973</v>
      </c>
      <c r="G613" s="438">
        <f t="shared" si="4"/>
        <v>0.154096939</v>
      </c>
      <c r="H613" s="220" t="str">
        <f t="shared" si="13"/>
        <v>Default standby Charge</v>
      </c>
      <c r="I613" s="182"/>
      <c r="J613" s="182"/>
      <c r="K613" s="11"/>
      <c r="L613" s="182"/>
      <c r="M613" s="182"/>
      <c r="N613" s="182"/>
      <c r="O613" s="182"/>
      <c r="P613" s="11"/>
      <c r="Q613" s="11"/>
      <c r="R613" s="11"/>
      <c r="S613" s="11"/>
      <c r="T613" s="11"/>
      <c r="U613" s="11"/>
      <c r="V613" s="11"/>
      <c r="W613" s="11"/>
      <c r="X613" s="11"/>
      <c r="Y613" s="11"/>
      <c r="Z613" s="11"/>
      <c r="AA613" s="11"/>
    </row>
    <row r="614" ht="15.75" customHeight="1">
      <c r="A614" s="435">
        <f t="shared" si="10"/>
        <v>2364</v>
      </c>
      <c r="B614" s="429" t="str">
        <f t="shared" si="219"/>
        <v>Charge</v>
      </c>
      <c r="C614" s="221">
        <f t="shared" ref="C614:E614" si="248">C254</f>
        <v>0</v>
      </c>
      <c r="D614" s="221">
        <f t="shared" si="248"/>
        <v>0.9775626664</v>
      </c>
      <c r="E614" s="221">
        <f t="shared" si="248"/>
        <v>0</v>
      </c>
      <c r="F614" s="221">
        <f t="shared" si="12"/>
        <v>8600.819536</v>
      </c>
      <c r="G614" s="438">
        <f t="shared" si="4"/>
        <v>0.1541144556</v>
      </c>
      <c r="H614" s="220" t="str">
        <f t="shared" si="13"/>
        <v>Default standby Charge</v>
      </c>
      <c r="I614" s="182"/>
      <c r="J614" s="182"/>
      <c r="K614" s="11"/>
      <c r="L614" s="182"/>
      <c r="M614" s="182"/>
      <c r="N614" s="182"/>
      <c r="O614" s="182"/>
      <c r="P614" s="11"/>
      <c r="Q614" s="11"/>
      <c r="R614" s="11"/>
      <c r="S614" s="11"/>
      <c r="T614" s="11"/>
      <c r="U614" s="11"/>
      <c r="V614" s="11"/>
      <c r="W614" s="11"/>
      <c r="X614" s="11"/>
      <c r="Y614" s="11"/>
      <c r="Z614" s="11"/>
      <c r="AA614" s="11"/>
    </row>
    <row r="615" ht="15.75" customHeight="1">
      <c r="A615" s="435">
        <f t="shared" si="10"/>
        <v>2368</v>
      </c>
      <c r="B615" s="429" t="str">
        <f t="shared" si="219"/>
        <v>Charge</v>
      </c>
      <c r="C615" s="221">
        <f t="shared" ref="C615:E615" si="249">C255</f>
        <v>0</v>
      </c>
      <c r="D615" s="221">
        <f t="shared" si="249"/>
        <v>0.9775626664</v>
      </c>
      <c r="E615" s="221">
        <f t="shared" si="249"/>
        <v>0</v>
      </c>
      <c r="F615" s="221">
        <f t="shared" si="12"/>
        <v>8601.797099</v>
      </c>
      <c r="G615" s="438">
        <f t="shared" si="4"/>
        <v>0.1541319721</v>
      </c>
      <c r="H615" s="220" t="str">
        <f t="shared" si="13"/>
        <v>Default standby Charge</v>
      </c>
      <c r="I615" s="182"/>
      <c r="J615" s="182"/>
      <c r="K615" s="11"/>
      <c r="L615" s="182"/>
      <c r="M615" s="182"/>
      <c r="N615" s="182"/>
      <c r="O615" s="182"/>
      <c r="P615" s="11"/>
      <c r="Q615" s="11"/>
      <c r="R615" s="11"/>
      <c r="S615" s="11"/>
      <c r="T615" s="11"/>
      <c r="U615" s="11"/>
      <c r="V615" s="11"/>
      <c r="W615" s="11"/>
      <c r="X615" s="11"/>
      <c r="Y615" s="11"/>
      <c r="Z615" s="11"/>
      <c r="AA615" s="11"/>
    </row>
    <row r="616" ht="15.75" customHeight="1">
      <c r="A616" s="435">
        <f t="shared" si="10"/>
        <v>2372</v>
      </c>
      <c r="B616" s="429" t="str">
        <f t="shared" si="219"/>
        <v>Charge</v>
      </c>
      <c r="C616" s="221">
        <f t="shared" ref="C616:E616" si="250">C256</f>
        <v>0</v>
      </c>
      <c r="D616" s="221">
        <f t="shared" si="250"/>
        <v>0.9775626664</v>
      </c>
      <c r="E616" s="221">
        <f t="shared" si="250"/>
        <v>0</v>
      </c>
      <c r="F616" s="221">
        <f t="shared" si="12"/>
        <v>8602.774661</v>
      </c>
      <c r="G616" s="438">
        <f t="shared" si="4"/>
        <v>0.1541494886</v>
      </c>
      <c r="H616" s="220" t="str">
        <f t="shared" si="13"/>
        <v>Default standby Charge</v>
      </c>
      <c r="I616" s="182"/>
      <c r="J616" s="182"/>
      <c r="K616" s="11"/>
      <c r="L616" s="182"/>
      <c r="M616" s="182"/>
      <c r="N616" s="182"/>
      <c r="O616" s="182"/>
      <c r="P616" s="11"/>
      <c r="Q616" s="11"/>
      <c r="R616" s="11"/>
      <c r="S616" s="11"/>
      <c r="T616" s="11"/>
      <c r="U616" s="11"/>
      <c r="V616" s="11"/>
      <c r="W616" s="11"/>
      <c r="X616" s="11"/>
      <c r="Y616" s="11"/>
      <c r="Z616" s="11"/>
      <c r="AA616" s="11"/>
    </row>
    <row r="617" ht="15.75" customHeight="1">
      <c r="A617" s="435">
        <f t="shared" si="10"/>
        <v>2376</v>
      </c>
      <c r="B617" s="429" t="str">
        <f t="shared" si="219"/>
        <v>Charge</v>
      </c>
      <c r="C617" s="221">
        <f t="shared" ref="C617:E617" si="251">C257</f>
        <v>0</v>
      </c>
      <c r="D617" s="221">
        <f t="shared" si="251"/>
        <v>0.9775626664</v>
      </c>
      <c r="E617" s="221">
        <f t="shared" si="251"/>
        <v>0</v>
      </c>
      <c r="F617" s="221">
        <f t="shared" si="12"/>
        <v>8603.752224</v>
      </c>
      <c r="G617" s="438">
        <f t="shared" si="4"/>
        <v>0.1541670052</v>
      </c>
      <c r="H617" s="220" t="str">
        <f t="shared" si="13"/>
        <v>Default standby Charge</v>
      </c>
      <c r="I617" s="182"/>
      <c r="J617" s="182"/>
      <c r="K617" s="11"/>
      <c r="L617" s="182"/>
      <c r="M617" s="182"/>
      <c r="N617" s="182"/>
      <c r="O617" s="182"/>
      <c r="P617" s="11"/>
      <c r="Q617" s="11"/>
      <c r="R617" s="11"/>
      <c r="S617" s="11"/>
      <c r="T617" s="11"/>
      <c r="U617" s="11"/>
      <c r="V617" s="11"/>
      <c r="W617" s="11"/>
      <c r="X617" s="11"/>
      <c r="Y617" s="11"/>
      <c r="Z617" s="11"/>
      <c r="AA617" s="11"/>
    </row>
    <row r="618" ht="15.75" customHeight="1">
      <c r="A618" s="435">
        <f t="shared" si="10"/>
        <v>2380</v>
      </c>
      <c r="B618" s="429" t="str">
        <f t="shared" si="219"/>
        <v>Charge</v>
      </c>
      <c r="C618" s="221">
        <f t="shared" ref="C618:E618" si="252">C258</f>
        <v>0</v>
      </c>
      <c r="D618" s="221">
        <f t="shared" si="252"/>
        <v>0.9775626664</v>
      </c>
      <c r="E618" s="221">
        <f t="shared" si="252"/>
        <v>0</v>
      </c>
      <c r="F618" s="221">
        <f t="shared" si="12"/>
        <v>8604.729787</v>
      </c>
      <c r="G618" s="438">
        <f t="shared" si="4"/>
        <v>0.1541845217</v>
      </c>
      <c r="H618" s="220" t="str">
        <f t="shared" si="13"/>
        <v>Default standby Charge</v>
      </c>
      <c r="I618" s="182"/>
      <c r="J618" s="182"/>
      <c r="K618" s="11"/>
      <c r="L618" s="182"/>
      <c r="M618" s="182"/>
      <c r="N618" s="182"/>
      <c r="O618" s="182"/>
      <c r="P618" s="11"/>
      <c r="Q618" s="11"/>
      <c r="R618" s="11"/>
      <c r="S618" s="11"/>
      <c r="T618" s="11"/>
      <c r="U618" s="11"/>
      <c r="V618" s="11"/>
      <c r="W618" s="11"/>
      <c r="X618" s="11"/>
      <c r="Y618" s="11"/>
      <c r="Z618" s="11"/>
      <c r="AA618" s="11"/>
    </row>
    <row r="619" ht="15.75" customHeight="1">
      <c r="A619" s="435">
        <f t="shared" si="10"/>
        <v>2384</v>
      </c>
      <c r="B619" s="429" t="str">
        <f t="shared" si="219"/>
        <v>Charge</v>
      </c>
      <c r="C619" s="221">
        <f t="shared" ref="C619:E619" si="253">C259</f>
        <v>0</v>
      </c>
      <c r="D619" s="221">
        <f t="shared" si="253"/>
        <v>0.9775626664</v>
      </c>
      <c r="E619" s="221">
        <f t="shared" si="253"/>
        <v>0</v>
      </c>
      <c r="F619" s="221">
        <f t="shared" si="12"/>
        <v>8605.707349</v>
      </c>
      <c r="G619" s="438">
        <f t="shared" si="4"/>
        <v>0.1542020382</v>
      </c>
      <c r="H619" s="220" t="str">
        <f t="shared" si="13"/>
        <v>Default standby Charge</v>
      </c>
      <c r="I619" s="182"/>
      <c r="J619" s="182"/>
      <c r="K619" s="11"/>
      <c r="L619" s="182"/>
      <c r="M619" s="182"/>
      <c r="N619" s="182"/>
      <c r="O619" s="182"/>
      <c r="P619" s="11"/>
      <c r="Q619" s="11"/>
      <c r="R619" s="11"/>
      <c r="S619" s="11"/>
      <c r="T619" s="11"/>
      <c r="U619" s="11"/>
      <c r="V619" s="11"/>
      <c r="W619" s="11"/>
      <c r="X619" s="11"/>
      <c r="Y619" s="11"/>
      <c r="Z619" s="11"/>
      <c r="AA619" s="11"/>
    </row>
    <row r="620" ht="15.75" customHeight="1">
      <c r="A620" s="435">
        <f t="shared" si="10"/>
        <v>2388</v>
      </c>
      <c r="B620" s="429" t="str">
        <f t="shared" si="219"/>
        <v>Charge</v>
      </c>
      <c r="C620" s="221">
        <f t="shared" ref="C620:E620" si="254">C260</f>
        <v>0</v>
      </c>
      <c r="D620" s="221">
        <f t="shared" si="254"/>
        <v>0.9775626664</v>
      </c>
      <c r="E620" s="221">
        <f t="shared" si="254"/>
        <v>0</v>
      </c>
      <c r="F620" s="221">
        <f t="shared" si="12"/>
        <v>8606.684912</v>
      </c>
      <c r="G620" s="438">
        <f t="shared" si="4"/>
        <v>0.1542195548</v>
      </c>
      <c r="H620" s="220" t="str">
        <f t="shared" si="13"/>
        <v>Default standby Charge</v>
      </c>
      <c r="I620" s="182"/>
      <c r="J620" s="182"/>
      <c r="K620" s="11"/>
      <c r="L620" s="182"/>
      <c r="M620" s="182"/>
      <c r="N620" s="182"/>
      <c r="O620" s="182"/>
      <c r="P620" s="11"/>
      <c r="Q620" s="11"/>
      <c r="R620" s="11"/>
      <c r="S620" s="11"/>
      <c r="T620" s="11"/>
      <c r="U620" s="11"/>
      <c r="V620" s="11"/>
      <c r="W620" s="11"/>
      <c r="X620" s="11"/>
      <c r="Y620" s="11"/>
      <c r="Z620" s="11"/>
      <c r="AA620" s="11"/>
    </row>
    <row r="621" ht="15.75" customHeight="1">
      <c r="A621" s="435">
        <f t="shared" si="10"/>
        <v>2392</v>
      </c>
      <c r="B621" s="429" t="str">
        <f t="shared" si="219"/>
        <v>Charge</v>
      </c>
      <c r="C621" s="221">
        <f t="shared" ref="C621:E621" si="255">C261</f>
        <v>0</v>
      </c>
      <c r="D621" s="221">
        <f t="shared" si="255"/>
        <v>0.9775626664</v>
      </c>
      <c r="E621" s="221">
        <f t="shared" si="255"/>
        <v>0</v>
      </c>
      <c r="F621" s="221">
        <f t="shared" si="12"/>
        <v>8607.662475</v>
      </c>
      <c r="G621" s="438">
        <f t="shared" si="4"/>
        <v>0.1542370713</v>
      </c>
      <c r="H621" s="220" t="str">
        <f t="shared" si="13"/>
        <v>Default standby Charge</v>
      </c>
      <c r="I621" s="182"/>
      <c r="J621" s="182"/>
      <c r="K621" s="11"/>
      <c r="L621" s="182"/>
      <c r="M621" s="182"/>
      <c r="N621" s="182"/>
      <c r="O621" s="182"/>
      <c r="P621" s="11"/>
      <c r="Q621" s="11"/>
      <c r="R621" s="11"/>
      <c r="S621" s="11"/>
      <c r="T621" s="11"/>
      <c r="U621" s="11"/>
      <c r="V621" s="11"/>
      <c r="W621" s="11"/>
      <c r="X621" s="11"/>
      <c r="Y621" s="11"/>
      <c r="Z621" s="11"/>
      <c r="AA621" s="11"/>
    </row>
    <row r="622" ht="15.75" customHeight="1">
      <c r="A622" s="435">
        <f t="shared" si="10"/>
        <v>2396</v>
      </c>
      <c r="B622" s="429" t="str">
        <f t="shared" si="219"/>
        <v>Charge</v>
      </c>
      <c r="C622" s="221">
        <f t="shared" ref="C622:E622" si="256">C262</f>
        <v>0</v>
      </c>
      <c r="D622" s="221">
        <f t="shared" si="256"/>
        <v>0.9775626664</v>
      </c>
      <c r="E622" s="221">
        <f t="shared" si="256"/>
        <v>0</v>
      </c>
      <c r="F622" s="221">
        <f t="shared" si="12"/>
        <v>8608.640037</v>
      </c>
      <c r="G622" s="438">
        <f t="shared" si="4"/>
        <v>0.1542545878</v>
      </c>
      <c r="H622" s="220" t="str">
        <f t="shared" si="13"/>
        <v>Default standby Charge</v>
      </c>
      <c r="I622" s="182"/>
      <c r="J622" s="182"/>
      <c r="K622" s="11"/>
      <c r="L622" s="182"/>
      <c r="M622" s="182"/>
      <c r="N622" s="182"/>
      <c r="O622" s="182"/>
      <c r="P622" s="11"/>
      <c r="Q622" s="11"/>
      <c r="R622" s="11"/>
      <c r="S622" s="11"/>
      <c r="T622" s="11"/>
      <c r="U622" s="11"/>
      <c r="V622" s="11"/>
      <c r="W622" s="11"/>
      <c r="X622" s="11"/>
      <c r="Y622" s="11"/>
      <c r="Z622" s="11"/>
      <c r="AA622" s="11"/>
    </row>
    <row r="623" ht="15.75" customHeight="1">
      <c r="A623" s="435">
        <f t="shared" si="10"/>
        <v>2400</v>
      </c>
      <c r="B623" s="429" t="str">
        <f t="shared" si="219"/>
        <v>Charge</v>
      </c>
      <c r="C623" s="221">
        <f t="shared" ref="C623:E623" si="257">C263</f>
        <v>0</v>
      </c>
      <c r="D623" s="221">
        <f t="shared" si="257"/>
        <v>0.9775626664</v>
      </c>
      <c r="E623" s="221">
        <f t="shared" si="257"/>
        <v>0</v>
      </c>
      <c r="F623" s="221">
        <f t="shared" si="12"/>
        <v>8609.6176</v>
      </c>
      <c r="G623" s="438">
        <f t="shared" si="4"/>
        <v>0.1542721044</v>
      </c>
      <c r="H623" s="220" t="str">
        <f t="shared" si="13"/>
        <v>Default standby Charge</v>
      </c>
      <c r="I623" s="182"/>
      <c r="J623" s="182"/>
      <c r="K623" s="11"/>
      <c r="L623" s="182"/>
      <c r="M623" s="182"/>
      <c r="N623" s="182"/>
      <c r="O623" s="182"/>
      <c r="P623" s="11"/>
      <c r="Q623" s="11"/>
      <c r="R623" s="11"/>
      <c r="S623" s="11"/>
      <c r="T623" s="11"/>
      <c r="U623" s="11"/>
      <c r="V623" s="11"/>
      <c r="W623" s="11"/>
      <c r="X623" s="11"/>
      <c r="Y623" s="11"/>
      <c r="Z623" s="11"/>
      <c r="AA623" s="11"/>
    </row>
    <row r="624" ht="15.75" customHeight="1">
      <c r="A624" s="435">
        <f t="shared" si="10"/>
        <v>2404</v>
      </c>
      <c r="B624" s="429" t="str">
        <f t="shared" si="219"/>
        <v>Charge</v>
      </c>
      <c r="C624" s="221">
        <f t="shared" ref="C624:E624" si="258">C264</f>
        <v>0</v>
      </c>
      <c r="D624" s="221">
        <f t="shared" si="258"/>
        <v>0.9775626664</v>
      </c>
      <c r="E624" s="221">
        <f t="shared" si="258"/>
        <v>0</v>
      </c>
      <c r="F624" s="221">
        <f t="shared" si="12"/>
        <v>8610.595163</v>
      </c>
      <c r="G624" s="438">
        <f t="shared" si="4"/>
        <v>0.1542896209</v>
      </c>
      <c r="H624" s="220" t="str">
        <f t="shared" si="13"/>
        <v>Default standby Charge</v>
      </c>
      <c r="I624" s="182"/>
      <c r="J624" s="182"/>
      <c r="K624" s="11"/>
      <c r="L624" s="182"/>
      <c r="M624" s="182"/>
      <c r="N624" s="182"/>
      <c r="O624" s="182"/>
      <c r="P624" s="11"/>
      <c r="Q624" s="11"/>
      <c r="R624" s="11"/>
      <c r="S624" s="11"/>
      <c r="T624" s="11"/>
      <c r="U624" s="11"/>
      <c r="V624" s="11"/>
      <c r="W624" s="11"/>
      <c r="X624" s="11"/>
      <c r="Y624" s="11"/>
      <c r="Z624" s="11"/>
      <c r="AA624" s="11"/>
    </row>
    <row r="625" ht="15.75" customHeight="1">
      <c r="A625" s="435">
        <f t="shared" si="10"/>
        <v>2408</v>
      </c>
      <c r="B625" s="429" t="str">
        <f t="shared" si="219"/>
        <v>Charge</v>
      </c>
      <c r="C625" s="221">
        <f t="shared" ref="C625:E625" si="259">C265</f>
        <v>0</v>
      </c>
      <c r="D625" s="221">
        <f t="shared" si="259"/>
        <v>0.9775626664</v>
      </c>
      <c r="E625" s="221">
        <f t="shared" si="259"/>
        <v>0</v>
      </c>
      <c r="F625" s="221">
        <f t="shared" si="12"/>
        <v>8611.572725</v>
      </c>
      <c r="G625" s="438">
        <f t="shared" si="4"/>
        <v>0.1543071374</v>
      </c>
      <c r="H625" s="220" t="str">
        <f t="shared" si="13"/>
        <v>Default standby Charge</v>
      </c>
      <c r="I625" s="182"/>
      <c r="J625" s="182"/>
      <c r="K625" s="11"/>
      <c r="L625" s="182"/>
      <c r="M625" s="182"/>
      <c r="N625" s="182"/>
      <c r="O625" s="182"/>
      <c r="P625" s="11"/>
      <c r="Q625" s="11"/>
      <c r="R625" s="11"/>
      <c r="S625" s="11"/>
      <c r="T625" s="11"/>
      <c r="U625" s="11"/>
      <c r="V625" s="11"/>
      <c r="W625" s="11"/>
      <c r="X625" s="11"/>
      <c r="Y625" s="11"/>
      <c r="Z625" s="11"/>
      <c r="AA625" s="11"/>
    </row>
    <row r="626" ht="15.75" customHeight="1">
      <c r="A626" s="435">
        <f t="shared" si="10"/>
        <v>2412</v>
      </c>
      <c r="B626" s="429" t="str">
        <f t="shared" si="219"/>
        <v>Charge</v>
      </c>
      <c r="C626" s="221">
        <f t="shared" ref="C626:E626" si="260">C266</f>
        <v>0</v>
      </c>
      <c r="D626" s="221">
        <f t="shared" si="260"/>
        <v>0.9775626664</v>
      </c>
      <c r="E626" s="221">
        <f t="shared" si="260"/>
        <v>0</v>
      </c>
      <c r="F626" s="221">
        <f t="shared" si="12"/>
        <v>8612.550288</v>
      </c>
      <c r="G626" s="438">
        <f t="shared" si="4"/>
        <v>0.154324654</v>
      </c>
      <c r="H626" s="220" t="str">
        <f t="shared" si="13"/>
        <v>Default standby Charge</v>
      </c>
      <c r="I626" s="182"/>
      <c r="J626" s="182"/>
      <c r="K626" s="11"/>
      <c r="L626" s="182"/>
      <c r="M626" s="182"/>
      <c r="N626" s="182"/>
      <c r="O626" s="182"/>
      <c r="P626" s="11"/>
      <c r="Q626" s="11"/>
      <c r="R626" s="11"/>
      <c r="S626" s="11"/>
      <c r="T626" s="11"/>
      <c r="U626" s="11"/>
      <c r="V626" s="11"/>
      <c r="W626" s="11"/>
      <c r="X626" s="11"/>
      <c r="Y626" s="11"/>
      <c r="Z626" s="11"/>
      <c r="AA626" s="11"/>
    </row>
    <row r="627" ht="15.75" customHeight="1">
      <c r="A627" s="435">
        <f t="shared" si="10"/>
        <v>2416</v>
      </c>
      <c r="B627" s="429" t="str">
        <f t="shared" si="219"/>
        <v>Charge</v>
      </c>
      <c r="C627" s="221">
        <f t="shared" ref="C627:E627" si="261">C267</f>
        <v>0</v>
      </c>
      <c r="D627" s="221">
        <f t="shared" si="261"/>
        <v>0.9775626664</v>
      </c>
      <c r="E627" s="221">
        <f t="shared" si="261"/>
        <v>0</v>
      </c>
      <c r="F627" s="221">
        <f t="shared" si="12"/>
        <v>8613.527851</v>
      </c>
      <c r="G627" s="438">
        <f t="shared" si="4"/>
        <v>0.1543421705</v>
      </c>
      <c r="H627" s="220" t="str">
        <f t="shared" si="13"/>
        <v>Default standby Charge</v>
      </c>
      <c r="I627" s="182"/>
      <c r="J627" s="182"/>
      <c r="K627" s="11"/>
      <c r="L627" s="182"/>
      <c r="M627" s="182"/>
      <c r="N627" s="182"/>
      <c r="O627" s="182"/>
      <c r="P627" s="11"/>
      <c r="Q627" s="11"/>
      <c r="R627" s="11"/>
      <c r="S627" s="11"/>
      <c r="T627" s="11"/>
      <c r="U627" s="11"/>
      <c r="V627" s="11"/>
      <c r="W627" s="11"/>
      <c r="X627" s="11"/>
      <c r="Y627" s="11"/>
      <c r="Z627" s="11"/>
      <c r="AA627" s="11"/>
    </row>
    <row r="628" ht="15.75" customHeight="1">
      <c r="A628" s="435">
        <f t="shared" si="10"/>
        <v>2420</v>
      </c>
      <c r="B628" s="429" t="str">
        <f t="shared" si="219"/>
        <v>Charge</v>
      </c>
      <c r="C628" s="221">
        <f t="shared" ref="C628:E628" si="262">C268</f>
        <v>0</v>
      </c>
      <c r="D628" s="221">
        <f t="shared" si="262"/>
        <v>0.9775626664</v>
      </c>
      <c r="E628" s="221">
        <f t="shared" si="262"/>
        <v>0</v>
      </c>
      <c r="F628" s="221">
        <f t="shared" si="12"/>
        <v>8614.505413</v>
      </c>
      <c r="G628" s="438">
        <f t="shared" si="4"/>
        <v>0.154359687</v>
      </c>
      <c r="H628" s="220" t="str">
        <f t="shared" si="13"/>
        <v>Default standby Charge</v>
      </c>
      <c r="I628" s="182"/>
      <c r="J628" s="182"/>
      <c r="K628" s="11"/>
      <c r="L628" s="182"/>
      <c r="M628" s="182"/>
      <c r="N628" s="182"/>
      <c r="O628" s="182"/>
      <c r="P628" s="11"/>
      <c r="Q628" s="11"/>
      <c r="R628" s="11"/>
      <c r="S628" s="11"/>
      <c r="T628" s="11"/>
      <c r="U628" s="11"/>
      <c r="V628" s="11"/>
      <c r="W628" s="11"/>
      <c r="X628" s="11"/>
      <c r="Y628" s="11"/>
      <c r="Z628" s="11"/>
      <c r="AA628" s="11"/>
    </row>
    <row r="629" ht="15.75" customHeight="1">
      <c r="A629" s="435">
        <f t="shared" si="10"/>
        <v>2424</v>
      </c>
      <c r="B629" s="429" t="str">
        <f t="shared" si="219"/>
        <v>Charge</v>
      </c>
      <c r="C629" s="221">
        <f t="shared" ref="C629:E629" si="263">C269</f>
        <v>0</v>
      </c>
      <c r="D629" s="221">
        <f t="shared" si="263"/>
        <v>0.9775626664</v>
      </c>
      <c r="E629" s="221">
        <f t="shared" si="263"/>
        <v>0</v>
      </c>
      <c r="F629" s="221">
        <f t="shared" si="12"/>
        <v>8615.482976</v>
      </c>
      <c r="G629" s="438">
        <f t="shared" si="4"/>
        <v>0.1543772036</v>
      </c>
      <c r="H629" s="220" t="str">
        <f t="shared" si="13"/>
        <v>Default standby Charge</v>
      </c>
      <c r="I629" s="182"/>
      <c r="J629" s="182"/>
      <c r="K629" s="11"/>
      <c r="L629" s="182"/>
      <c r="M629" s="182"/>
      <c r="N629" s="182"/>
      <c r="O629" s="182"/>
      <c r="P629" s="11"/>
      <c r="Q629" s="11"/>
      <c r="R629" s="11"/>
      <c r="S629" s="11"/>
      <c r="T629" s="11"/>
      <c r="U629" s="11"/>
      <c r="V629" s="11"/>
      <c r="W629" s="11"/>
      <c r="X629" s="11"/>
      <c r="Y629" s="11"/>
      <c r="Z629" s="11"/>
      <c r="AA629" s="11"/>
    </row>
    <row r="630" ht="15.75" customHeight="1">
      <c r="A630" s="435">
        <f t="shared" si="10"/>
        <v>2428</v>
      </c>
      <c r="B630" s="429" t="str">
        <f t="shared" si="219"/>
        <v>Charge</v>
      </c>
      <c r="C630" s="221">
        <f t="shared" ref="C630:E630" si="264">C270</f>
        <v>0</v>
      </c>
      <c r="D630" s="221">
        <f t="shared" si="264"/>
        <v>0.9775626664</v>
      </c>
      <c r="E630" s="221">
        <f t="shared" si="264"/>
        <v>0</v>
      </c>
      <c r="F630" s="221">
        <f t="shared" si="12"/>
        <v>8616.460539</v>
      </c>
      <c r="G630" s="438">
        <f t="shared" si="4"/>
        <v>0.1543947201</v>
      </c>
      <c r="H630" s="220" t="str">
        <f t="shared" si="13"/>
        <v>Default standby Charge</v>
      </c>
      <c r="I630" s="182"/>
      <c r="J630" s="182"/>
      <c r="K630" s="11"/>
      <c r="L630" s="182"/>
      <c r="M630" s="182"/>
      <c r="N630" s="182"/>
      <c r="O630" s="182"/>
      <c r="P630" s="11"/>
      <c r="Q630" s="11"/>
      <c r="R630" s="11"/>
      <c r="S630" s="11"/>
      <c r="T630" s="11"/>
      <c r="U630" s="11"/>
      <c r="V630" s="11"/>
      <c r="W630" s="11"/>
      <c r="X630" s="11"/>
      <c r="Y630" s="11"/>
      <c r="Z630" s="11"/>
      <c r="AA630" s="11"/>
    </row>
    <row r="631" ht="15.75" customHeight="1">
      <c r="A631" s="435">
        <f t="shared" si="10"/>
        <v>2432</v>
      </c>
      <c r="B631" s="429" t="str">
        <f t="shared" si="219"/>
        <v>Charge</v>
      </c>
      <c r="C631" s="221">
        <f t="shared" ref="C631:E631" si="265">C271</f>
        <v>0</v>
      </c>
      <c r="D631" s="221">
        <f t="shared" si="265"/>
        <v>0.9775626664</v>
      </c>
      <c r="E631" s="221">
        <f t="shared" si="265"/>
        <v>0</v>
      </c>
      <c r="F631" s="221">
        <f t="shared" si="12"/>
        <v>8617.438101</v>
      </c>
      <c r="G631" s="438">
        <f t="shared" si="4"/>
        <v>0.1544122366</v>
      </c>
      <c r="H631" s="220" t="str">
        <f t="shared" si="13"/>
        <v>Default standby Charge</v>
      </c>
      <c r="I631" s="182"/>
      <c r="J631" s="182"/>
      <c r="K631" s="11"/>
      <c r="L631" s="182"/>
      <c r="M631" s="182"/>
      <c r="N631" s="182"/>
      <c r="O631" s="182"/>
      <c r="P631" s="11"/>
      <c r="Q631" s="11"/>
      <c r="R631" s="11"/>
      <c r="S631" s="11"/>
      <c r="T631" s="11"/>
      <c r="U631" s="11"/>
      <c r="V631" s="11"/>
      <c r="W631" s="11"/>
      <c r="X631" s="11"/>
      <c r="Y631" s="11"/>
      <c r="Z631" s="11"/>
      <c r="AA631" s="11"/>
    </row>
    <row r="632" ht="15.75" customHeight="1">
      <c r="A632" s="435">
        <f t="shared" si="10"/>
        <v>2436</v>
      </c>
      <c r="B632" s="429" t="str">
        <f t="shared" si="219"/>
        <v>Charge</v>
      </c>
      <c r="C632" s="221">
        <f t="shared" ref="C632:E632" si="266">C272</f>
        <v>0</v>
      </c>
      <c r="D632" s="221">
        <f t="shared" si="266"/>
        <v>0.9775626664</v>
      </c>
      <c r="E632" s="221">
        <f t="shared" si="266"/>
        <v>0</v>
      </c>
      <c r="F632" s="221">
        <f t="shared" si="12"/>
        <v>8618.415664</v>
      </c>
      <c r="G632" s="438">
        <f t="shared" si="4"/>
        <v>0.1544297532</v>
      </c>
      <c r="H632" s="220" t="str">
        <f t="shared" si="13"/>
        <v>Default standby Charge</v>
      </c>
      <c r="I632" s="182"/>
      <c r="J632" s="182"/>
      <c r="K632" s="11"/>
      <c r="L632" s="182"/>
      <c r="M632" s="182"/>
      <c r="N632" s="182"/>
      <c r="O632" s="182"/>
      <c r="P632" s="11"/>
      <c r="Q632" s="11"/>
      <c r="R632" s="11"/>
      <c r="S632" s="11"/>
      <c r="T632" s="11"/>
      <c r="U632" s="11"/>
      <c r="V632" s="11"/>
      <c r="W632" s="11"/>
      <c r="X632" s="11"/>
      <c r="Y632" s="11"/>
      <c r="Z632" s="11"/>
      <c r="AA632" s="11"/>
    </row>
    <row r="633" ht="15.75" customHeight="1">
      <c r="A633" s="435">
        <f t="shared" si="10"/>
        <v>2440</v>
      </c>
      <c r="B633" s="449" t="str">
        <f t="shared" ref="B633:E633" si="267">B273</f>
        <v>Downlink</v>
      </c>
      <c r="C633" s="221">
        <f t="shared" si="267"/>
        <v>0</v>
      </c>
      <c r="D633" s="221">
        <f t="shared" si="267"/>
        <v>0.9775626664</v>
      </c>
      <c r="E633" s="221">
        <f t="shared" si="267"/>
        <v>0.75</v>
      </c>
      <c r="F633" s="221">
        <f t="shared" si="12"/>
        <v>8618.643227</v>
      </c>
      <c r="G633" s="438">
        <f t="shared" si="4"/>
        <v>0.1544338308</v>
      </c>
      <c r="H633" s="220" t="str">
        <f t="shared" si="13"/>
        <v>Validated contact; Downlink preempts Science</v>
      </c>
      <c r="I633" s="182"/>
      <c r="J633" s="182"/>
      <c r="K633" s="11"/>
      <c r="L633" s="182"/>
      <c r="M633" s="182"/>
      <c r="N633" s="182"/>
      <c r="O633" s="182"/>
      <c r="P633" s="11"/>
      <c r="Q633" s="11"/>
      <c r="R633" s="11"/>
      <c r="S633" s="11"/>
      <c r="T633" s="11"/>
      <c r="U633" s="11"/>
      <c r="V633" s="11"/>
      <c r="W633" s="11"/>
      <c r="X633" s="11"/>
      <c r="Y633" s="11"/>
      <c r="Z633" s="11"/>
      <c r="AA633" s="11"/>
    </row>
    <row r="634" ht="15.75" customHeight="1">
      <c r="A634" s="435">
        <f t="shared" si="10"/>
        <v>2444</v>
      </c>
      <c r="B634" s="449" t="str">
        <f t="shared" ref="B634:E634" si="268">B274</f>
        <v>Downlink</v>
      </c>
      <c r="C634" s="221">
        <f t="shared" si="268"/>
        <v>0</v>
      </c>
      <c r="D634" s="221">
        <f t="shared" si="268"/>
        <v>0.9775626664</v>
      </c>
      <c r="E634" s="221">
        <f t="shared" si="268"/>
        <v>0.75</v>
      </c>
      <c r="F634" s="221">
        <f t="shared" si="12"/>
        <v>8618.870789</v>
      </c>
      <c r="G634" s="438">
        <f t="shared" si="4"/>
        <v>0.1544379083</v>
      </c>
      <c r="H634" s="220" t="str">
        <f t="shared" si="13"/>
        <v>Validated contact; Downlink preempts Science</v>
      </c>
      <c r="I634" s="182"/>
      <c r="J634" s="182"/>
      <c r="K634" s="11"/>
      <c r="L634" s="182"/>
      <c r="M634" s="182"/>
      <c r="N634" s="182"/>
      <c r="O634" s="182"/>
      <c r="P634" s="11"/>
      <c r="Q634" s="11"/>
      <c r="R634" s="11"/>
      <c r="S634" s="11"/>
      <c r="T634" s="11"/>
      <c r="U634" s="11"/>
      <c r="V634" s="11"/>
      <c r="W634" s="11"/>
      <c r="X634" s="11"/>
      <c r="Y634" s="11"/>
      <c r="Z634" s="11"/>
      <c r="AA634" s="11"/>
    </row>
    <row r="635" ht="15.75" customHeight="1">
      <c r="A635" s="435">
        <f t="shared" si="10"/>
        <v>2448</v>
      </c>
      <c r="B635" s="429" t="str">
        <f t="shared" ref="B635:B682" si="270">IF(AND(MOD(A635,1440)&gt;=$K$6,MOD(A635,1440)&lt;$L$6),"Safe",IF(OR(AND(MOD(A635,1440)&gt;=$K$14,MOD(A635,1440)&lt;$L$14),AND(MOD(A635,1440)&gt;=$K$15,MOD(A635,1440)&lt;$L$15),AND(MOD(A635,1440)&gt;=$K$16,MOD(A635,1440)&lt;$L$16),AND(MOD(A635,1440)&gt;=$K$17,MOD(A635,1440)&lt;$L$17),AND(MOD(A635,1440)&gt;=$K$18,MOD(A635,1440)&lt;$L$18),AND(MOD(A635,1440)&gt;=$K$19,MOD(A635,1440)&lt;$L$19)),"Downlink",IF(AND(MOD(A635,1440)&gt;=$K$8,MOD(A635,1440)&lt;$L$8),"Science A",IF(AND(MOD(A635,1440)&gt;=$K$9,MOD(A635,1440)&lt;$L$9),"Science B",IF(AND(MOD(A635,1440)&gt;=$K$10,MOD(A635,1440)&lt;$L$10),"Science C","Charge")))))</f>
        <v>Charge</v>
      </c>
      <c r="C635" s="221">
        <f t="shared" ref="C635:E635" si="269">C275</f>
        <v>0</v>
      </c>
      <c r="D635" s="221">
        <f t="shared" si="269"/>
        <v>0.9775626664</v>
      </c>
      <c r="E635" s="221">
        <f t="shared" si="269"/>
        <v>0</v>
      </c>
      <c r="F635" s="221">
        <f t="shared" si="12"/>
        <v>8619.848352</v>
      </c>
      <c r="G635" s="438">
        <f t="shared" si="4"/>
        <v>0.1544554249</v>
      </c>
      <c r="H635" s="220" t="str">
        <f t="shared" si="13"/>
        <v>Default standby Charge</v>
      </c>
      <c r="I635" s="182"/>
      <c r="J635" s="182"/>
      <c r="K635" s="11"/>
      <c r="L635" s="182"/>
      <c r="M635" s="182"/>
      <c r="N635" s="182"/>
      <c r="O635" s="182"/>
      <c r="P635" s="11"/>
      <c r="Q635" s="11"/>
      <c r="R635" s="11"/>
      <c r="S635" s="11"/>
      <c r="T635" s="11"/>
      <c r="U635" s="11"/>
      <c r="V635" s="11"/>
      <c r="W635" s="11"/>
      <c r="X635" s="11"/>
      <c r="Y635" s="11"/>
      <c r="Z635" s="11"/>
      <c r="AA635" s="11"/>
    </row>
    <row r="636" ht="15.75" customHeight="1">
      <c r="A636" s="435">
        <f t="shared" si="10"/>
        <v>2452</v>
      </c>
      <c r="B636" s="429" t="str">
        <f t="shared" si="270"/>
        <v>Charge</v>
      </c>
      <c r="C636" s="221">
        <f t="shared" ref="C636:E636" si="271">C276</f>
        <v>0</v>
      </c>
      <c r="D636" s="221">
        <f t="shared" si="271"/>
        <v>0.9775626664</v>
      </c>
      <c r="E636" s="221">
        <f t="shared" si="271"/>
        <v>0</v>
      </c>
      <c r="F636" s="221">
        <f t="shared" si="12"/>
        <v>8620.825915</v>
      </c>
      <c r="G636" s="438">
        <f t="shared" si="4"/>
        <v>0.1544729414</v>
      </c>
      <c r="H636" s="220" t="str">
        <f t="shared" si="13"/>
        <v>Default standby Charge</v>
      </c>
      <c r="I636" s="182"/>
      <c r="J636" s="182"/>
      <c r="K636" s="11"/>
      <c r="L636" s="182"/>
      <c r="M636" s="182"/>
      <c r="N636" s="182"/>
      <c r="O636" s="182"/>
      <c r="P636" s="11"/>
      <c r="Q636" s="11"/>
      <c r="R636" s="11"/>
      <c r="S636" s="11"/>
      <c r="T636" s="11"/>
      <c r="U636" s="11"/>
      <c r="V636" s="11"/>
      <c r="W636" s="11"/>
      <c r="X636" s="11"/>
      <c r="Y636" s="11"/>
      <c r="Z636" s="11"/>
      <c r="AA636" s="11"/>
    </row>
    <row r="637" ht="15.75" customHeight="1">
      <c r="A637" s="435">
        <f t="shared" si="10"/>
        <v>2456</v>
      </c>
      <c r="B637" s="429" t="str">
        <f t="shared" si="270"/>
        <v>Charge</v>
      </c>
      <c r="C637" s="221">
        <f t="shared" ref="C637:E637" si="272">C277</f>
        <v>0</v>
      </c>
      <c r="D637" s="221">
        <f t="shared" si="272"/>
        <v>0.9775626664</v>
      </c>
      <c r="E637" s="221">
        <f t="shared" si="272"/>
        <v>0</v>
      </c>
      <c r="F637" s="221">
        <f t="shared" si="12"/>
        <v>8621.803477</v>
      </c>
      <c r="G637" s="438">
        <f t="shared" si="4"/>
        <v>0.1544904579</v>
      </c>
      <c r="H637" s="220" t="str">
        <f t="shared" si="13"/>
        <v>Default standby Charge</v>
      </c>
      <c r="I637" s="182"/>
      <c r="J637" s="182"/>
      <c r="K637" s="11"/>
      <c r="L637" s="182"/>
      <c r="M637" s="182"/>
      <c r="N637" s="182"/>
      <c r="O637" s="182"/>
      <c r="P637" s="11"/>
      <c r="Q637" s="11"/>
      <c r="R637" s="11"/>
      <c r="S637" s="11"/>
      <c r="T637" s="11"/>
      <c r="U637" s="11"/>
      <c r="V637" s="11"/>
      <c r="W637" s="11"/>
      <c r="X637" s="11"/>
      <c r="Y637" s="11"/>
      <c r="Z637" s="11"/>
      <c r="AA637" s="11"/>
    </row>
    <row r="638" ht="15.75" customHeight="1">
      <c r="A638" s="435">
        <f t="shared" si="10"/>
        <v>2460</v>
      </c>
      <c r="B638" s="429" t="str">
        <f t="shared" si="270"/>
        <v>Charge</v>
      </c>
      <c r="C638" s="221">
        <f t="shared" ref="C638:E638" si="273">C278</f>
        <v>0</v>
      </c>
      <c r="D638" s="221">
        <f t="shared" si="273"/>
        <v>0.9775626664</v>
      </c>
      <c r="E638" s="221">
        <f t="shared" si="273"/>
        <v>0</v>
      </c>
      <c r="F638" s="221">
        <f t="shared" si="12"/>
        <v>8622.78104</v>
      </c>
      <c r="G638" s="438">
        <f t="shared" si="4"/>
        <v>0.1545079745</v>
      </c>
      <c r="H638" s="220" t="str">
        <f t="shared" si="13"/>
        <v>Default standby Charge</v>
      </c>
      <c r="I638" s="182"/>
      <c r="J638" s="182"/>
      <c r="K638" s="11"/>
      <c r="L638" s="182"/>
      <c r="M638" s="182"/>
      <c r="N638" s="182"/>
      <c r="O638" s="182"/>
      <c r="P638" s="11"/>
      <c r="Q638" s="11"/>
      <c r="R638" s="11"/>
      <c r="S638" s="11"/>
      <c r="T638" s="11"/>
      <c r="U638" s="11"/>
      <c r="V638" s="11"/>
      <c r="W638" s="11"/>
      <c r="X638" s="11"/>
      <c r="Y638" s="11"/>
      <c r="Z638" s="11"/>
      <c r="AA638" s="11"/>
    </row>
    <row r="639" ht="15.75" customHeight="1">
      <c r="A639" s="435">
        <f t="shared" si="10"/>
        <v>2464</v>
      </c>
      <c r="B639" s="429" t="str">
        <f t="shared" si="270"/>
        <v>Charge</v>
      </c>
      <c r="C639" s="221">
        <f t="shared" ref="C639:E639" si="274">C279</f>
        <v>0</v>
      </c>
      <c r="D639" s="221">
        <f t="shared" si="274"/>
        <v>0.9775626664</v>
      </c>
      <c r="E639" s="221">
        <f t="shared" si="274"/>
        <v>0</v>
      </c>
      <c r="F639" s="221">
        <f t="shared" si="12"/>
        <v>8623.758603</v>
      </c>
      <c r="G639" s="438">
        <f t="shared" si="4"/>
        <v>0.154525491</v>
      </c>
      <c r="H639" s="220" t="str">
        <f t="shared" si="13"/>
        <v>Default standby Charge</v>
      </c>
      <c r="I639" s="182"/>
      <c r="J639" s="182"/>
      <c r="K639" s="11"/>
      <c r="L639" s="182"/>
      <c r="M639" s="182"/>
      <c r="N639" s="182"/>
      <c r="O639" s="182"/>
      <c r="P639" s="11"/>
      <c r="Q639" s="11"/>
      <c r="R639" s="11"/>
      <c r="S639" s="11"/>
      <c r="T639" s="11"/>
      <c r="U639" s="11"/>
      <c r="V639" s="11"/>
      <c r="W639" s="11"/>
      <c r="X639" s="11"/>
      <c r="Y639" s="11"/>
      <c r="Z639" s="11"/>
      <c r="AA639" s="11"/>
    </row>
    <row r="640" ht="15.75" customHeight="1">
      <c r="A640" s="435">
        <f t="shared" si="10"/>
        <v>2468</v>
      </c>
      <c r="B640" s="429" t="str">
        <f t="shared" si="270"/>
        <v>Charge</v>
      </c>
      <c r="C640" s="221">
        <f t="shared" ref="C640:E640" si="275">C280</f>
        <v>0</v>
      </c>
      <c r="D640" s="221">
        <f t="shared" si="275"/>
        <v>0.9775626664</v>
      </c>
      <c r="E640" s="221">
        <f t="shared" si="275"/>
        <v>0</v>
      </c>
      <c r="F640" s="221">
        <f t="shared" si="12"/>
        <v>8624.736165</v>
      </c>
      <c r="G640" s="438">
        <f t="shared" si="4"/>
        <v>0.1545430075</v>
      </c>
      <c r="H640" s="220" t="str">
        <f t="shared" si="13"/>
        <v>Default standby Charge</v>
      </c>
      <c r="I640" s="182"/>
      <c r="J640" s="182"/>
      <c r="K640" s="11"/>
      <c r="L640" s="182"/>
      <c r="M640" s="182"/>
      <c r="N640" s="182"/>
      <c r="O640" s="182"/>
      <c r="P640" s="11"/>
      <c r="Q640" s="11"/>
      <c r="R640" s="11"/>
      <c r="S640" s="11"/>
      <c r="T640" s="11"/>
      <c r="U640" s="11"/>
      <c r="V640" s="11"/>
      <c r="W640" s="11"/>
      <c r="X640" s="11"/>
      <c r="Y640" s="11"/>
      <c r="Z640" s="11"/>
      <c r="AA640" s="11"/>
    </row>
    <row r="641" ht="15.75" customHeight="1">
      <c r="A641" s="435">
        <f t="shared" si="10"/>
        <v>2472</v>
      </c>
      <c r="B641" s="429" t="str">
        <f t="shared" si="270"/>
        <v>Charge</v>
      </c>
      <c r="C641" s="221">
        <f t="shared" ref="C641:E641" si="276">C281</f>
        <v>0</v>
      </c>
      <c r="D641" s="221">
        <f t="shared" si="276"/>
        <v>0.9775626664</v>
      </c>
      <c r="E641" s="221">
        <f t="shared" si="276"/>
        <v>0</v>
      </c>
      <c r="F641" s="221">
        <f t="shared" si="12"/>
        <v>8625.713728</v>
      </c>
      <c r="G641" s="438">
        <f t="shared" si="4"/>
        <v>0.1545605241</v>
      </c>
      <c r="H641" s="220" t="str">
        <f t="shared" si="13"/>
        <v>Default standby Charge</v>
      </c>
      <c r="I641" s="182"/>
      <c r="J641" s="182"/>
      <c r="K641" s="11"/>
      <c r="L641" s="182"/>
      <c r="M641" s="182"/>
      <c r="N641" s="182"/>
      <c r="O641" s="182"/>
      <c r="P641" s="11"/>
      <c r="Q641" s="11"/>
      <c r="R641" s="11"/>
      <c r="S641" s="11"/>
      <c r="T641" s="11"/>
      <c r="U641" s="11"/>
      <c r="V641" s="11"/>
      <c r="W641" s="11"/>
      <c r="X641" s="11"/>
      <c r="Y641" s="11"/>
      <c r="Z641" s="11"/>
      <c r="AA641" s="11"/>
    </row>
    <row r="642" ht="15.75" customHeight="1">
      <c r="A642" s="435">
        <f t="shared" si="10"/>
        <v>2476</v>
      </c>
      <c r="B642" s="429" t="str">
        <f t="shared" si="270"/>
        <v>Charge</v>
      </c>
      <c r="C642" s="221">
        <f t="shared" ref="C642:E642" si="277">C282</f>
        <v>0</v>
      </c>
      <c r="D642" s="221">
        <f t="shared" si="277"/>
        <v>0.9775626664</v>
      </c>
      <c r="E642" s="221">
        <f t="shared" si="277"/>
        <v>0</v>
      </c>
      <c r="F642" s="221">
        <f t="shared" si="12"/>
        <v>8626.691291</v>
      </c>
      <c r="G642" s="438">
        <f t="shared" si="4"/>
        <v>0.1545780406</v>
      </c>
      <c r="H642" s="220" t="str">
        <f t="shared" si="13"/>
        <v>Default standby Charge</v>
      </c>
      <c r="I642" s="182"/>
      <c r="J642" s="182"/>
      <c r="K642" s="11"/>
      <c r="L642" s="182"/>
      <c r="M642" s="182"/>
      <c r="N642" s="182"/>
      <c r="O642" s="182"/>
      <c r="P642" s="11"/>
      <c r="Q642" s="11"/>
      <c r="R642" s="11"/>
      <c r="S642" s="11"/>
      <c r="T642" s="11"/>
      <c r="U642" s="11"/>
      <c r="V642" s="11"/>
      <c r="W642" s="11"/>
      <c r="X642" s="11"/>
      <c r="Y642" s="11"/>
      <c r="Z642" s="11"/>
      <c r="AA642" s="11"/>
    </row>
    <row r="643" ht="15.75" customHeight="1">
      <c r="A643" s="435">
        <f t="shared" si="10"/>
        <v>2480</v>
      </c>
      <c r="B643" s="429" t="str">
        <f t="shared" si="270"/>
        <v>Charge</v>
      </c>
      <c r="C643" s="221">
        <f t="shared" ref="C643:E643" si="278">C283</f>
        <v>0</v>
      </c>
      <c r="D643" s="221">
        <f t="shared" si="278"/>
        <v>0.9775626664</v>
      </c>
      <c r="E643" s="221">
        <f t="shared" si="278"/>
        <v>0</v>
      </c>
      <c r="F643" s="221">
        <f t="shared" si="12"/>
        <v>8627.668853</v>
      </c>
      <c r="G643" s="438">
        <f t="shared" si="4"/>
        <v>0.1545955571</v>
      </c>
      <c r="H643" s="220" t="str">
        <f t="shared" si="13"/>
        <v>Default standby Charge</v>
      </c>
      <c r="I643" s="182"/>
      <c r="J643" s="182"/>
      <c r="K643" s="11"/>
      <c r="L643" s="182"/>
      <c r="M643" s="182"/>
      <c r="N643" s="182"/>
      <c r="O643" s="182"/>
      <c r="P643" s="11"/>
      <c r="Q643" s="11"/>
      <c r="R643" s="11"/>
      <c r="S643" s="11"/>
      <c r="T643" s="11"/>
      <c r="U643" s="11"/>
      <c r="V643" s="11"/>
      <c r="W643" s="11"/>
      <c r="X643" s="11"/>
      <c r="Y643" s="11"/>
      <c r="Z643" s="11"/>
      <c r="AA643" s="11"/>
    </row>
    <row r="644" ht="15.75" customHeight="1">
      <c r="A644" s="435">
        <f t="shared" si="10"/>
        <v>2484</v>
      </c>
      <c r="B644" s="429" t="str">
        <f t="shared" si="270"/>
        <v>Charge</v>
      </c>
      <c r="C644" s="221">
        <f t="shared" ref="C644:E644" si="279">C284</f>
        <v>0</v>
      </c>
      <c r="D644" s="221">
        <f t="shared" si="279"/>
        <v>0.9775626664</v>
      </c>
      <c r="E644" s="221">
        <f t="shared" si="279"/>
        <v>0</v>
      </c>
      <c r="F644" s="221">
        <f t="shared" si="12"/>
        <v>8628.646416</v>
      </c>
      <c r="G644" s="438">
        <f t="shared" si="4"/>
        <v>0.1546130737</v>
      </c>
      <c r="H644" s="220" t="str">
        <f t="shared" si="13"/>
        <v>Default standby Charge</v>
      </c>
      <c r="I644" s="182"/>
      <c r="J644" s="182"/>
      <c r="K644" s="11"/>
      <c r="L644" s="182"/>
      <c r="M644" s="182"/>
      <c r="N644" s="182"/>
      <c r="O644" s="182"/>
      <c r="P644" s="11"/>
      <c r="Q644" s="11"/>
      <c r="R644" s="11"/>
      <c r="S644" s="11"/>
      <c r="T644" s="11"/>
      <c r="U644" s="11"/>
      <c r="V644" s="11"/>
      <c r="W644" s="11"/>
      <c r="X644" s="11"/>
      <c r="Y644" s="11"/>
      <c r="Z644" s="11"/>
      <c r="AA644" s="11"/>
    </row>
    <row r="645" ht="15.75" customHeight="1">
      <c r="A645" s="435">
        <f t="shared" si="10"/>
        <v>2488</v>
      </c>
      <c r="B645" s="429" t="str">
        <f t="shared" si="270"/>
        <v>Charge</v>
      </c>
      <c r="C645" s="221">
        <f t="shared" ref="C645:E645" si="280">C285</f>
        <v>0</v>
      </c>
      <c r="D645" s="221">
        <f t="shared" si="280"/>
        <v>0.9775626664</v>
      </c>
      <c r="E645" s="221">
        <f t="shared" si="280"/>
        <v>0</v>
      </c>
      <c r="F645" s="221">
        <f t="shared" si="12"/>
        <v>8629.623979</v>
      </c>
      <c r="G645" s="438">
        <f t="shared" si="4"/>
        <v>0.1546305902</v>
      </c>
      <c r="H645" s="220" t="str">
        <f t="shared" si="13"/>
        <v>Default standby Charge</v>
      </c>
      <c r="I645" s="182"/>
      <c r="J645" s="182"/>
      <c r="K645" s="11"/>
      <c r="L645" s="182"/>
      <c r="M645" s="182"/>
      <c r="N645" s="182"/>
      <c r="O645" s="182"/>
      <c r="P645" s="11"/>
      <c r="Q645" s="11"/>
      <c r="R645" s="11"/>
      <c r="S645" s="11"/>
      <c r="T645" s="11"/>
      <c r="U645" s="11"/>
      <c r="V645" s="11"/>
      <c r="W645" s="11"/>
      <c r="X645" s="11"/>
      <c r="Y645" s="11"/>
      <c r="Z645" s="11"/>
      <c r="AA645" s="11"/>
    </row>
    <row r="646" ht="15.75" customHeight="1">
      <c r="A646" s="435">
        <f t="shared" si="10"/>
        <v>2492</v>
      </c>
      <c r="B646" s="429" t="str">
        <f t="shared" si="270"/>
        <v>Charge</v>
      </c>
      <c r="C646" s="221">
        <f t="shared" ref="C646:E646" si="281">C286</f>
        <v>0</v>
      </c>
      <c r="D646" s="221">
        <f t="shared" si="281"/>
        <v>0.9775626664</v>
      </c>
      <c r="E646" s="221">
        <f t="shared" si="281"/>
        <v>0</v>
      </c>
      <c r="F646" s="221">
        <f t="shared" si="12"/>
        <v>8630.601541</v>
      </c>
      <c r="G646" s="438">
        <f t="shared" si="4"/>
        <v>0.1546481067</v>
      </c>
      <c r="H646" s="220" t="str">
        <f t="shared" si="13"/>
        <v>Default standby Charge</v>
      </c>
      <c r="I646" s="182"/>
      <c r="J646" s="182"/>
      <c r="K646" s="11"/>
      <c r="L646" s="182"/>
      <c r="M646" s="182"/>
      <c r="N646" s="182"/>
      <c r="O646" s="182"/>
      <c r="P646" s="11"/>
      <c r="Q646" s="11"/>
      <c r="R646" s="11"/>
      <c r="S646" s="11"/>
      <c r="T646" s="11"/>
      <c r="U646" s="11"/>
      <c r="V646" s="11"/>
      <c r="W646" s="11"/>
      <c r="X646" s="11"/>
      <c r="Y646" s="11"/>
      <c r="Z646" s="11"/>
      <c r="AA646" s="11"/>
    </row>
    <row r="647" ht="15.75" customHeight="1">
      <c r="A647" s="435">
        <f t="shared" si="10"/>
        <v>2496</v>
      </c>
      <c r="B647" s="429" t="str">
        <f t="shared" si="270"/>
        <v>Charge</v>
      </c>
      <c r="C647" s="221">
        <f t="shared" ref="C647:E647" si="282">C287</f>
        <v>0</v>
      </c>
      <c r="D647" s="221">
        <f t="shared" si="282"/>
        <v>0.9775626664</v>
      </c>
      <c r="E647" s="221">
        <f t="shared" si="282"/>
        <v>0</v>
      </c>
      <c r="F647" s="221">
        <f t="shared" si="12"/>
        <v>8631.579104</v>
      </c>
      <c r="G647" s="438">
        <f t="shared" si="4"/>
        <v>0.1546656233</v>
      </c>
      <c r="H647" s="220" t="str">
        <f t="shared" si="13"/>
        <v>Default standby Charge</v>
      </c>
      <c r="I647" s="182"/>
      <c r="J647" s="182"/>
      <c r="K647" s="11"/>
      <c r="L647" s="182"/>
      <c r="M647" s="182"/>
      <c r="N647" s="182"/>
      <c r="O647" s="182"/>
      <c r="P647" s="11"/>
      <c r="Q647" s="11"/>
      <c r="R647" s="11"/>
      <c r="S647" s="11"/>
      <c r="T647" s="11"/>
      <c r="U647" s="11"/>
      <c r="V647" s="11"/>
      <c r="W647" s="11"/>
      <c r="X647" s="11"/>
      <c r="Y647" s="11"/>
      <c r="Z647" s="11"/>
      <c r="AA647" s="11"/>
    </row>
    <row r="648" ht="15.75" customHeight="1">
      <c r="A648" s="435">
        <f t="shared" si="10"/>
        <v>2500</v>
      </c>
      <c r="B648" s="429" t="str">
        <f t="shared" si="270"/>
        <v>Charge</v>
      </c>
      <c r="C648" s="221">
        <f t="shared" ref="C648:E648" si="283">C288</f>
        <v>0</v>
      </c>
      <c r="D648" s="221">
        <f t="shared" si="283"/>
        <v>0.9775626664</v>
      </c>
      <c r="E648" s="221">
        <f t="shared" si="283"/>
        <v>0</v>
      </c>
      <c r="F648" s="221">
        <f t="shared" si="12"/>
        <v>8632.556667</v>
      </c>
      <c r="G648" s="438">
        <f t="shared" si="4"/>
        <v>0.1546831398</v>
      </c>
      <c r="H648" s="220" t="str">
        <f t="shared" si="13"/>
        <v>Default standby Charge</v>
      </c>
      <c r="I648" s="182"/>
      <c r="J648" s="182"/>
      <c r="K648" s="11"/>
      <c r="L648" s="182"/>
      <c r="M648" s="182"/>
      <c r="N648" s="182"/>
      <c r="O648" s="182"/>
      <c r="P648" s="11"/>
      <c r="Q648" s="11"/>
      <c r="R648" s="11"/>
      <c r="S648" s="11"/>
      <c r="T648" s="11"/>
      <c r="U648" s="11"/>
      <c r="V648" s="11"/>
      <c r="W648" s="11"/>
      <c r="X648" s="11"/>
      <c r="Y648" s="11"/>
      <c r="Z648" s="11"/>
      <c r="AA648" s="11"/>
    </row>
    <row r="649" ht="15.75" customHeight="1">
      <c r="A649" s="435">
        <f t="shared" si="10"/>
        <v>2504</v>
      </c>
      <c r="B649" s="429" t="str">
        <f t="shared" si="270"/>
        <v>Charge</v>
      </c>
      <c r="C649" s="221">
        <f t="shared" ref="C649:E649" si="284">C289</f>
        <v>0</v>
      </c>
      <c r="D649" s="221">
        <f t="shared" si="284"/>
        <v>0.9775626664</v>
      </c>
      <c r="E649" s="221">
        <f t="shared" si="284"/>
        <v>0</v>
      </c>
      <c r="F649" s="221">
        <f t="shared" si="12"/>
        <v>8633.534229</v>
      </c>
      <c r="G649" s="438">
        <f t="shared" si="4"/>
        <v>0.1547006563</v>
      </c>
      <c r="H649" s="220" t="str">
        <f t="shared" si="13"/>
        <v>Default standby Charge</v>
      </c>
      <c r="I649" s="182"/>
      <c r="J649" s="182"/>
      <c r="K649" s="11"/>
      <c r="L649" s="182"/>
      <c r="M649" s="182"/>
      <c r="N649" s="182"/>
      <c r="O649" s="182"/>
      <c r="P649" s="11"/>
      <c r="Q649" s="11"/>
      <c r="R649" s="11"/>
      <c r="S649" s="11"/>
      <c r="T649" s="11"/>
      <c r="U649" s="11"/>
      <c r="V649" s="11"/>
      <c r="W649" s="11"/>
      <c r="X649" s="11"/>
      <c r="Y649" s="11"/>
      <c r="Z649" s="11"/>
      <c r="AA649" s="11"/>
    </row>
    <row r="650" ht="15.75" customHeight="1">
      <c r="A650" s="435">
        <f t="shared" si="10"/>
        <v>2508</v>
      </c>
      <c r="B650" s="429" t="str">
        <f t="shared" si="270"/>
        <v>Charge</v>
      </c>
      <c r="C650" s="221">
        <f t="shared" ref="C650:E650" si="285">C290</f>
        <v>0</v>
      </c>
      <c r="D650" s="221">
        <f t="shared" si="285"/>
        <v>0.9775626664</v>
      </c>
      <c r="E650" s="221">
        <f t="shared" si="285"/>
        <v>0</v>
      </c>
      <c r="F650" s="221">
        <f t="shared" si="12"/>
        <v>8634.511792</v>
      </c>
      <c r="G650" s="438">
        <f t="shared" si="4"/>
        <v>0.1547181729</v>
      </c>
      <c r="H650" s="220" t="str">
        <f t="shared" si="13"/>
        <v>Default standby Charge</v>
      </c>
      <c r="I650" s="182"/>
      <c r="J650" s="182"/>
      <c r="K650" s="11"/>
      <c r="L650" s="182"/>
      <c r="M650" s="182"/>
      <c r="N650" s="182"/>
      <c r="O650" s="182"/>
      <c r="P650" s="11"/>
      <c r="Q650" s="11"/>
      <c r="R650" s="11"/>
      <c r="S650" s="11"/>
      <c r="T650" s="11"/>
      <c r="U650" s="11"/>
      <c r="V650" s="11"/>
      <c r="W650" s="11"/>
      <c r="X650" s="11"/>
      <c r="Y650" s="11"/>
      <c r="Z650" s="11"/>
      <c r="AA650" s="11"/>
    </row>
    <row r="651" ht="15.75" customHeight="1">
      <c r="A651" s="435">
        <f t="shared" si="10"/>
        <v>2512</v>
      </c>
      <c r="B651" s="429" t="str">
        <f t="shared" si="270"/>
        <v>Charge</v>
      </c>
      <c r="C651" s="221">
        <f t="shared" ref="C651:E651" si="286">C291</f>
        <v>0</v>
      </c>
      <c r="D651" s="221">
        <f t="shared" si="286"/>
        <v>0.9775626664</v>
      </c>
      <c r="E651" s="221">
        <f t="shared" si="286"/>
        <v>0</v>
      </c>
      <c r="F651" s="221">
        <f t="shared" si="12"/>
        <v>8635.489354</v>
      </c>
      <c r="G651" s="438">
        <f t="shared" si="4"/>
        <v>0.1547356894</v>
      </c>
      <c r="H651" s="220" t="str">
        <f t="shared" si="13"/>
        <v>Default standby Charge</v>
      </c>
      <c r="I651" s="182"/>
      <c r="J651" s="182"/>
      <c r="K651" s="11"/>
      <c r="L651" s="182"/>
      <c r="M651" s="182"/>
      <c r="N651" s="182"/>
      <c r="O651" s="182"/>
      <c r="P651" s="11"/>
      <c r="Q651" s="11"/>
      <c r="R651" s="11"/>
      <c r="S651" s="11"/>
      <c r="T651" s="11"/>
      <c r="U651" s="11"/>
      <c r="V651" s="11"/>
      <c r="W651" s="11"/>
      <c r="X651" s="11"/>
      <c r="Y651" s="11"/>
      <c r="Z651" s="11"/>
      <c r="AA651" s="11"/>
    </row>
    <row r="652" ht="15.75" customHeight="1">
      <c r="A652" s="435">
        <f t="shared" si="10"/>
        <v>2516</v>
      </c>
      <c r="B652" s="429" t="str">
        <f t="shared" si="270"/>
        <v>Charge</v>
      </c>
      <c r="C652" s="221">
        <f t="shared" ref="C652:E652" si="287">C292</f>
        <v>0</v>
      </c>
      <c r="D652" s="221">
        <f t="shared" si="287"/>
        <v>0.9775626664</v>
      </c>
      <c r="E652" s="221">
        <f t="shared" si="287"/>
        <v>0</v>
      </c>
      <c r="F652" s="221">
        <f t="shared" si="12"/>
        <v>8636.466917</v>
      </c>
      <c r="G652" s="438">
        <f t="shared" si="4"/>
        <v>0.1547532059</v>
      </c>
      <c r="H652" s="220" t="str">
        <f t="shared" si="13"/>
        <v>Default standby Charge</v>
      </c>
      <c r="I652" s="182"/>
      <c r="J652" s="182"/>
      <c r="K652" s="11"/>
      <c r="L652" s="182"/>
      <c r="M652" s="182"/>
      <c r="N652" s="182"/>
      <c r="O652" s="182"/>
      <c r="P652" s="11"/>
      <c r="Q652" s="11"/>
      <c r="R652" s="11"/>
      <c r="S652" s="11"/>
      <c r="T652" s="11"/>
      <c r="U652" s="11"/>
      <c r="V652" s="11"/>
      <c r="W652" s="11"/>
      <c r="X652" s="11"/>
      <c r="Y652" s="11"/>
      <c r="Z652" s="11"/>
      <c r="AA652" s="11"/>
    </row>
    <row r="653" ht="15.75" customHeight="1">
      <c r="A653" s="435">
        <f t="shared" si="10"/>
        <v>2520</v>
      </c>
      <c r="B653" s="429" t="str">
        <f t="shared" si="270"/>
        <v>Charge</v>
      </c>
      <c r="C653" s="221">
        <f t="shared" ref="C653:E653" si="288">C293</f>
        <v>0</v>
      </c>
      <c r="D653" s="221">
        <f t="shared" si="288"/>
        <v>0.9775626664</v>
      </c>
      <c r="E653" s="221">
        <f t="shared" si="288"/>
        <v>0</v>
      </c>
      <c r="F653" s="221">
        <f t="shared" si="12"/>
        <v>8637.44448</v>
      </c>
      <c r="G653" s="438">
        <f t="shared" si="4"/>
        <v>0.1547707225</v>
      </c>
      <c r="H653" s="220" t="str">
        <f t="shared" si="13"/>
        <v>Default standby Charge</v>
      </c>
      <c r="I653" s="182"/>
      <c r="J653" s="182"/>
      <c r="K653" s="11"/>
      <c r="L653" s="182"/>
      <c r="M653" s="182"/>
      <c r="N653" s="182"/>
      <c r="O653" s="182"/>
      <c r="P653" s="11"/>
      <c r="Q653" s="11"/>
      <c r="R653" s="11"/>
      <c r="S653" s="11"/>
      <c r="T653" s="11"/>
      <c r="U653" s="11"/>
      <c r="V653" s="11"/>
      <c r="W653" s="11"/>
      <c r="X653" s="11"/>
      <c r="Y653" s="11"/>
      <c r="Z653" s="11"/>
      <c r="AA653" s="11"/>
    </row>
    <row r="654" ht="15.75" customHeight="1">
      <c r="A654" s="435">
        <f t="shared" si="10"/>
        <v>2524</v>
      </c>
      <c r="B654" s="429" t="str">
        <f t="shared" si="270"/>
        <v>Charge</v>
      </c>
      <c r="C654" s="221">
        <f t="shared" ref="C654:E654" si="289">C294</f>
        <v>0</v>
      </c>
      <c r="D654" s="221">
        <f t="shared" si="289"/>
        <v>0.9775626664</v>
      </c>
      <c r="E654" s="221">
        <f t="shared" si="289"/>
        <v>0</v>
      </c>
      <c r="F654" s="221">
        <f t="shared" si="12"/>
        <v>8638.422042</v>
      </c>
      <c r="G654" s="438">
        <f t="shared" si="4"/>
        <v>0.154788239</v>
      </c>
      <c r="H654" s="220" t="str">
        <f t="shared" si="13"/>
        <v>Default standby Charge</v>
      </c>
      <c r="I654" s="182"/>
      <c r="J654" s="182"/>
      <c r="K654" s="11"/>
      <c r="L654" s="182"/>
      <c r="M654" s="182"/>
      <c r="N654" s="182"/>
      <c r="O654" s="182"/>
      <c r="P654" s="11"/>
      <c r="Q654" s="11"/>
      <c r="R654" s="11"/>
      <c r="S654" s="11"/>
      <c r="T654" s="11"/>
      <c r="U654" s="11"/>
      <c r="V654" s="11"/>
      <c r="W654" s="11"/>
      <c r="X654" s="11"/>
      <c r="Y654" s="11"/>
      <c r="Z654" s="11"/>
      <c r="AA654" s="11"/>
    </row>
    <row r="655" ht="15.75" customHeight="1">
      <c r="A655" s="435">
        <f t="shared" si="10"/>
        <v>2528</v>
      </c>
      <c r="B655" s="429" t="str">
        <f t="shared" si="270"/>
        <v>Charge</v>
      </c>
      <c r="C655" s="221">
        <f t="shared" ref="C655:E655" si="290">C295</f>
        <v>0</v>
      </c>
      <c r="D655" s="221">
        <f t="shared" si="290"/>
        <v>0.9775626664</v>
      </c>
      <c r="E655" s="221">
        <f t="shared" si="290"/>
        <v>0</v>
      </c>
      <c r="F655" s="221">
        <f t="shared" si="12"/>
        <v>8639.399605</v>
      </c>
      <c r="G655" s="438">
        <f t="shared" si="4"/>
        <v>0.1548057555</v>
      </c>
      <c r="H655" s="220" t="str">
        <f t="shared" si="13"/>
        <v>Default standby Charge</v>
      </c>
      <c r="I655" s="182"/>
      <c r="J655" s="182"/>
      <c r="K655" s="11"/>
      <c r="L655" s="182"/>
      <c r="M655" s="182"/>
      <c r="N655" s="182"/>
      <c r="O655" s="182"/>
      <c r="P655" s="11"/>
      <c r="Q655" s="11"/>
      <c r="R655" s="11"/>
      <c r="S655" s="11"/>
      <c r="T655" s="11"/>
      <c r="U655" s="11"/>
      <c r="V655" s="11"/>
      <c r="W655" s="11"/>
      <c r="X655" s="11"/>
      <c r="Y655" s="11"/>
      <c r="Z655" s="11"/>
      <c r="AA655" s="11"/>
    </row>
    <row r="656" ht="15.75" customHeight="1">
      <c r="A656" s="435">
        <f t="shared" si="10"/>
        <v>2532</v>
      </c>
      <c r="B656" s="429" t="str">
        <f t="shared" si="270"/>
        <v>Charge</v>
      </c>
      <c r="C656" s="221">
        <f t="shared" ref="C656:E656" si="291">C296</f>
        <v>0</v>
      </c>
      <c r="D656" s="221">
        <f t="shared" si="291"/>
        <v>0.9775626664</v>
      </c>
      <c r="E656" s="221">
        <f t="shared" si="291"/>
        <v>0</v>
      </c>
      <c r="F656" s="221">
        <f t="shared" si="12"/>
        <v>8640.377168</v>
      </c>
      <c r="G656" s="438">
        <f t="shared" si="4"/>
        <v>0.1548232721</v>
      </c>
      <c r="H656" s="220" t="str">
        <f t="shared" si="13"/>
        <v>Default standby Charge</v>
      </c>
      <c r="I656" s="182"/>
      <c r="J656" s="182"/>
      <c r="K656" s="11"/>
      <c r="L656" s="182"/>
      <c r="M656" s="182"/>
      <c r="N656" s="182"/>
      <c r="O656" s="182"/>
      <c r="P656" s="11"/>
      <c r="Q656" s="11"/>
      <c r="R656" s="11"/>
      <c r="S656" s="11"/>
      <c r="T656" s="11"/>
      <c r="U656" s="11"/>
      <c r="V656" s="11"/>
      <c r="W656" s="11"/>
      <c r="X656" s="11"/>
      <c r="Y656" s="11"/>
      <c r="Z656" s="11"/>
      <c r="AA656" s="11"/>
    </row>
    <row r="657" ht="15.75" customHeight="1">
      <c r="A657" s="435">
        <f t="shared" si="10"/>
        <v>2536</v>
      </c>
      <c r="B657" s="429" t="str">
        <f t="shared" si="270"/>
        <v>Charge</v>
      </c>
      <c r="C657" s="221">
        <f t="shared" ref="C657:E657" si="292">C297</f>
        <v>0</v>
      </c>
      <c r="D657" s="221">
        <f t="shared" si="292"/>
        <v>0.9775626664</v>
      </c>
      <c r="E657" s="221">
        <f t="shared" si="292"/>
        <v>0</v>
      </c>
      <c r="F657" s="221">
        <f t="shared" si="12"/>
        <v>8641.35473</v>
      </c>
      <c r="G657" s="438">
        <f t="shared" si="4"/>
        <v>0.1548407886</v>
      </c>
      <c r="H657" s="220" t="str">
        <f t="shared" si="13"/>
        <v>Default standby Charge</v>
      </c>
      <c r="I657" s="182"/>
      <c r="J657" s="182"/>
      <c r="K657" s="11"/>
      <c r="L657" s="182"/>
      <c r="M657" s="182"/>
      <c r="N657" s="182"/>
      <c r="O657" s="182"/>
      <c r="P657" s="11"/>
      <c r="Q657" s="11"/>
      <c r="R657" s="11"/>
      <c r="S657" s="11"/>
      <c r="T657" s="11"/>
      <c r="U657" s="11"/>
      <c r="V657" s="11"/>
      <c r="W657" s="11"/>
      <c r="X657" s="11"/>
      <c r="Y657" s="11"/>
      <c r="Z657" s="11"/>
      <c r="AA657" s="11"/>
    </row>
    <row r="658" ht="15.75" customHeight="1">
      <c r="A658" s="435">
        <f t="shared" si="10"/>
        <v>2540</v>
      </c>
      <c r="B658" s="429" t="str">
        <f t="shared" si="270"/>
        <v>Charge</v>
      </c>
      <c r="C658" s="221">
        <f t="shared" ref="C658:E658" si="293">C298</f>
        <v>0</v>
      </c>
      <c r="D658" s="221">
        <f t="shared" si="293"/>
        <v>0.9775626664</v>
      </c>
      <c r="E658" s="221">
        <f t="shared" si="293"/>
        <v>0</v>
      </c>
      <c r="F658" s="221">
        <f t="shared" si="12"/>
        <v>8642.332293</v>
      </c>
      <c r="G658" s="438">
        <f t="shared" si="4"/>
        <v>0.1548583051</v>
      </c>
      <c r="H658" s="220" t="str">
        <f t="shared" si="13"/>
        <v>Default standby Charge</v>
      </c>
      <c r="I658" s="182"/>
      <c r="J658" s="182"/>
      <c r="K658" s="11"/>
      <c r="L658" s="182"/>
      <c r="M658" s="182"/>
      <c r="N658" s="182"/>
      <c r="O658" s="182"/>
      <c r="P658" s="11"/>
      <c r="Q658" s="11"/>
      <c r="R658" s="11"/>
      <c r="S658" s="11"/>
      <c r="T658" s="11"/>
      <c r="U658" s="11"/>
      <c r="V658" s="11"/>
      <c r="W658" s="11"/>
      <c r="X658" s="11"/>
      <c r="Y658" s="11"/>
      <c r="Z658" s="11"/>
      <c r="AA658" s="11"/>
    </row>
    <row r="659" ht="15.75" customHeight="1">
      <c r="A659" s="435">
        <f t="shared" si="10"/>
        <v>2544</v>
      </c>
      <c r="B659" s="429" t="str">
        <f t="shared" si="270"/>
        <v>Charge</v>
      </c>
      <c r="C659" s="221">
        <f t="shared" ref="C659:E659" si="294">C299</f>
        <v>0</v>
      </c>
      <c r="D659" s="221">
        <f t="shared" si="294"/>
        <v>0.9775626664</v>
      </c>
      <c r="E659" s="221">
        <f t="shared" si="294"/>
        <v>0</v>
      </c>
      <c r="F659" s="221">
        <f t="shared" si="12"/>
        <v>8643.309856</v>
      </c>
      <c r="G659" s="438">
        <f t="shared" si="4"/>
        <v>0.1548758217</v>
      </c>
      <c r="H659" s="220" t="str">
        <f t="shared" si="13"/>
        <v>Default standby Charge</v>
      </c>
      <c r="I659" s="182"/>
      <c r="J659" s="182"/>
      <c r="K659" s="11"/>
      <c r="L659" s="182"/>
      <c r="M659" s="182"/>
      <c r="N659" s="182"/>
      <c r="O659" s="182"/>
      <c r="P659" s="11"/>
      <c r="Q659" s="11"/>
      <c r="R659" s="11"/>
      <c r="S659" s="11"/>
      <c r="T659" s="11"/>
      <c r="U659" s="11"/>
      <c r="V659" s="11"/>
      <c r="W659" s="11"/>
      <c r="X659" s="11"/>
      <c r="Y659" s="11"/>
      <c r="Z659" s="11"/>
      <c r="AA659" s="11"/>
    </row>
    <row r="660" ht="15.75" customHeight="1">
      <c r="A660" s="435">
        <f t="shared" si="10"/>
        <v>2548</v>
      </c>
      <c r="B660" s="429" t="str">
        <f t="shared" si="270"/>
        <v>Charge</v>
      </c>
      <c r="C660" s="221">
        <f t="shared" ref="C660:E660" si="295">C300</f>
        <v>0</v>
      </c>
      <c r="D660" s="221">
        <f t="shared" si="295"/>
        <v>0.9775626664</v>
      </c>
      <c r="E660" s="221">
        <f t="shared" si="295"/>
        <v>0</v>
      </c>
      <c r="F660" s="221">
        <f t="shared" si="12"/>
        <v>8644.287418</v>
      </c>
      <c r="G660" s="438">
        <f t="shared" si="4"/>
        <v>0.1548933382</v>
      </c>
      <c r="H660" s="220" t="str">
        <f t="shared" si="13"/>
        <v>Default standby Charge</v>
      </c>
      <c r="I660" s="182"/>
      <c r="J660" s="182"/>
      <c r="K660" s="11"/>
      <c r="L660" s="182"/>
      <c r="M660" s="182"/>
      <c r="N660" s="182"/>
      <c r="O660" s="182"/>
      <c r="P660" s="11"/>
      <c r="Q660" s="11"/>
      <c r="R660" s="11"/>
      <c r="S660" s="11"/>
      <c r="T660" s="11"/>
      <c r="U660" s="11"/>
      <c r="V660" s="11"/>
      <c r="W660" s="11"/>
      <c r="X660" s="11"/>
      <c r="Y660" s="11"/>
      <c r="Z660" s="11"/>
      <c r="AA660" s="11"/>
    </row>
    <row r="661" ht="15.75" customHeight="1">
      <c r="A661" s="435">
        <f t="shared" si="10"/>
        <v>2552</v>
      </c>
      <c r="B661" s="429" t="str">
        <f t="shared" si="270"/>
        <v>Charge</v>
      </c>
      <c r="C661" s="221">
        <f t="shared" ref="C661:E661" si="296">C301</f>
        <v>0</v>
      </c>
      <c r="D661" s="221">
        <f t="shared" si="296"/>
        <v>0.9775626664</v>
      </c>
      <c r="E661" s="221">
        <f t="shared" si="296"/>
        <v>0</v>
      </c>
      <c r="F661" s="221">
        <f t="shared" si="12"/>
        <v>8645.264981</v>
      </c>
      <c r="G661" s="438">
        <f t="shared" si="4"/>
        <v>0.1549108547</v>
      </c>
      <c r="H661" s="220" t="str">
        <f t="shared" si="13"/>
        <v>Default standby Charge</v>
      </c>
      <c r="I661" s="182"/>
      <c r="J661" s="182"/>
      <c r="K661" s="11"/>
      <c r="L661" s="182"/>
      <c r="M661" s="182"/>
      <c r="N661" s="182"/>
      <c r="O661" s="182"/>
      <c r="P661" s="11"/>
      <c r="Q661" s="11"/>
      <c r="R661" s="11"/>
      <c r="S661" s="11"/>
      <c r="T661" s="11"/>
      <c r="U661" s="11"/>
      <c r="V661" s="11"/>
      <c r="W661" s="11"/>
      <c r="X661" s="11"/>
      <c r="Y661" s="11"/>
      <c r="Z661" s="11"/>
      <c r="AA661" s="11"/>
    </row>
    <row r="662" ht="15.75" customHeight="1">
      <c r="A662" s="435">
        <f t="shared" si="10"/>
        <v>2556</v>
      </c>
      <c r="B662" s="429" t="str">
        <f t="shared" si="270"/>
        <v>Charge</v>
      </c>
      <c r="C662" s="221">
        <f t="shared" ref="C662:E662" si="297">C302</f>
        <v>0</v>
      </c>
      <c r="D662" s="221">
        <f t="shared" si="297"/>
        <v>0.9775626664</v>
      </c>
      <c r="E662" s="221">
        <f t="shared" si="297"/>
        <v>0</v>
      </c>
      <c r="F662" s="221">
        <f t="shared" si="12"/>
        <v>8646.242544</v>
      </c>
      <c r="G662" s="438">
        <f t="shared" si="4"/>
        <v>0.1549283713</v>
      </c>
      <c r="H662" s="220" t="str">
        <f t="shared" si="13"/>
        <v>Default standby Charge</v>
      </c>
      <c r="I662" s="182"/>
      <c r="J662" s="182"/>
      <c r="K662" s="11"/>
      <c r="L662" s="182"/>
      <c r="M662" s="182"/>
      <c r="N662" s="182"/>
      <c r="O662" s="182"/>
      <c r="P662" s="11"/>
      <c r="Q662" s="11"/>
      <c r="R662" s="11"/>
      <c r="S662" s="11"/>
      <c r="T662" s="11"/>
      <c r="U662" s="11"/>
      <c r="V662" s="11"/>
      <c r="W662" s="11"/>
      <c r="X662" s="11"/>
      <c r="Y662" s="11"/>
      <c r="Z662" s="11"/>
      <c r="AA662" s="11"/>
    </row>
    <row r="663" ht="15.75" customHeight="1">
      <c r="A663" s="435">
        <f t="shared" si="10"/>
        <v>2560</v>
      </c>
      <c r="B663" s="429" t="str">
        <f t="shared" si="270"/>
        <v>Charge</v>
      </c>
      <c r="C663" s="221">
        <f t="shared" ref="C663:E663" si="298">C303</f>
        <v>0</v>
      </c>
      <c r="D663" s="221">
        <f t="shared" si="298"/>
        <v>0.9775626664</v>
      </c>
      <c r="E663" s="221">
        <f t="shared" si="298"/>
        <v>0</v>
      </c>
      <c r="F663" s="221">
        <f t="shared" si="12"/>
        <v>8647.220106</v>
      </c>
      <c r="G663" s="438">
        <f t="shared" si="4"/>
        <v>0.1549458878</v>
      </c>
      <c r="H663" s="220" t="str">
        <f t="shared" si="13"/>
        <v>Default standby Charge</v>
      </c>
      <c r="I663" s="182"/>
      <c r="J663" s="182"/>
      <c r="K663" s="11"/>
      <c r="L663" s="182"/>
      <c r="M663" s="182"/>
      <c r="N663" s="182"/>
      <c r="O663" s="182"/>
      <c r="P663" s="11"/>
      <c r="Q663" s="11"/>
      <c r="R663" s="11"/>
      <c r="S663" s="11"/>
      <c r="T663" s="11"/>
      <c r="U663" s="11"/>
      <c r="V663" s="11"/>
      <c r="W663" s="11"/>
      <c r="X663" s="11"/>
      <c r="Y663" s="11"/>
      <c r="Z663" s="11"/>
      <c r="AA663" s="11"/>
    </row>
    <row r="664" ht="15.75" customHeight="1">
      <c r="A664" s="435">
        <f t="shared" si="10"/>
        <v>2564</v>
      </c>
      <c r="B664" s="429" t="str">
        <f t="shared" si="270"/>
        <v>Charge</v>
      </c>
      <c r="C664" s="221">
        <f t="shared" ref="C664:E664" si="299">C304</f>
        <v>0</v>
      </c>
      <c r="D664" s="221">
        <f t="shared" si="299"/>
        <v>0.9775626664</v>
      </c>
      <c r="E664" s="221">
        <f t="shared" si="299"/>
        <v>0</v>
      </c>
      <c r="F664" s="221">
        <f t="shared" si="12"/>
        <v>8648.197669</v>
      </c>
      <c r="G664" s="438">
        <f t="shared" si="4"/>
        <v>0.1549634043</v>
      </c>
      <c r="H664" s="220" t="str">
        <f t="shared" si="13"/>
        <v>Default standby Charge</v>
      </c>
      <c r="I664" s="182"/>
      <c r="J664" s="182"/>
      <c r="K664" s="11"/>
      <c r="L664" s="182"/>
      <c r="M664" s="182"/>
      <c r="N664" s="182"/>
      <c r="O664" s="182"/>
      <c r="P664" s="11"/>
      <c r="Q664" s="11"/>
      <c r="R664" s="11"/>
      <c r="S664" s="11"/>
      <c r="T664" s="11"/>
      <c r="U664" s="11"/>
      <c r="V664" s="11"/>
      <c r="W664" s="11"/>
      <c r="X664" s="11"/>
      <c r="Y664" s="11"/>
      <c r="Z664" s="11"/>
      <c r="AA664" s="11"/>
    </row>
    <row r="665" ht="15.75" customHeight="1">
      <c r="A665" s="435">
        <f t="shared" si="10"/>
        <v>2568</v>
      </c>
      <c r="B665" s="429" t="str">
        <f t="shared" si="270"/>
        <v>Charge</v>
      </c>
      <c r="C665" s="221">
        <f t="shared" ref="C665:E665" si="300">C305</f>
        <v>0</v>
      </c>
      <c r="D665" s="221">
        <f t="shared" si="300"/>
        <v>0.9775626664</v>
      </c>
      <c r="E665" s="221">
        <f t="shared" si="300"/>
        <v>0</v>
      </c>
      <c r="F665" s="221">
        <f t="shared" si="12"/>
        <v>8649.175232</v>
      </c>
      <c r="G665" s="438">
        <f t="shared" si="4"/>
        <v>0.1549809209</v>
      </c>
      <c r="H665" s="220" t="str">
        <f t="shared" si="13"/>
        <v>Default standby Charge</v>
      </c>
      <c r="I665" s="182"/>
      <c r="J665" s="182"/>
      <c r="K665" s="11"/>
      <c r="L665" s="182"/>
      <c r="M665" s="182"/>
      <c r="N665" s="182"/>
      <c r="O665" s="182"/>
      <c r="P665" s="11"/>
      <c r="Q665" s="11"/>
      <c r="R665" s="11"/>
      <c r="S665" s="11"/>
      <c r="T665" s="11"/>
      <c r="U665" s="11"/>
      <c r="V665" s="11"/>
      <c r="W665" s="11"/>
      <c r="X665" s="11"/>
      <c r="Y665" s="11"/>
      <c r="Z665" s="11"/>
      <c r="AA665" s="11"/>
    </row>
    <row r="666" ht="15.75" customHeight="1">
      <c r="A666" s="435">
        <f t="shared" si="10"/>
        <v>2572</v>
      </c>
      <c r="B666" s="429" t="str">
        <f t="shared" si="270"/>
        <v>Charge</v>
      </c>
      <c r="C666" s="221">
        <f t="shared" ref="C666:E666" si="301">C306</f>
        <v>0</v>
      </c>
      <c r="D666" s="221">
        <f t="shared" si="301"/>
        <v>0.9775626664</v>
      </c>
      <c r="E666" s="221">
        <f t="shared" si="301"/>
        <v>0</v>
      </c>
      <c r="F666" s="221">
        <f t="shared" si="12"/>
        <v>8650.152794</v>
      </c>
      <c r="G666" s="438">
        <f t="shared" si="4"/>
        <v>0.1549984374</v>
      </c>
      <c r="H666" s="220" t="str">
        <f t="shared" si="13"/>
        <v>Default standby Charge</v>
      </c>
      <c r="I666" s="182"/>
      <c r="J666" s="182"/>
      <c r="K666" s="11"/>
      <c r="L666" s="182"/>
      <c r="M666" s="182"/>
      <c r="N666" s="182"/>
      <c r="O666" s="182"/>
      <c r="P666" s="11"/>
      <c r="Q666" s="11"/>
      <c r="R666" s="11"/>
      <c r="S666" s="11"/>
      <c r="T666" s="11"/>
      <c r="U666" s="11"/>
      <c r="V666" s="11"/>
      <c r="W666" s="11"/>
      <c r="X666" s="11"/>
      <c r="Y666" s="11"/>
      <c r="Z666" s="11"/>
      <c r="AA666" s="11"/>
    </row>
    <row r="667" ht="15.75" customHeight="1">
      <c r="A667" s="435">
        <f t="shared" si="10"/>
        <v>2576</v>
      </c>
      <c r="B667" s="429" t="str">
        <f t="shared" si="270"/>
        <v>Charge</v>
      </c>
      <c r="C667" s="221">
        <f t="shared" ref="C667:E667" si="302">C307</f>
        <v>0</v>
      </c>
      <c r="D667" s="221">
        <f t="shared" si="302"/>
        <v>0.9775626664</v>
      </c>
      <c r="E667" s="221">
        <f t="shared" si="302"/>
        <v>0</v>
      </c>
      <c r="F667" s="221">
        <f t="shared" si="12"/>
        <v>8651.130357</v>
      </c>
      <c r="G667" s="438">
        <f t="shared" si="4"/>
        <v>0.1550159539</v>
      </c>
      <c r="H667" s="220" t="str">
        <f t="shared" si="13"/>
        <v>Default standby Charge</v>
      </c>
      <c r="I667" s="182"/>
      <c r="J667" s="182"/>
      <c r="K667" s="11"/>
      <c r="L667" s="182"/>
      <c r="M667" s="182"/>
      <c r="N667" s="182"/>
      <c r="O667" s="182"/>
      <c r="P667" s="11"/>
      <c r="Q667" s="11"/>
      <c r="R667" s="11"/>
      <c r="S667" s="11"/>
      <c r="T667" s="11"/>
      <c r="U667" s="11"/>
      <c r="V667" s="11"/>
      <c r="W667" s="11"/>
      <c r="X667" s="11"/>
      <c r="Y667" s="11"/>
      <c r="Z667" s="11"/>
      <c r="AA667" s="11"/>
    </row>
    <row r="668" ht="15.75" customHeight="1">
      <c r="A668" s="435">
        <f t="shared" si="10"/>
        <v>2580</v>
      </c>
      <c r="B668" s="429" t="str">
        <f t="shared" si="270"/>
        <v>Charge</v>
      </c>
      <c r="C668" s="221">
        <f t="shared" ref="C668:E668" si="303">C308</f>
        <v>0</v>
      </c>
      <c r="D668" s="221">
        <f t="shared" si="303"/>
        <v>0.9775626664</v>
      </c>
      <c r="E668" s="221">
        <f t="shared" si="303"/>
        <v>0</v>
      </c>
      <c r="F668" s="221">
        <f t="shared" si="12"/>
        <v>8652.10792</v>
      </c>
      <c r="G668" s="438">
        <f t="shared" si="4"/>
        <v>0.1550334705</v>
      </c>
      <c r="H668" s="220" t="str">
        <f t="shared" si="13"/>
        <v>Default standby Charge</v>
      </c>
      <c r="I668" s="182"/>
      <c r="J668" s="182"/>
      <c r="K668" s="11"/>
      <c r="L668" s="182"/>
      <c r="M668" s="182"/>
      <c r="N668" s="182"/>
      <c r="O668" s="182"/>
      <c r="P668" s="11"/>
      <c r="Q668" s="11"/>
      <c r="R668" s="11"/>
      <c r="S668" s="11"/>
      <c r="T668" s="11"/>
      <c r="U668" s="11"/>
      <c r="V668" s="11"/>
      <c r="W668" s="11"/>
      <c r="X668" s="11"/>
      <c r="Y668" s="11"/>
      <c r="Z668" s="11"/>
      <c r="AA668" s="11"/>
    </row>
    <row r="669" ht="15.75" customHeight="1">
      <c r="A669" s="435">
        <f t="shared" si="10"/>
        <v>2584</v>
      </c>
      <c r="B669" s="429" t="str">
        <f t="shared" si="270"/>
        <v>Charge</v>
      </c>
      <c r="C669" s="221">
        <f t="shared" ref="C669:E669" si="304">C309</f>
        <v>0</v>
      </c>
      <c r="D669" s="221">
        <f t="shared" si="304"/>
        <v>0.9775626664</v>
      </c>
      <c r="E669" s="221">
        <f t="shared" si="304"/>
        <v>0</v>
      </c>
      <c r="F669" s="221">
        <f t="shared" si="12"/>
        <v>8653.085482</v>
      </c>
      <c r="G669" s="438">
        <f t="shared" si="4"/>
        <v>0.155050987</v>
      </c>
      <c r="H669" s="220" t="str">
        <f t="shared" si="13"/>
        <v>Default standby Charge</v>
      </c>
      <c r="I669" s="182"/>
      <c r="J669" s="182"/>
      <c r="K669" s="11"/>
      <c r="L669" s="182"/>
      <c r="M669" s="182"/>
      <c r="N669" s="182"/>
      <c r="O669" s="182"/>
      <c r="P669" s="11"/>
      <c r="Q669" s="11"/>
      <c r="R669" s="11"/>
      <c r="S669" s="11"/>
      <c r="T669" s="11"/>
      <c r="U669" s="11"/>
      <c r="V669" s="11"/>
      <c r="W669" s="11"/>
      <c r="X669" s="11"/>
      <c r="Y669" s="11"/>
      <c r="Z669" s="11"/>
      <c r="AA669" s="11"/>
    </row>
    <row r="670" ht="15.75" customHeight="1">
      <c r="A670" s="435">
        <f t="shared" si="10"/>
        <v>2588</v>
      </c>
      <c r="B670" s="429" t="str">
        <f t="shared" si="270"/>
        <v>Charge</v>
      </c>
      <c r="C670" s="221">
        <f t="shared" ref="C670:E670" si="305">C310</f>
        <v>0</v>
      </c>
      <c r="D670" s="221">
        <f t="shared" si="305"/>
        <v>0.9775626664</v>
      </c>
      <c r="E670" s="221">
        <f t="shared" si="305"/>
        <v>0</v>
      </c>
      <c r="F670" s="221">
        <f t="shared" si="12"/>
        <v>8654.063045</v>
      </c>
      <c r="G670" s="438">
        <f t="shared" si="4"/>
        <v>0.1550685035</v>
      </c>
      <c r="H670" s="220" t="str">
        <f t="shared" si="13"/>
        <v>Default standby Charge</v>
      </c>
      <c r="I670" s="182"/>
      <c r="J670" s="182"/>
      <c r="K670" s="11"/>
      <c r="L670" s="182"/>
      <c r="M670" s="182"/>
      <c r="N670" s="182"/>
      <c r="O670" s="182"/>
      <c r="P670" s="11"/>
      <c r="Q670" s="11"/>
      <c r="R670" s="11"/>
      <c r="S670" s="11"/>
      <c r="T670" s="11"/>
      <c r="U670" s="11"/>
      <c r="V670" s="11"/>
      <c r="W670" s="11"/>
      <c r="X670" s="11"/>
      <c r="Y670" s="11"/>
      <c r="Z670" s="11"/>
      <c r="AA670" s="11"/>
    </row>
    <row r="671" ht="15.75" customHeight="1">
      <c r="A671" s="435">
        <f t="shared" si="10"/>
        <v>2592</v>
      </c>
      <c r="B671" s="429" t="str">
        <f t="shared" si="270"/>
        <v>Charge</v>
      </c>
      <c r="C671" s="221">
        <f t="shared" ref="C671:E671" si="306">C311</f>
        <v>0</v>
      </c>
      <c r="D671" s="221">
        <f t="shared" si="306"/>
        <v>0.9775626664</v>
      </c>
      <c r="E671" s="221">
        <f t="shared" si="306"/>
        <v>0</v>
      </c>
      <c r="F671" s="221">
        <f t="shared" si="12"/>
        <v>8655.040608</v>
      </c>
      <c r="G671" s="438">
        <f t="shared" si="4"/>
        <v>0.1550860201</v>
      </c>
      <c r="H671" s="220" t="str">
        <f t="shared" si="13"/>
        <v>Default standby Charge</v>
      </c>
      <c r="I671" s="182"/>
      <c r="J671" s="182"/>
      <c r="K671" s="11"/>
      <c r="L671" s="182"/>
      <c r="M671" s="182"/>
      <c r="N671" s="182"/>
      <c r="O671" s="182"/>
      <c r="P671" s="11"/>
      <c r="Q671" s="11"/>
      <c r="R671" s="11"/>
      <c r="S671" s="11"/>
      <c r="T671" s="11"/>
      <c r="U671" s="11"/>
      <c r="V671" s="11"/>
      <c r="W671" s="11"/>
      <c r="X671" s="11"/>
      <c r="Y671" s="11"/>
      <c r="Z671" s="11"/>
      <c r="AA671" s="11"/>
    </row>
    <row r="672" ht="15.75" customHeight="1">
      <c r="A672" s="435">
        <f t="shared" si="10"/>
        <v>2596</v>
      </c>
      <c r="B672" s="429" t="str">
        <f t="shared" si="270"/>
        <v>Charge</v>
      </c>
      <c r="C672" s="221">
        <f t="shared" ref="C672:E672" si="307">C312</f>
        <v>0</v>
      </c>
      <c r="D672" s="221">
        <f t="shared" si="307"/>
        <v>0.9775626664</v>
      </c>
      <c r="E672" s="221">
        <f t="shared" si="307"/>
        <v>0</v>
      </c>
      <c r="F672" s="221">
        <f t="shared" si="12"/>
        <v>8656.01817</v>
      </c>
      <c r="G672" s="438">
        <f t="shared" si="4"/>
        <v>0.1551035366</v>
      </c>
      <c r="H672" s="220" t="str">
        <f t="shared" si="13"/>
        <v>Default standby Charge</v>
      </c>
      <c r="I672" s="182"/>
      <c r="J672" s="182"/>
      <c r="K672" s="11"/>
      <c r="L672" s="182"/>
      <c r="M672" s="182"/>
      <c r="N672" s="182"/>
      <c r="O672" s="182"/>
      <c r="P672" s="11"/>
      <c r="Q672" s="11"/>
      <c r="R672" s="11"/>
      <c r="S672" s="11"/>
      <c r="T672" s="11"/>
      <c r="U672" s="11"/>
      <c r="V672" s="11"/>
      <c r="W672" s="11"/>
      <c r="X672" s="11"/>
      <c r="Y672" s="11"/>
      <c r="Z672" s="11"/>
      <c r="AA672" s="11"/>
    </row>
    <row r="673" ht="15.75" customHeight="1">
      <c r="A673" s="435">
        <f t="shared" si="10"/>
        <v>2600</v>
      </c>
      <c r="B673" s="429" t="str">
        <f t="shared" si="270"/>
        <v>Charge</v>
      </c>
      <c r="C673" s="221">
        <f t="shared" ref="C673:E673" si="308">C313</f>
        <v>0</v>
      </c>
      <c r="D673" s="221">
        <f t="shared" si="308"/>
        <v>0.9775626664</v>
      </c>
      <c r="E673" s="221">
        <f t="shared" si="308"/>
        <v>0</v>
      </c>
      <c r="F673" s="221">
        <f t="shared" si="12"/>
        <v>8656.995733</v>
      </c>
      <c r="G673" s="438">
        <f t="shared" si="4"/>
        <v>0.1551210531</v>
      </c>
      <c r="H673" s="220" t="str">
        <f t="shared" si="13"/>
        <v>Default standby Charge</v>
      </c>
      <c r="I673" s="182"/>
      <c r="J673" s="182"/>
      <c r="K673" s="11"/>
      <c r="L673" s="182"/>
      <c r="M673" s="182"/>
      <c r="N673" s="182"/>
      <c r="O673" s="182"/>
      <c r="P673" s="11"/>
      <c r="Q673" s="11"/>
      <c r="R673" s="11"/>
      <c r="S673" s="11"/>
      <c r="T673" s="11"/>
      <c r="U673" s="11"/>
      <c r="V673" s="11"/>
      <c r="W673" s="11"/>
      <c r="X673" s="11"/>
      <c r="Y673" s="11"/>
      <c r="Z673" s="11"/>
      <c r="AA673" s="11"/>
    </row>
    <row r="674" ht="15.75" customHeight="1">
      <c r="A674" s="435">
        <f t="shared" si="10"/>
        <v>2604</v>
      </c>
      <c r="B674" s="429" t="str">
        <f t="shared" si="270"/>
        <v>Charge</v>
      </c>
      <c r="C674" s="221">
        <f t="shared" ref="C674:E674" si="309">C314</f>
        <v>0</v>
      </c>
      <c r="D674" s="221">
        <f t="shared" si="309"/>
        <v>0.9775626664</v>
      </c>
      <c r="E674" s="221">
        <f t="shared" si="309"/>
        <v>0</v>
      </c>
      <c r="F674" s="221">
        <f t="shared" si="12"/>
        <v>8657.973296</v>
      </c>
      <c r="G674" s="438">
        <f t="shared" si="4"/>
        <v>0.1551385697</v>
      </c>
      <c r="H674" s="220" t="str">
        <f t="shared" si="13"/>
        <v>Default standby Charge</v>
      </c>
      <c r="I674" s="182"/>
      <c r="J674" s="182"/>
      <c r="K674" s="11"/>
      <c r="L674" s="182"/>
      <c r="M674" s="182"/>
      <c r="N674" s="182"/>
      <c r="O674" s="182"/>
      <c r="P674" s="11"/>
      <c r="Q674" s="11"/>
      <c r="R674" s="11"/>
      <c r="S674" s="11"/>
      <c r="T674" s="11"/>
      <c r="U674" s="11"/>
      <c r="V674" s="11"/>
      <c r="W674" s="11"/>
      <c r="X674" s="11"/>
      <c r="Y674" s="11"/>
      <c r="Z674" s="11"/>
      <c r="AA674" s="11"/>
    </row>
    <row r="675" ht="15.75" customHeight="1">
      <c r="A675" s="435">
        <f t="shared" si="10"/>
        <v>2608</v>
      </c>
      <c r="B675" s="429" t="str">
        <f t="shared" si="270"/>
        <v>Charge</v>
      </c>
      <c r="C675" s="221">
        <f t="shared" ref="C675:E675" si="310">C315</f>
        <v>0</v>
      </c>
      <c r="D675" s="221">
        <f t="shared" si="310"/>
        <v>0.9775626664</v>
      </c>
      <c r="E675" s="221">
        <f t="shared" si="310"/>
        <v>0</v>
      </c>
      <c r="F675" s="221">
        <f t="shared" si="12"/>
        <v>8658.950858</v>
      </c>
      <c r="G675" s="438">
        <f t="shared" si="4"/>
        <v>0.1551560862</v>
      </c>
      <c r="H675" s="220" t="str">
        <f t="shared" si="13"/>
        <v>Default standby Charge</v>
      </c>
      <c r="I675" s="182"/>
      <c r="J675" s="182"/>
      <c r="K675" s="11"/>
      <c r="L675" s="182"/>
      <c r="M675" s="182"/>
      <c r="N675" s="182"/>
      <c r="O675" s="182"/>
      <c r="P675" s="11"/>
      <c r="Q675" s="11"/>
      <c r="R675" s="11"/>
      <c r="S675" s="11"/>
      <c r="T675" s="11"/>
      <c r="U675" s="11"/>
      <c r="V675" s="11"/>
      <c r="W675" s="11"/>
      <c r="X675" s="11"/>
      <c r="Y675" s="11"/>
      <c r="Z675" s="11"/>
      <c r="AA675" s="11"/>
    </row>
    <row r="676" ht="15.75" customHeight="1">
      <c r="A676" s="435">
        <f t="shared" si="10"/>
        <v>2612</v>
      </c>
      <c r="B676" s="429" t="str">
        <f t="shared" si="270"/>
        <v>Charge</v>
      </c>
      <c r="C676" s="221">
        <f t="shared" ref="C676:E676" si="311">C316</f>
        <v>0</v>
      </c>
      <c r="D676" s="221">
        <f t="shared" si="311"/>
        <v>0.9775626664</v>
      </c>
      <c r="E676" s="221">
        <f t="shared" si="311"/>
        <v>0</v>
      </c>
      <c r="F676" s="221">
        <f t="shared" si="12"/>
        <v>8659.928421</v>
      </c>
      <c r="G676" s="438">
        <f t="shared" si="4"/>
        <v>0.1551736027</v>
      </c>
      <c r="H676" s="220" t="str">
        <f t="shared" si="13"/>
        <v>Default standby Charge</v>
      </c>
      <c r="I676" s="182"/>
      <c r="J676" s="182"/>
      <c r="K676" s="11"/>
      <c r="L676" s="182"/>
      <c r="M676" s="182"/>
      <c r="N676" s="182"/>
      <c r="O676" s="182"/>
      <c r="P676" s="11"/>
      <c r="Q676" s="11"/>
      <c r="R676" s="11"/>
      <c r="S676" s="11"/>
      <c r="T676" s="11"/>
      <c r="U676" s="11"/>
      <c r="V676" s="11"/>
      <c r="W676" s="11"/>
      <c r="X676" s="11"/>
      <c r="Y676" s="11"/>
      <c r="Z676" s="11"/>
      <c r="AA676" s="11"/>
    </row>
    <row r="677" ht="15.75" customHeight="1">
      <c r="A677" s="435">
        <f t="shared" si="10"/>
        <v>2616</v>
      </c>
      <c r="B677" s="429" t="str">
        <f t="shared" si="270"/>
        <v>Charge</v>
      </c>
      <c r="C677" s="221">
        <f t="shared" ref="C677:E677" si="312">C317</f>
        <v>0</v>
      </c>
      <c r="D677" s="221">
        <f t="shared" si="312"/>
        <v>0.9775626664</v>
      </c>
      <c r="E677" s="221">
        <f t="shared" si="312"/>
        <v>0</v>
      </c>
      <c r="F677" s="221">
        <f t="shared" si="12"/>
        <v>8660.905984</v>
      </c>
      <c r="G677" s="438">
        <f t="shared" si="4"/>
        <v>0.1551911193</v>
      </c>
      <c r="H677" s="220" t="str">
        <f t="shared" si="13"/>
        <v>Default standby Charge</v>
      </c>
      <c r="I677" s="182"/>
      <c r="J677" s="182"/>
      <c r="K677" s="11"/>
      <c r="L677" s="182"/>
      <c r="M677" s="182"/>
      <c r="N677" s="182"/>
      <c r="O677" s="182"/>
      <c r="P677" s="11"/>
      <c r="Q677" s="11"/>
      <c r="R677" s="11"/>
      <c r="S677" s="11"/>
      <c r="T677" s="11"/>
      <c r="U677" s="11"/>
      <c r="V677" s="11"/>
      <c r="W677" s="11"/>
      <c r="X677" s="11"/>
      <c r="Y677" s="11"/>
      <c r="Z677" s="11"/>
      <c r="AA677" s="11"/>
    </row>
    <row r="678" ht="15.75" customHeight="1">
      <c r="A678" s="435">
        <f t="shared" si="10"/>
        <v>2620</v>
      </c>
      <c r="B678" s="429" t="str">
        <f t="shared" si="270"/>
        <v>Charge</v>
      </c>
      <c r="C678" s="221">
        <f t="shared" ref="C678:E678" si="313">C318</f>
        <v>0</v>
      </c>
      <c r="D678" s="221">
        <f t="shared" si="313"/>
        <v>0.9775626664</v>
      </c>
      <c r="E678" s="221">
        <f t="shared" si="313"/>
        <v>0</v>
      </c>
      <c r="F678" s="221">
        <f t="shared" si="12"/>
        <v>8661.883546</v>
      </c>
      <c r="G678" s="438">
        <f t="shared" si="4"/>
        <v>0.1552086358</v>
      </c>
      <c r="H678" s="220" t="str">
        <f t="shared" si="13"/>
        <v>Default standby Charge</v>
      </c>
      <c r="I678" s="182"/>
      <c r="J678" s="182"/>
      <c r="K678" s="11"/>
      <c r="L678" s="182"/>
      <c r="M678" s="182"/>
      <c r="N678" s="182"/>
      <c r="O678" s="182"/>
      <c r="P678" s="11"/>
      <c r="Q678" s="11"/>
      <c r="R678" s="11"/>
      <c r="S678" s="11"/>
      <c r="T678" s="11"/>
      <c r="U678" s="11"/>
      <c r="V678" s="11"/>
      <c r="W678" s="11"/>
      <c r="X678" s="11"/>
      <c r="Y678" s="11"/>
      <c r="Z678" s="11"/>
      <c r="AA678" s="11"/>
    </row>
    <row r="679" ht="15.75" customHeight="1">
      <c r="A679" s="435">
        <f t="shared" si="10"/>
        <v>2624</v>
      </c>
      <c r="B679" s="429" t="str">
        <f t="shared" si="270"/>
        <v>Charge</v>
      </c>
      <c r="C679" s="221">
        <f t="shared" ref="C679:E679" si="314">C319</f>
        <v>0</v>
      </c>
      <c r="D679" s="221">
        <f t="shared" si="314"/>
        <v>0.9775626664</v>
      </c>
      <c r="E679" s="221">
        <f t="shared" si="314"/>
        <v>0</v>
      </c>
      <c r="F679" s="221">
        <f t="shared" si="12"/>
        <v>8662.861109</v>
      </c>
      <c r="G679" s="438">
        <f t="shared" si="4"/>
        <v>0.1552261523</v>
      </c>
      <c r="H679" s="220" t="str">
        <f t="shared" si="13"/>
        <v>Default standby Charge</v>
      </c>
      <c r="I679" s="182"/>
      <c r="J679" s="182"/>
      <c r="K679" s="11"/>
      <c r="L679" s="182"/>
      <c r="M679" s="182"/>
      <c r="N679" s="182"/>
      <c r="O679" s="182"/>
      <c r="P679" s="11"/>
      <c r="Q679" s="11"/>
      <c r="R679" s="11"/>
      <c r="S679" s="11"/>
      <c r="T679" s="11"/>
      <c r="U679" s="11"/>
      <c r="V679" s="11"/>
      <c r="W679" s="11"/>
      <c r="X679" s="11"/>
      <c r="Y679" s="11"/>
      <c r="Z679" s="11"/>
      <c r="AA679" s="11"/>
    </row>
    <row r="680" ht="15.75" customHeight="1">
      <c r="A680" s="435">
        <f t="shared" si="10"/>
        <v>2628</v>
      </c>
      <c r="B680" s="429" t="str">
        <f t="shared" si="270"/>
        <v>Charge</v>
      </c>
      <c r="C680" s="221">
        <f t="shared" ref="C680:E680" si="315">C320</f>
        <v>0</v>
      </c>
      <c r="D680" s="221">
        <f t="shared" si="315"/>
        <v>0.9775626664</v>
      </c>
      <c r="E680" s="221">
        <f t="shared" si="315"/>
        <v>0</v>
      </c>
      <c r="F680" s="221">
        <f t="shared" si="12"/>
        <v>8663.838672</v>
      </c>
      <c r="G680" s="438">
        <f t="shared" si="4"/>
        <v>0.1552436689</v>
      </c>
      <c r="H680" s="220" t="str">
        <f t="shared" si="13"/>
        <v>Default standby Charge</v>
      </c>
      <c r="I680" s="182"/>
      <c r="J680" s="182"/>
      <c r="K680" s="11"/>
      <c r="L680" s="182"/>
      <c r="M680" s="182"/>
      <c r="N680" s="182"/>
      <c r="O680" s="182"/>
      <c r="P680" s="11"/>
      <c r="Q680" s="11"/>
      <c r="R680" s="11"/>
      <c r="S680" s="11"/>
      <c r="T680" s="11"/>
      <c r="U680" s="11"/>
      <c r="V680" s="11"/>
      <c r="W680" s="11"/>
      <c r="X680" s="11"/>
      <c r="Y680" s="11"/>
      <c r="Z680" s="11"/>
      <c r="AA680" s="11"/>
    </row>
    <row r="681" ht="15.75" customHeight="1">
      <c r="A681" s="435">
        <f t="shared" si="10"/>
        <v>2632</v>
      </c>
      <c r="B681" s="429" t="str">
        <f t="shared" si="270"/>
        <v>Charge</v>
      </c>
      <c r="C681" s="221">
        <f t="shared" ref="C681:E681" si="316">C321</f>
        <v>0</v>
      </c>
      <c r="D681" s="221">
        <f t="shared" si="316"/>
        <v>0.9775626664</v>
      </c>
      <c r="E681" s="221">
        <f t="shared" si="316"/>
        <v>0</v>
      </c>
      <c r="F681" s="221">
        <f t="shared" si="12"/>
        <v>8664.816234</v>
      </c>
      <c r="G681" s="438">
        <f t="shared" si="4"/>
        <v>0.1552611854</v>
      </c>
      <c r="H681" s="220" t="str">
        <f t="shared" si="13"/>
        <v>Default standby Charge</v>
      </c>
      <c r="I681" s="182"/>
      <c r="J681" s="182"/>
      <c r="K681" s="11"/>
      <c r="L681" s="182"/>
      <c r="M681" s="182"/>
      <c r="N681" s="182"/>
      <c r="O681" s="182"/>
      <c r="P681" s="11"/>
      <c r="Q681" s="11"/>
      <c r="R681" s="11"/>
      <c r="S681" s="11"/>
      <c r="T681" s="11"/>
      <c r="U681" s="11"/>
      <c r="V681" s="11"/>
      <c r="W681" s="11"/>
      <c r="X681" s="11"/>
      <c r="Y681" s="11"/>
      <c r="Z681" s="11"/>
      <c r="AA681" s="11"/>
    </row>
    <row r="682" ht="15.75" customHeight="1">
      <c r="A682" s="435">
        <f t="shared" si="10"/>
        <v>2636</v>
      </c>
      <c r="B682" s="429" t="str">
        <f t="shared" si="270"/>
        <v>Charge</v>
      </c>
      <c r="C682" s="221">
        <f t="shared" ref="C682:E682" si="317">C322</f>
        <v>0</v>
      </c>
      <c r="D682" s="221">
        <f t="shared" si="317"/>
        <v>0.9775626664</v>
      </c>
      <c r="E682" s="221">
        <f t="shared" si="317"/>
        <v>0</v>
      </c>
      <c r="F682" s="221">
        <f t="shared" si="12"/>
        <v>8665.793797</v>
      </c>
      <c r="G682" s="438">
        <f t="shared" si="4"/>
        <v>0.1552787019</v>
      </c>
      <c r="H682" s="220" t="str">
        <f t="shared" si="13"/>
        <v>Default standby Charge</v>
      </c>
      <c r="I682" s="182"/>
      <c r="J682" s="182"/>
      <c r="K682" s="11"/>
      <c r="L682" s="182"/>
      <c r="M682" s="182"/>
      <c r="N682" s="182"/>
      <c r="O682" s="182"/>
      <c r="P682" s="11"/>
      <c r="Q682" s="11"/>
      <c r="R682" s="11"/>
      <c r="S682" s="11"/>
      <c r="T682" s="11"/>
      <c r="U682" s="11"/>
      <c r="V682" s="11"/>
      <c r="W682" s="11"/>
      <c r="X682" s="11"/>
      <c r="Y682" s="11"/>
      <c r="Z682" s="11"/>
      <c r="AA682" s="11"/>
    </row>
    <row r="683" ht="15.75" customHeight="1">
      <c r="A683" s="435">
        <f t="shared" si="10"/>
        <v>2640</v>
      </c>
      <c r="B683" s="449" t="str">
        <f t="shared" ref="B683:E683" si="318">B323</f>
        <v>Downlink</v>
      </c>
      <c r="C683" s="221">
        <f t="shared" si="318"/>
        <v>0</v>
      </c>
      <c r="D683" s="221">
        <f t="shared" si="318"/>
        <v>0.9775626664</v>
      </c>
      <c r="E683" s="221">
        <f t="shared" si="318"/>
        <v>0.75</v>
      </c>
      <c r="F683" s="221">
        <f t="shared" si="12"/>
        <v>8666.02136</v>
      </c>
      <c r="G683" s="438">
        <f t="shared" si="4"/>
        <v>0.1552827795</v>
      </c>
      <c r="H683" s="220" t="str">
        <f t="shared" si="13"/>
        <v>Validated contact; Downlink preempts Science</v>
      </c>
      <c r="I683" s="182"/>
      <c r="J683" s="182"/>
      <c r="K683" s="11"/>
      <c r="L683" s="182"/>
      <c r="M683" s="182"/>
      <c r="N683" s="182"/>
      <c r="O683" s="182"/>
      <c r="P683" s="11"/>
      <c r="Q683" s="11"/>
      <c r="R683" s="11"/>
      <c r="S683" s="11"/>
      <c r="T683" s="11"/>
      <c r="U683" s="11"/>
      <c r="V683" s="11"/>
      <c r="W683" s="11"/>
      <c r="X683" s="11"/>
      <c r="Y683" s="11"/>
      <c r="Z683" s="11"/>
      <c r="AA683" s="11"/>
    </row>
    <row r="684" ht="15.75" customHeight="1">
      <c r="A684" s="435">
        <f t="shared" si="10"/>
        <v>2644</v>
      </c>
      <c r="B684" s="449" t="str">
        <f t="shared" ref="B684:E684" si="319">B324</f>
        <v>Downlink</v>
      </c>
      <c r="C684" s="221">
        <f t="shared" si="319"/>
        <v>0</v>
      </c>
      <c r="D684" s="221">
        <f t="shared" si="319"/>
        <v>0.9775626664</v>
      </c>
      <c r="E684" s="221">
        <f t="shared" si="319"/>
        <v>0.75</v>
      </c>
      <c r="F684" s="221">
        <f t="shared" si="12"/>
        <v>8666.248922</v>
      </c>
      <c r="G684" s="438">
        <f t="shared" si="4"/>
        <v>0.1552868571</v>
      </c>
      <c r="H684" s="220" t="str">
        <f t="shared" si="13"/>
        <v>Validated contact; Downlink preempts Science</v>
      </c>
      <c r="I684" s="182"/>
      <c r="J684" s="182"/>
      <c r="K684" s="11"/>
      <c r="L684" s="182"/>
      <c r="M684" s="182"/>
      <c r="N684" s="182"/>
      <c r="O684" s="182"/>
      <c r="P684" s="11"/>
      <c r="Q684" s="11"/>
      <c r="R684" s="11"/>
      <c r="S684" s="11"/>
      <c r="T684" s="11"/>
      <c r="U684" s="11"/>
      <c r="V684" s="11"/>
      <c r="W684" s="11"/>
      <c r="X684" s="11"/>
      <c r="Y684" s="11"/>
      <c r="Z684" s="11"/>
      <c r="AA684" s="11"/>
    </row>
    <row r="685" ht="15.75" customHeight="1">
      <c r="A685" s="435">
        <f t="shared" si="10"/>
        <v>2648</v>
      </c>
      <c r="B685" s="429" t="str">
        <f t="shared" ref="B685:B742" si="321">IF(AND(MOD(A685,1440)&gt;=$K$6,MOD(A685,1440)&lt;$L$6),"Safe",IF(OR(AND(MOD(A685,1440)&gt;=$K$14,MOD(A685,1440)&lt;$L$14),AND(MOD(A685,1440)&gt;=$K$15,MOD(A685,1440)&lt;$L$15),AND(MOD(A685,1440)&gt;=$K$16,MOD(A685,1440)&lt;$L$16),AND(MOD(A685,1440)&gt;=$K$17,MOD(A685,1440)&lt;$L$17),AND(MOD(A685,1440)&gt;=$K$18,MOD(A685,1440)&lt;$L$18),AND(MOD(A685,1440)&gt;=$K$19,MOD(A685,1440)&lt;$L$19)),"Downlink",IF(AND(MOD(A685,1440)&gt;=$K$8,MOD(A685,1440)&lt;$L$8),"Science A",IF(AND(MOD(A685,1440)&gt;=$K$9,MOD(A685,1440)&lt;$L$9),"Science B",IF(AND(MOD(A685,1440)&gt;=$K$10,MOD(A685,1440)&lt;$L$10),"Science C","Charge")))))</f>
        <v>Charge</v>
      </c>
      <c r="C685" s="221">
        <f t="shared" ref="C685:E685" si="320">C325</f>
        <v>0</v>
      </c>
      <c r="D685" s="221">
        <f t="shared" si="320"/>
        <v>0.9775626664</v>
      </c>
      <c r="E685" s="221">
        <f t="shared" si="320"/>
        <v>0</v>
      </c>
      <c r="F685" s="221">
        <f t="shared" si="12"/>
        <v>8667.226485</v>
      </c>
      <c r="G685" s="438">
        <f t="shared" si="4"/>
        <v>0.1553043737</v>
      </c>
      <c r="H685" s="220" t="str">
        <f t="shared" si="13"/>
        <v>Default standby Charge</v>
      </c>
      <c r="I685" s="182"/>
      <c r="J685" s="182"/>
      <c r="K685" s="11"/>
      <c r="L685" s="182"/>
      <c r="M685" s="182"/>
      <c r="N685" s="182"/>
      <c r="O685" s="182"/>
      <c r="P685" s="11"/>
      <c r="Q685" s="11"/>
      <c r="R685" s="11"/>
      <c r="S685" s="11"/>
      <c r="T685" s="11"/>
      <c r="U685" s="11"/>
      <c r="V685" s="11"/>
      <c r="W685" s="11"/>
      <c r="X685" s="11"/>
      <c r="Y685" s="11"/>
      <c r="Z685" s="11"/>
      <c r="AA685" s="11"/>
    </row>
    <row r="686" ht="15.75" customHeight="1">
      <c r="A686" s="435">
        <f t="shared" si="10"/>
        <v>2652</v>
      </c>
      <c r="B686" s="429" t="str">
        <f t="shared" si="321"/>
        <v>Charge</v>
      </c>
      <c r="C686" s="221">
        <f t="shared" ref="C686:E686" si="322">C326</f>
        <v>0</v>
      </c>
      <c r="D686" s="221">
        <f t="shared" si="322"/>
        <v>0.9775626664</v>
      </c>
      <c r="E686" s="221">
        <f t="shared" si="322"/>
        <v>0</v>
      </c>
      <c r="F686" s="221">
        <f t="shared" si="12"/>
        <v>8668.204048</v>
      </c>
      <c r="G686" s="438">
        <f t="shared" si="4"/>
        <v>0.1553218902</v>
      </c>
      <c r="H686" s="220" t="str">
        <f t="shared" si="13"/>
        <v>Default standby Charge</v>
      </c>
      <c r="I686" s="182"/>
      <c r="J686" s="182"/>
      <c r="K686" s="11"/>
      <c r="L686" s="182"/>
      <c r="M686" s="182"/>
      <c r="N686" s="182"/>
      <c r="O686" s="182"/>
      <c r="P686" s="11"/>
      <c r="Q686" s="11"/>
      <c r="R686" s="11"/>
      <c r="S686" s="11"/>
      <c r="T686" s="11"/>
      <c r="U686" s="11"/>
      <c r="V686" s="11"/>
      <c r="W686" s="11"/>
      <c r="X686" s="11"/>
      <c r="Y686" s="11"/>
      <c r="Z686" s="11"/>
      <c r="AA686" s="11"/>
    </row>
    <row r="687" ht="15.75" customHeight="1">
      <c r="A687" s="435">
        <f t="shared" si="10"/>
        <v>2656</v>
      </c>
      <c r="B687" s="429" t="str">
        <f t="shared" si="321"/>
        <v>Charge</v>
      </c>
      <c r="C687" s="221">
        <f t="shared" ref="C687:E687" si="323">C327</f>
        <v>0</v>
      </c>
      <c r="D687" s="221">
        <f t="shared" si="323"/>
        <v>0.9775626664</v>
      </c>
      <c r="E687" s="221">
        <f t="shared" si="323"/>
        <v>0</v>
      </c>
      <c r="F687" s="221">
        <f t="shared" si="12"/>
        <v>8669.18161</v>
      </c>
      <c r="G687" s="438">
        <f t="shared" si="4"/>
        <v>0.1553394067</v>
      </c>
      <c r="H687" s="220" t="str">
        <f t="shared" si="13"/>
        <v>Default standby Charge</v>
      </c>
      <c r="I687" s="182"/>
      <c r="J687" s="182"/>
      <c r="K687" s="11"/>
      <c r="L687" s="182"/>
      <c r="M687" s="182"/>
      <c r="N687" s="182"/>
      <c r="O687" s="182"/>
      <c r="P687" s="11"/>
      <c r="Q687" s="11"/>
      <c r="R687" s="11"/>
      <c r="S687" s="11"/>
      <c r="T687" s="11"/>
      <c r="U687" s="11"/>
      <c r="V687" s="11"/>
      <c r="W687" s="11"/>
      <c r="X687" s="11"/>
      <c r="Y687" s="11"/>
      <c r="Z687" s="11"/>
      <c r="AA687" s="11"/>
    </row>
    <row r="688" ht="15.75" customHeight="1">
      <c r="A688" s="435">
        <f t="shared" si="10"/>
        <v>2660</v>
      </c>
      <c r="B688" s="429" t="str">
        <f t="shared" si="321"/>
        <v>Charge</v>
      </c>
      <c r="C688" s="221">
        <f t="shared" ref="C688:E688" si="324">C328</f>
        <v>0</v>
      </c>
      <c r="D688" s="221">
        <f t="shared" si="324"/>
        <v>0.9775626664</v>
      </c>
      <c r="E688" s="221">
        <f t="shared" si="324"/>
        <v>0</v>
      </c>
      <c r="F688" s="221">
        <f t="shared" si="12"/>
        <v>8670.159173</v>
      </c>
      <c r="G688" s="438">
        <f t="shared" si="4"/>
        <v>0.1553569233</v>
      </c>
      <c r="H688" s="220" t="str">
        <f t="shared" si="13"/>
        <v>Default standby Charge</v>
      </c>
      <c r="I688" s="182"/>
      <c r="J688" s="182"/>
      <c r="K688" s="11"/>
      <c r="L688" s="182"/>
      <c r="M688" s="182"/>
      <c r="N688" s="182"/>
      <c r="O688" s="182"/>
      <c r="P688" s="11"/>
      <c r="Q688" s="11"/>
      <c r="R688" s="11"/>
      <c r="S688" s="11"/>
      <c r="T688" s="11"/>
      <c r="U688" s="11"/>
      <c r="V688" s="11"/>
      <c r="W688" s="11"/>
      <c r="X688" s="11"/>
      <c r="Y688" s="11"/>
      <c r="Z688" s="11"/>
      <c r="AA688" s="11"/>
    </row>
    <row r="689" ht="15.75" customHeight="1">
      <c r="A689" s="435">
        <f t="shared" si="10"/>
        <v>2664</v>
      </c>
      <c r="B689" s="429" t="str">
        <f t="shared" si="321"/>
        <v>Charge</v>
      </c>
      <c r="C689" s="221">
        <f t="shared" ref="C689:E689" si="325">C329</f>
        <v>0</v>
      </c>
      <c r="D689" s="221">
        <f t="shared" si="325"/>
        <v>0.9775626664</v>
      </c>
      <c r="E689" s="221">
        <f t="shared" si="325"/>
        <v>0</v>
      </c>
      <c r="F689" s="221">
        <f t="shared" si="12"/>
        <v>8671.136736</v>
      </c>
      <c r="G689" s="438">
        <f t="shared" si="4"/>
        <v>0.1553744398</v>
      </c>
      <c r="H689" s="220" t="str">
        <f t="shared" si="13"/>
        <v>Default standby Charge</v>
      </c>
      <c r="I689" s="182"/>
      <c r="J689" s="182"/>
      <c r="K689" s="11"/>
      <c r="L689" s="182"/>
      <c r="M689" s="182"/>
      <c r="N689" s="182"/>
      <c r="O689" s="182"/>
      <c r="P689" s="11"/>
      <c r="Q689" s="11"/>
      <c r="R689" s="11"/>
      <c r="S689" s="11"/>
      <c r="T689" s="11"/>
      <c r="U689" s="11"/>
      <c r="V689" s="11"/>
      <c r="W689" s="11"/>
      <c r="X689" s="11"/>
      <c r="Y689" s="11"/>
      <c r="Z689" s="11"/>
      <c r="AA689" s="11"/>
    </row>
    <row r="690" ht="15.75" customHeight="1">
      <c r="A690" s="435">
        <f t="shared" si="10"/>
        <v>2668</v>
      </c>
      <c r="B690" s="429" t="str">
        <f t="shared" si="321"/>
        <v>Charge</v>
      </c>
      <c r="C690" s="221">
        <f t="shared" ref="C690:E690" si="326">C330</f>
        <v>0</v>
      </c>
      <c r="D690" s="221">
        <f t="shared" si="326"/>
        <v>0.9775626664</v>
      </c>
      <c r="E690" s="221">
        <f t="shared" si="326"/>
        <v>0</v>
      </c>
      <c r="F690" s="221">
        <f t="shared" si="12"/>
        <v>8672.114298</v>
      </c>
      <c r="G690" s="438">
        <f t="shared" si="4"/>
        <v>0.1553919563</v>
      </c>
      <c r="H690" s="220" t="str">
        <f t="shared" si="13"/>
        <v>Default standby Charge</v>
      </c>
      <c r="I690" s="182"/>
      <c r="J690" s="182"/>
      <c r="K690" s="11"/>
      <c r="L690" s="182"/>
      <c r="M690" s="182"/>
      <c r="N690" s="182"/>
      <c r="O690" s="182"/>
      <c r="P690" s="11"/>
      <c r="Q690" s="11"/>
      <c r="R690" s="11"/>
      <c r="S690" s="11"/>
      <c r="T690" s="11"/>
      <c r="U690" s="11"/>
      <c r="V690" s="11"/>
      <c r="W690" s="11"/>
      <c r="X690" s="11"/>
      <c r="Y690" s="11"/>
      <c r="Z690" s="11"/>
      <c r="AA690" s="11"/>
    </row>
    <row r="691" ht="15.75" customHeight="1">
      <c r="A691" s="435">
        <f t="shared" si="10"/>
        <v>2672</v>
      </c>
      <c r="B691" s="429" t="str">
        <f t="shared" si="321"/>
        <v>Charge</v>
      </c>
      <c r="C691" s="221">
        <f t="shared" ref="C691:E691" si="327">C331</f>
        <v>0</v>
      </c>
      <c r="D691" s="221">
        <f t="shared" si="327"/>
        <v>0.9775626664</v>
      </c>
      <c r="E691" s="221">
        <f t="shared" si="327"/>
        <v>0</v>
      </c>
      <c r="F691" s="221">
        <f t="shared" si="12"/>
        <v>8673.091861</v>
      </c>
      <c r="G691" s="438">
        <f t="shared" si="4"/>
        <v>0.1554094729</v>
      </c>
      <c r="H691" s="220" t="str">
        <f t="shared" si="13"/>
        <v>Default standby Charge</v>
      </c>
      <c r="I691" s="182"/>
      <c r="J691" s="182"/>
      <c r="K691" s="11"/>
      <c r="L691" s="182"/>
      <c r="M691" s="182"/>
      <c r="N691" s="182"/>
      <c r="O691" s="182"/>
      <c r="P691" s="11"/>
      <c r="Q691" s="11"/>
      <c r="R691" s="11"/>
      <c r="S691" s="11"/>
      <c r="T691" s="11"/>
      <c r="U691" s="11"/>
      <c r="V691" s="11"/>
      <c r="W691" s="11"/>
      <c r="X691" s="11"/>
      <c r="Y691" s="11"/>
      <c r="Z691" s="11"/>
      <c r="AA691" s="11"/>
    </row>
    <row r="692" ht="15.75" customHeight="1">
      <c r="A692" s="435">
        <f t="shared" si="10"/>
        <v>2676</v>
      </c>
      <c r="B692" s="429" t="str">
        <f t="shared" si="321"/>
        <v>Charge</v>
      </c>
      <c r="C692" s="221">
        <f t="shared" ref="C692:E692" si="328">C332</f>
        <v>0</v>
      </c>
      <c r="D692" s="221">
        <f t="shared" si="328"/>
        <v>0.9775626664</v>
      </c>
      <c r="E692" s="221">
        <f t="shared" si="328"/>
        <v>0</v>
      </c>
      <c r="F692" s="221">
        <f t="shared" si="12"/>
        <v>8674.069424</v>
      </c>
      <c r="G692" s="438">
        <f t="shared" si="4"/>
        <v>0.1554269894</v>
      </c>
      <c r="H692" s="220" t="str">
        <f t="shared" si="13"/>
        <v>Default standby Charge</v>
      </c>
      <c r="I692" s="182"/>
      <c r="J692" s="182"/>
      <c r="K692" s="11"/>
      <c r="L692" s="182"/>
      <c r="M692" s="182"/>
      <c r="N692" s="182"/>
      <c r="O692" s="182"/>
      <c r="P692" s="11"/>
      <c r="Q692" s="11"/>
      <c r="R692" s="11"/>
      <c r="S692" s="11"/>
      <c r="T692" s="11"/>
      <c r="U692" s="11"/>
      <c r="V692" s="11"/>
      <c r="W692" s="11"/>
      <c r="X692" s="11"/>
      <c r="Y692" s="11"/>
      <c r="Z692" s="11"/>
      <c r="AA692" s="11"/>
    </row>
    <row r="693" ht="15.75" customHeight="1">
      <c r="A693" s="435">
        <f t="shared" si="10"/>
        <v>2680</v>
      </c>
      <c r="B693" s="429" t="str">
        <f t="shared" si="321"/>
        <v>Charge</v>
      </c>
      <c r="C693" s="221">
        <f t="shared" ref="C693:E693" si="329">C333</f>
        <v>0</v>
      </c>
      <c r="D693" s="221">
        <f t="shared" si="329"/>
        <v>0.9775626664</v>
      </c>
      <c r="E693" s="221">
        <f t="shared" si="329"/>
        <v>0</v>
      </c>
      <c r="F693" s="221">
        <f t="shared" si="12"/>
        <v>8675.046986</v>
      </c>
      <c r="G693" s="438">
        <f t="shared" si="4"/>
        <v>0.1554445059</v>
      </c>
      <c r="H693" s="220" t="str">
        <f t="shared" si="13"/>
        <v>Default standby Charge</v>
      </c>
      <c r="I693" s="182"/>
      <c r="J693" s="182"/>
      <c r="K693" s="11"/>
      <c r="L693" s="182"/>
      <c r="M693" s="182"/>
      <c r="N693" s="182"/>
      <c r="O693" s="182"/>
      <c r="P693" s="11"/>
      <c r="Q693" s="11"/>
      <c r="R693" s="11"/>
      <c r="S693" s="11"/>
      <c r="T693" s="11"/>
      <c r="U693" s="11"/>
      <c r="V693" s="11"/>
      <c r="W693" s="11"/>
      <c r="X693" s="11"/>
      <c r="Y693" s="11"/>
      <c r="Z693" s="11"/>
      <c r="AA693" s="11"/>
    </row>
    <row r="694" ht="15.75" customHeight="1">
      <c r="A694" s="435">
        <f t="shared" si="10"/>
        <v>2684</v>
      </c>
      <c r="B694" s="429" t="str">
        <f t="shared" si="321"/>
        <v>Charge</v>
      </c>
      <c r="C694" s="221">
        <f t="shared" ref="C694:E694" si="330">C334</f>
        <v>0</v>
      </c>
      <c r="D694" s="221">
        <f t="shared" si="330"/>
        <v>0.9775626664</v>
      </c>
      <c r="E694" s="221">
        <f t="shared" si="330"/>
        <v>0</v>
      </c>
      <c r="F694" s="221">
        <f t="shared" si="12"/>
        <v>8676.024549</v>
      </c>
      <c r="G694" s="438">
        <f t="shared" si="4"/>
        <v>0.1554620225</v>
      </c>
      <c r="H694" s="220" t="str">
        <f t="shared" si="13"/>
        <v>Default standby Charge</v>
      </c>
      <c r="I694" s="182"/>
      <c r="J694" s="182"/>
      <c r="K694" s="11"/>
      <c r="L694" s="182"/>
      <c r="M694" s="182"/>
      <c r="N694" s="182"/>
      <c r="O694" s="182"/>
      <c r="P694" s="11"/>
      <c r="Q694" s="11"/>
      <c r="R694" s="11"/>
      <c r="S694" s="11"/>
      <c r="T694" s="11"/>
      <c r="U694" s="11"/>
      <c r="V694" s="11"/>
      <c r="W694" s="11"/>
      <c r="X694" s="11"/>
      <c r="Y694" s="11"/>
      <c r="Z694" s="11"/>
      <c r="AA694" s="11"/>
    </row>
    <row r="695" ht="15.75" customHeight="1">
      <c r="A695" s="435">
        <f t="shared" si="10"/>
        <v>2688</v>
      </c>
      <c r="B695" s="429" t="str">
        <f t="shared" si="321"/>
        <v>Charge</v>
      </c>
      <c r="C695" s="221">
        <f t="shared" ref="C695:E695" si="331">C335</f>
        <v>0</v>
      </c>
      <c r="D695" s="221">
        <f t="shared" si="331"/>
        <v>0.9775626664</v>
      </c>
      <c r="E695" s="221">
        <f t="shared" si="331"/>
        <v>0</v>
      </c>
      <c r="F695" s="221">
        <f t="shared" si="12"/>
        <v>8677.002112</v>
      </c>
      <c r="G695" s="438">
        <f t="shared" si="4"/>
        <v>0.155479539</v>
      </c>
      <c r="H695" s="220" t="str">
        <f t="shared" si="13"/>
        <v>Default standby Charge</v>
      </c>
      <c r="I695" s="182"/>
      <c r="J695" s="182"/>
      <c r="K695" s="11"/>
      <c r="L695" s="182"/>
      <c r="M695" s="182"/>
      <c r="N695" s="182"/>
      <c r="O695" s="182"/>
      <c r="P695" s="11"/>
      <c r="Q695" s="11"/>
      <c r="R695" s="11"/>
      <c r="S695" s="11"/>
      <c r="T695" s="11"/>
      <c r="U695" s="11"/>
      <c r="V695" s="11"/>
      <c r="W695" s="11"/>
      <c r="X695" s="11"/>
      <c r="Y695" s="11"/>
      <c r="Z695" s="11"/>
      <c r="AA695" s="11"/>
    </row>
    <row r="696" ht="15.75" customHeight="1">
      <c r="A696" s="435">
        <f t="shared" si="10"/>
        <v>2692</v>
      </c>
      <c r="B696" s="429" t="str">
        <f t="shared" si="321"/>
        <v>Charge</v>
      </c>
      <c r="C696" s="221">
        <f t="shared" ref="C696:E696" si="332">C336</f>
        <v>0</v>
      </c>
      <c r="D696" s="221">
        <f t="shared" si="332"/>
        <v>0.9775626664</v>
      </c>
      <c r="E696" s="221">
        <f t="shared" si="332"/>
        <v>0</v>
      </c>
      <c r="F696" s="221">
        <f t="shared" si="12"/>
        <v>8677.979674</v>
      </c>
      <c r="G696" s="438">
        <f t="shared" si="4"/>
        <v>0.1554970555</v>
      </c>
      <c r="H696" s="220" t="str">
        <f t="shared" si="13"/>
        <v>Default standby Charge</v>
      </c>
      <c r="I696" s="182"/>
      <c r="J696" s="182"/>
      <c r="K696" s="11"/>
      <c r="L696" s="182"/>
      <c r="M696" s="182"/>
      <c r="N696" s="182"/>
      <c r="O696" s="182"/>
      <c r="P696" s="11"/>
      <c r="Q696" s="11"/>
      <c r="R696" s="11"/>
      <c r="S696" s="11"/>
      <c r="T696" s="11"/>
      <c r="U696" s="11"/>
      <c r="V696" s="11"/>
      <c r="W696" s="11"/>
      <c r="X696" s="11"/>
      <c r="Y696" s="11"/>
      <c r="Z696" s="11"/>
      <c r="AA696" s="11"/>
    </row>
    <row r="697" ht="15.75" customHeight="1">
      <c r="A697" s="435">
        <f t="shared" si="10"/>
        <v>2696</v>
      </c>
      <c r="B697" s="429" t="str">
        <f t="shared" si="321"/>
        <v>Charge</v>
      </c>
      <c r="C697" s="221">
        <f t="shared" ref="C697:E697" si="333">C337</f>
        <v>0</v>
      </c>
      <c r="D697" s="221">
        <f t="shared" si="333"/>
        <v>0.9775626664</v>
      </c>
      <c r="E697" s="221">
        <f t="shared" si="333"/>
        <v>0</v>
      </c>
      <c r="F697" s="221">
        <f t="shared" si="12"/>
        <v>8678.957237</v>
      </c>
      <c r="G697" s="438">
        <f t="shared" si="4"/>
        <v>0.1555145721</v>
      </c>
      <c r="H697" s="220" t="str">
        <f t="shared" si="13"/>
        <v>Default standby Charge</v>
      </c>
      <c r="I697" s="182"/>
      <c r="J697" s="182"/>
      <c r="K697" s="11"/>
      <c r="L697" s="182"/>
      <c r="M697" s="182"/>
      <c r="N697" s="182"/>
      <c r="O697" s="182"/>
      <c r="P697" s="11"/>
      <c r="Q697" s="11"/>
      <c r="R697" s="11"/>
      <c r="S697" s="11"/>
      <c r="T697" s="11"/>
      <c r="U697" s="11"/>
      <c r="V697" s="11"/>
      <c r="W697" s="11"/>
      <c r="X697" s="11"/>
      <c r="Y697" s="11"/>
      <c r="Z697" s="11"/>
      <c r="AA697" s="11"/>
    </row>
    <row r="698" ht="15.75" customHeight="1">
      <c r="A698" s="435">
        <f t="shared" si="10"/>
        <v>2700</v>
      </c>
      <c r="B698" s="429" t="str">
        <f t="shared" si="321"/>
        <v>Charge</v>
      </c>
      <c r="C698" s="221">
        <f t="shared" ref="C698:E698" si="334">C338</f>
        <v>0</v>
      </c>
      <c r="D698" s="221">
        <f t="shared" si="334"/>
        <v>0.9775626664</v>
      </c>
      <c r="E698" s="221">
        <f t="shared" si="334"/>
        <v>0</v>
      </c>
      <c r="F698" s="221">
        <f t="shared" si="12"/>
        <v>8679.9348</v>
      </c>
      <c r="G698" s="438">
        <f t="shared" si="4"/>
        <v>0.1555320886</v>
      </c>
      <c r="H698" s="220" t="str">
        <f t="shared" si="13"/>
        <v>Default standby Charge</v>
      </c>
      <c r="I698" s="182"/>
      <c r="J698" s="182"/>
      <c r="K698" s="11"/>
      <c r="L698" s="182"/>
      <c r="M698" s="182"/>
      <c r="N698" s="182"/>
      <c r="O698" s="182"/>
      <c r="P698" s="11"/>
      <c r="Q698" s="11"/>
      <c r="R698" s="11"/>
      <c r="S698" s="11"/>
      <c r="T698" s="11"/>
      <c r="U698" s="11"/>
      <c r="V698" s="11"/>
      <c r="W698" s="11"/>
      <c r="X698" s="11"/>
      <c r="Y698" s="11"/>
      <c r="Z698" s="11"/>
      <c r="AA698" s="11"/>
    </row>
    <row r="699" ht="15.75" customHeight="1">
      <c r="A699" s="435">
        <f t="shared" si="10"/>
        <v>2704</v>
      </c>
      <c r="B699" s="429" t="str">
        <f t="shared" si="321"/>
        <v>Charge</v>
      </c>
      <c r="C699" s="221">
        <f t="shared" ref="C699:E699" si="335">C339</f>
        <v>0</v>
      </c>
      <c r="D699" s="221">
        <f t="shared" si="335"/>
        <v>0.9775626664</v>
      </c>
      <c r="E699" s="221">
        <f t="shared" si="335"/>
        <v>0</v>
      </c>
      <c r="F699" s="221">
        <f t="shared" si="12"/>
        <v>8680.912362</v>
      </c>
      <c r="G699" s="438">
        <f t="shared" si="4"/>
        <v>0.1555496051</v>
      </c>
      <c r="H699" s="220" t="str">
        <f t="shared" si="13"/>
        <v>Default standby Charge</v>
      </c>
      <c r="I699" s="182"/>
      <c r="J699" s="182"/>
      <c r="K699" s="11"/>
      <c r="L699" s="182"/>
      <c r="M699" s="182"/>
      <c r="N699" s="182"/>
      <c r="O699" s="182"/>
      <c r="P699" s="11"/>
      <c r="Q699" s="11"/>
      <c r="R699" s="11"/>
      <c r="S699" s="11"/>
      <c r="T699" s="11"/>
      <c r="U699" s="11"/>
      <c r="V699" s="11"/>
      <c r="W699" s="11"/>
      <c r="X699" s="11"/>
      <c r="Y699" s="11"/>
      <c r="Z699" s="11"/>
      <c r="AA699" s="11"/>
    </row>
    <row r="700" ht="15.75" customHeight="1">
      <c r="A700" s="435">
        <f t="shared" si="10"/>
        <v>2708</v>
      </c>
      <c r="B700" s="429" t="str">
        <f t="shared" si="321"/>
        <v>Charge</v>
      </c>
      <c r="C700" s="221">
        <f t="shared" ref="C700:E700" si="336">C340</f>
        <v>0</v>
      </c>
      <c r="D700" s="221">
        <f t="shared" si="336"/>
        <v>0.9775626664</v>
      </c>
      <c r="E700" s="221">
        <f t="shared" si="336"/>
        <v>0</v>
      </c>
      <c r="F700" s="221">
        <f t="shared" si="12"/>
        <v>8681.889925</v>
      </c>
      <c r="G700" s="438">
        <f t="shared" si="4"/>
        <v>0.1555671217</v>
      </c>
      <c r="H700" s="220" t="str">
        <f t="shared" si="13"/>
        <v>Default standby Charge</v>
      </c>
      <c r="I700" s="182"/>
      <c r="J700" s="182"/>
      <c r="K700" s="11"/>
      <c r="L700" s="182"/>
      <c r="M700" s="182"/>
      <c r="N700" s="182"/>
      <c r="O700" s="182"/>
      <c r="P700" s="11"/>
      <c r="Q700" s="11"/>
      <c r="R700" s="11"/>
      <c r="S700" s="11"/>
      <c r="T700" s="11"/>
      <c r="U700" s="11"/>
      <c r="V700" s="11"/>
      <c r="W700" s="11"/>
      <c r="X700" s="11"/>
      <c r="Y700" s="11"/>
      <c r="Z700" s="11"/>
      <c r="AA700" s="11"/>
    </row>
    <row r="701" ht="15.75" customHeight="1">
      <c r="A701" s="435">
        <f t="shared" si="10"/>
        <v>2712</v>
      </c>
      <c r="B701" s="429" t="str">
        <f t="shared" si="321"/>
        <v>Charge</v>
      </c>
      <c r="C701" s="221">
        <f t="shared" ref="C701:E701" si="337">C341</f>
        <v>0</v>
      </c>
      <c r="D701" s="221">
        <f t="shared" si="337"/>
        <v>0.9775626664</v>
      </c>
      <c r="E701" s="221">
        <f t="shared" si="337"/>
        <v>0</v>
      </c>
      <c r="F701" s="221">
        <f t="shared" si="12"/>
        <v>8682.867488</v>
      </c>
      <c r="G701" s="438">
        <f t="shared" si="4"/>
        <v>0.1555846382</v>
      </c>
      <c r="H701" s="220" t="str">
        <f t="shared" si="13"/>
        <v>Default standby Charge</v>
      </c>
      <c r="I701" s="182"/>
      <c r="J701" s="182"/>
      <c r="K701" s="11"/>
      <c r="L701" s="182"/>
      <c r="M701" s="182"/>
      <c r="N701" s="182"/>
      <c r="O701" s="182"/>
      <c r="P701" s="11"/>
      <c r="Q701" s="11"/>
      <c r="R701" s="11"/>
      <c r="S701" s="11"/>
      <c r="T701" s="11"/>
      <c r="U701" s="11"/>
      <c r="V701" s="11"/>
      <c r="W701" s="11"/>
      <c r="X701" s="11"/>
      <c r="Y701" s="11"/>
      <c r="Z701" s="11"/>
      <c r="AA701" s="11"/>
    </row>
    <row r="702" ht="15.75" customHeight="1">
      <c r="A702" s="435">
        <f t="shared" si="10"/>
        <v>2716</v>
      </c>
      <c r="B702" s="429" t="str">
        <f t="shared" si="321"/>
        <v>Charge</v>
      </c>
      <c r="C702" s="221">
        <f t="shared" ref="C702:E702" si="338">C342</f>
        <v>0</v>
      </c>
      <c r="D702" s="221">
        <f t="shared" si="338"/>
        <v>0.9775626664</v>
      </c>
      <c r="E702" s="221">
        <f t="shared" si="338"/>
        <v>0</v>
      </c>
      <c r="F702" s="221">
        <f t="shared" si="12"/>
        <v>8683.84505</v>
      </c>
      <c r="G702" s="438">
        <f t="shared" si="4"/>
        <v>0.1556021547</v>
      </c>
      <c r="H702" s="220" t="str">
        <f t="shared" si="13"/>
        <v>Default standby Charge</v>
      </c>
      <c r="I702" s="182"/>
      <c r="J702" s="182"/>
      <c r="K702" s="11"/>
      <c r="L702" s="182"/>
      <c r="M702" s="182"/>
      <c r="N702" s="182"/>
      <c r="O702" s="182"/>
      <c r="P702" s="11"/>
      <c r="Q702" s="11"/>
      <c r="R702" s="11"/>
      <c r="S702" s="11"/>
      <c r="T702" s="11"/>
      <c r="U702" s="11"/>
      <c r="V702" s="11"/>
      <c r="W702" s="11"/>
      <c r="X702" s="11"/>
      <c r="Y702" s="11"/>
      <c r="Z702" s="11"/>
      <c r="AA702" s="11"/>
    </row>
    <row r="703" ht="15.75" customHeight="1">
      <c r="A703" s="435">
        <f t="shared" si="10"/>
        <v>2720</v>
      </c>
      <c r="B703" s="429" t="str">
        <f t="shared" si="321"/>
        <v>Charge</v>
      </c>
      <c r="C703" s="221">
        <f t="shared" ref="C703:E703" si="339">C343</f>
        <v>0</v>
      </c>
      <c r="D703" s="221">
        <f t="shared" si="339"/>
        <v>0.9775626664</v>
      </c>
      <c r="E703" s="221">
        <f t="shared" si="339"/>
        <v>0</v>
      </c>
      <c r="F703" s="221">
        <f t="shared" si="12"/>
        <v>8684.822613</v>
      </c>
      <c r="G703" s="438">
        <f t="shared" si="4"/>
        <v>0.1556196713</v>
      </c>
      <c r="H703" s="220" t="str">
        <f t="shared" si="13"/>
        <v>Default standby Charge</v>
      </c>
      <c r="I703" s="182"/>
      <c r="J703" s="182"/>
      <c r="K703" s="11"/>
      <c r="L703" s="182"/>
      <c r="M703" s="182"/>
      <c r="N703" s="182"/>
      <c r="O703" s="182"/>
      <c r="P703" s="11"/>
      <c r="Q703" s="11"/>
      <c r="R703" s="11"/>
      <c r="S703" s="11"/>
      <c r="T703" s="11"/>
      <c r="U703" s="11"/>
      <c r="V703" s="11"/>
      <c r="W703" s="11"/>
      <c r="X703" s="11"/>
      <c r="Y703" s="11"/>
      <c r="Z703" s="11"/>
      <c r="AA703" s="11"/>
    </row>
    <row r="704" ht="15.75" customHeight="1">
      <c r="A704" s="435">
        <f t="shared" si="10"/>
        <v>2724</v>
      </c>
      <c r="B704" s="429" t="str">
        <f t="shared" si="321"/>
        <v>Charge</v>
      </c>
      <c r="C704" s="221">
        <f t="shared" ref="C704:E704" si="340">C344</f>
        <v>0</v>
      </c>
      <c r="D704" s="221">
        <f t="shared" si="340"/>
        <v>0.9775626664</v>
      </c>
      <c r="E704" s="221">
        <f t="shared" si="340"/>
        <v>0</v>
      </c>
      <c r="F704" s="221">
        <f t="shared" si="12"/>
        <v>8685.800176</v>
      </c>
      <c r="G704" s="438">
        <f t="shared" si="4"/>
        <v>0.1556371878</v>
      </c>
      <c r="H704" s="220" t="str">
        <f t="shared" si="13"/>
        <v>Default standby Charge</v>
      </c>
      <c r="I704" s="182"/>
      <c r="J704" s="182"/>
      <c r="K704" s="11"/>
      <c r="L704" s="182"/>
      <c r="M704" s="182"/>
      <c r="N704" s="182"/>
      <c r="O704" s="182"/>
      <c r="P704" s="11"/>
      <c r="Q704" s="11"/>
      <c r="R704" s="11"/>
      <c r="S704" s="11"/>
      <c r="T704" s="11"/>
      <c r="U704" s="11"/>
      <c r="V704" s="11"/>
      <c r="W704" s="11"/>
      <c r="X704" s="11"/>
      <c r="Y704" s="11"/>
      <c r="Z704" s="11"/>
      <c r="AA704" s="11"/>
    </row>
    <row r="705" ht="15.75" customHeight="1">
      <c r="A705" s="435">
        <f t="shared" si="10"/>
        <v>2728</v>
      </c>
      <c r="B705" s="429" t="str">
        <f t="shared" si="321"/>
        <v>Charge</v>
      </c>
      <c r="C705" s="221">
        <f t="shared" ref="C705:E705" si="341">C345</f>
        <v>0</v>
      </c>
      <c r="D705" s="221">
        <f t="shared" si="341"/>
        <v>0.9775626664</v>
      </c>
      <c r="E705" s="221">
        <f t="shared" si="341"/>
        <v>0</v>
      </c>
      <c r="F705" s="221">
        <f t="shared" si="12"/>
        <v>8686.777738</v>
      </c>
      <c r="G705" s="438">
        <f t="shared" si="4"/>
        <v>0.1556547043</v>
      </c>
      <c r="H705" s="220" t="str">
        <f t="shared" si="13"/>
        <v>Default standby Charge</v>
      </c>
      <c r="I705" s="182"/>
      <c r="J705" s="182"/>
      <c r="K705" s="11"/>
      <c r="L705" s="182"/>
      <c r="M705" s="182"/>
      <c r="N705" s="182"/>
      <c r="O705" s="182"/>
      <c r="P705" s="11"/>
      <c r="Q705" s="11"/>
      <c r="R705" s="11"/>
      <c r="S705" s="11"/>
      <c r="T705" s="11"/>
      <c r="U705" s="11"/>
      <c r="V705" s="11"/>
      <c r="W705" s="11"/>
      <c r="X705" s="11"/>
      <c r="Y705" s="11"/>
      <c r="Z705" s="11"/>
      <c r="AA705" s="11"/>
    </row>
    <row r="706" ht="15.75" customHeight="1">
      <c r="A706" s="435">
        <f t="shared" si="10"/>
        <v>2732</v>
      </c>
      <c r="B706" s="429" t="str">
        <f t="shared" si="321"/>
        <v>Charge</v>
      </c>
      <c r="C706" s="221">
        <f t="shared" ref="C706:E706" si="342">C346</f>
        <v>0</v>
      </c>
      <c r="D706" s="221">
        <f t="shared" si="342"/>
        <v>0.9775626664</v>
      </c>
      <c r="E706" s="221">
        <f t="shared" si="342"/>
        <v>0</v>
      </c>
      <c r="F706" s="221">
        <f t="shared" si="12"/>
        <v>8687.755301</v>
      </c>
      <c r="G706" s="438">
        <f t="shared" si="4"/>
        <v>0.1556722208</v>
      </c>
      <c r="H706" s="220" t="str">
        <f t="shared" si="13"/>
        <v>Default standby Charge</v>
      </c>
      <c r="I706" s="182"/>
      <c r="J706" s="182"/>
      <c r="K706" s="11"/>
      <c r="L706" s="182"/>
      <c r="M706" s="182"/>
      <c r="N706" s="182"/>
      <c r="O706" s="182"/>
      <c r="P706" s="11"/>
      <c r="Q706" s="11"/>
      <c r="R706" s="11"/>
      <c r="S706" s="11"/>
      <c r="T706" s="11"/>
      <c r="U706" s="11"/>
      <c r="V706" s="11"/>
      <c r="W706" s="11"/>
      <c r="X706" s="11"/>
      <c r="Y706" s="11"/>
      <c r="Z706" s="11"/>
      <c r="AA706" s="11"/>
    </row>
    <row r="707" ht="15.75" customHeight="1">
      <c r="A707" s="435">
        <f t="shared" si="10"/>
        <v>2736</v>
      </c>
      <c r="B707" s="429" t="str">
        <f t="shared" si="321"/>
        <v>Charge</v>
      </c>
      <c r="C707" s="221">
        <f t="shared" ref="C707:E707" si="343">C347</f>
        <v>0</v>
      </c>
      <c r="D707" s="221">
        <f t="shared" si="343"/>
        <v>0.9775626664</v>
      </c>
      <c r="E707" s="221">
        <f t="shared" si="343"/>
        <v>0</v>
      </c>
      <c r="F707" s="221">
        <f t="shared" si="12"/>
        <v>8688.732864</v>
      </c>
      <c r="G707" s="438">
        <f t="shared" si="4"/>
        <v>0.1556897374</v>
      </c>
      <c r="H707" s="220" t="str">
        <f t="shared" si="13"/>
        <v>Default standby Charge</v>
      </c>
      <c r="I707" s="182"/>
      <c r="J707" s="182"/>
      <c r="K707" s="11"/>
      <c r="L707" s="182"/>
      <c r="M707" s="182"/>
      <c r="N707" s="182"/>
      <c r="O707" s="182"/>
      <c r="P707" s="11"/>
      <c r="Q707" s="11"/>
      <c r="R707" s="11"/>
      <c r="S707" s="11"/>
      <c r="T707" s="11"/>
      <c r="U707" s="11"/>
      <c r="V707" s="11"/>
      <c r="W707" s="11"/>
      <c r="X707" s="11"/>
      <c r="Y707" s="11"/>
      <c r="Z707" s="11"/>
      <c r="AA707" s="11"/>
    </row>
    <row r="708" ht="15.75" customHeight="1">
      <c r="A708" s="435">
        <f t="shared" si="10"/>
        <v>2740</v>
      </c>
      <c r="B708" s="429" t="str">
        <f t="shared" si="321"/>
        <v>Charge</v>
      </c>
      <c r="C708" s="221">
        <f t="shared" ref="C708:E708" si="344">C348</f>
        <v>0</v>
      </c>
      <c r="D708" s="221">
        <f t="shared" si="344"/>
        <v>0.9775626664</v>
      </c>
      <c r="E708" s="221">
        <f t="shared" si="344"/>
        <v>0</v>
      </c>
      <c r="F708" s="221">
        <f t="shared" si="12"/>
        <v>8689.710426</v>
      </c>
      <c r="G708" s="438">
        <f t="shared" si="4"/>
        <v>0.1557072539</v>
      </c>
      <c r="H708" s="220" t="str">
        <f t="shared" si="13"/>
        <v>Default standby Charge</v>
      </c>
      <c r="I708" s="182"/>
      <c r="J708" s="182"/>
      <c r="K708" s="11"/>
      <c r="L708" s="182"/>
      <c r="M708" s="182"/>
      <c r="N708" s="182"/>
      <c r="O708" s="182"/>
      <c r="P708" s="11"/>
      <c r="Q708" s="11"/>
      <c r="R708" s="11"/>
      <c r="S708" s="11"/>
      <c r="T708" s="11"/>
      <c r="U708" s="11"/>
      <c r="V708" s="11"/>
      <c r="W708" s="11"/>
      <c r="X708" s="11"/>
      <c r="Y708" s="11"/>
      <c r="Z708" s="11"/>
      <c r="AA708" s="11"/>
    </row>
    <row r="709" ht="15.75" customHeight="1">
      <c r="A709" s="435">
        <f t="shared" si="10"/>
        <v>2744</v>
      </c>
      <c r="B709" s="429" t="str">
        <f t="shared" si="321"/>
        <v>Charge</v>
      </c>
      <c r="C709" s="221">
        <f t="shared" ref="C709:E709" si="345">C349</f>
        <v>0</v>
      </c>
      <c r="D709" s="221">
        <f t="shared" si="345"/>
        <v>0.9775626664</v>
      </c>
      <c r="E709" s="221">
        <f t="shared" si="345"/>
        <v>0</v>
      </c>
      <c r="F709" s="221">
        <f t="shared" si="12"/>
        <v>8690.687989</v>
      </c>
      <c r="G709" s="438">
        <f t="shared" si="4"/>
        <v>0.1557247704</v>
      </c>
      <c r="H709" s="220" t="str">
        <f t="shared" si="13"/>
        <v>Default standby Charge</v>
      </c>
      <c r="I709" s="182"/>
      <c r="J709" s="182"/>
      <c r="K709" s="11"/>
      <c r="L709" s="182"/>
      <c r="M709" s="182"/>
      <c r="N709" s="182"/>
      <c r="O709" s="182"/>
      <c r="P709" s="11"/>
      <c r="Q709" s="11"/>
      <c r="R709" s="11"/>
      <c r="S709" s="11"/>
      <c r="T709" s="11"/>
      <c r="U709" s="11"/>
      <c r="V709" s="11"/>
      <c r="W709" s="11"/>
      <c r="X709" s="11"/>
      <c r="Y709" s="11"/>
      <c r="Z709" s="11"/>
      <c r="AA709" s="11"/>
    </row>
    <row r="710" ht="15.75" customHeight="1">
      <c r="A710" s="435">
        <f t="shared" si="10"/>
        <v>2748</v>
      </c>
      <c r="B710" s="429" t="str">
        <f t="shared" si="321"/>
        <v>Charge</v>
      </c>
      <c r="C710" s="221">
        <f t="shared" ref="C710:E710" si="346">C350</f>
        <v>0</v>
      </c>
      <c r="D710" s="221">
        <f t="shared" si="346"/>
        <v>0.9775626664</v>
      </c>
      <c r="E710" s="221">
        <f t="shared" si="346"/>
        <v>0</v>
      </c>
      <c r="F710" s="221">
        <f t="shared" si="12"/>
        <v>8691.665552</v>
      </c>
      <c r="G710" s="438">
        <f t="shared" si="4"/>
        <v>0.155742287</v>
      </c>
      <c r="H710" s="220" t="str">
        <f t="shared" si="13"/>
        <v>Default standby Charge</v>
      </c>
      <c r="I710" s="182"/>
      <c r="J710" s="182"/>
      <c r="K710" s="11"/>
      <c r="L710" s="182"/>
      <c r="M710" s="182"/>
      <c r="N710" s="182"/>
      <c r="O710" s="182"/>
      <c r="P710" s="11"/>
      <c r="Q710" s="11"/>
      <c r="R710" s="11"/>
      <c r="S710" s="11"/>
      <c r="T710" s="11"/>
      <c r="U710" s="11"/>
      <c r="V710" s="11"/>
      <c r="W710" s="11"/>
      <c r="X710" s="11"/>
      <c r="Y710" s="11"/>
      <c r="Z710" s="11"/>
      <c r="AA710" s="11"/>
    </row>
    <row r="711" ht="15.75" customHeight="1">
      <c r="A711" s="435">
        <f t="shared" si="10"/>
        <v>2752</v>
      </c>
      <c r="B711" s="429" t="str">
        <f t="shared" si="321"/>
        <v>Charge</v>
      </c>
      <c r="C711" s="221">
        <f t="shared" ref="C711:E711" si="347">C351</f>
        <v>0</v>
      </c>
      <c r="D711" s="221">
        <f t="shared" si="347"/>
        <v>0.9775626664</v>
      </c>
      <c r="E711" s="221">
        <f t="shared" si="347"/>
        <v>0</v>
      </c>
      <c r="F711" s="221">
        <f t="shared" si="12"/>
        <v>8692.643114</v>
      </c>
      <c r="G711" s="438">
        <f t="shared" si="4"/>
        <v>0.1557598035</v>
      </c>
      <c r="H711" s="220" t="str">
        <f t="shared" si="13"/>
        <v>Default standby Charge</v>
      </c>
      <c r="I711" s="182"/>
      <c r="J711" s="182"/>
      <c r="K711" s="11"/>
      <c r="L711" s="182"/>
      <c r="M711" s="182"/>
      <c r="N711" s="182"/>
      <c r="O711" s="182"/>
      <c r="P711" s="11"/>
      <c r="Q711" s="11"/>
      <c r="R711" s="11"/>
      <c r="S711" s="11"/>
      <c r="T711" s="11"/>
      <c r="U711" s="11"/>
      <c r="V711" s="11"/>
      <c r="W711" s="11"/>
      <c r="X711" s="11"/>
      <c r="Y711" s="11"/>
      <c r="Z711" s="11"/>
      <c r="AA711" s="11"/>
    </row>
    <row r="712" ht="15.75" customHeight="1">
      <c r="A712" s="435">
        <f t="shared" si="10"/>
        <v>2756</v>
      </c>
      <c r="B712" s="429" t="str">
        <f t="shared" si="321"/>
        <v>Charge</v>
      </c>
      <c r="C712" s="221">
        <f t="shared" ref="C712:E712" si="348">C352</f>
        <v>0</v>
      </c>
      <c r="D712" s="221">
        <f t="shared" si="348"/>
        <v>0.9775626664</v>
      </c>
      <c r="E712" s="221">
        <f t="shared" si="348"/>
        <v>0</v>
      </c>
      <c r="F712" s="221">
        <f t="shared" si="12"/>
        <v>8693.620677</v>
      </c>
      <c r="G712" s="438">
        <f t="shared" si="4"/>
        <v>0.15577732</v>
      </c>
      <c r="H712" s="220" t="str">
        <f t="shared" si="13"/>
        <v>Default standby Charge</v>
      </c>
      <c r="I712" s="182"/>
      <c r="J712" s="182"/>
      <c r="K712" s="11"/>
      <c r="L712" s="182"/>
      <c r="M712" s="182"/>
      <c r="N712" s="182"/>
      <c r="O712" s="182"/>
      <c r="P712" s="11"/>
      <c r="Q712" s="11"/>
      <c r="R712" s="11"/>
      <c r="S712" s="11"/>
      <c r="T712" s="11"/>
      <c r="U712" s="11"/>
      <c r="V712" s="11"/>
      <c r="W712" s="11"/>
      <c r="X712" s="11"/>
      <c r="Y712" s="11"/>
      <c r="Z712" s="11"/>
      <c r="AA712" s="11"/>
    </row>
    <row r="713" ht="15.75" customHeight="1">
      <c r="A713" s="435">
        <f t="shared" si="10"/>
        <v>2760</v>
      </c>
      <c r="B713" s="429" t="str">
        <f t="shared" si="321"/>
        <v>Charge</v>
      </c>
      <c r="C713" s="221">
        <f t="shared" ref="C713:E713" si="349">C353</f>
        <v>0</v>
      </c>
      <c r="D713" s="221">
        <f t="shared" si="349"/>
        <v>0.9775626664</v>
      </c>
      <c r="E713" s="221">
        <f t="shared" si="349"/>
        <v>0</v>
      </c>
      <c r="F713" s="221">
        <f t="shared" si="12"/>
        <v>8694.59824</v>
      </c>
      <c r="G713" s="438">
        <f t="shared" si="4"/>
        <v>0.1557948366</v>
      </c>
      <c r="H713" s="220" t="str">
        <f t="shared" si="13"/>
        <v>Default standby Charge</v>
      </c>
      <c r="I713" s="182"/>
      <c r="J713" s="182"/>
      <c r="K713" s="11"/>
      <c r="L713" s="182"/>
      <c r="M713" s="182"/>
      <c r="N713" s="182"/>
      <c r="O713" s="182"/>
      <c r="P713" s="11"/>
      <c r="Q713" s="11"/>
      <c r="R713" s="11"/>
      <c r="S713" s="11"/>
      <c r="T713" s="11"/>
      <c r="U713" s="11"/>
      <c r="V713" s="11"/>
      <c r="W713" s="11"/>
      <c r="X713" s="11"/>
      <c r="Y713" s="11"/>
      <c r="Z713" s="11"/>
      <c r="AA713" s="11"/>
    </row>
    <row r="714" ht="15.75" customHeight="1">
      <c r="A714" s="435">
        <f t="shared" si="10"/>
        <v>2764</v>
      </c>
      <c r="B714" s="429" t="str">
        <f t="shared" si="321"/>
        <v>Charge</v>
      </c>
      <c r="C714" s="221">
        <f t="shared" ref="C714:E714" si="350">C354</f>
        <v>0</v>
      </c>
      <c r="D714" s="221">
        <f t="shared" si="350"/>
        <v>0.9775626664</v>
      </c>
      <c r="E714" s="221">
        <f t="shared" si="350"/>
        <v>0</v>
      </c>
      <c r="F714" s="221">
        <f t="shared" si="12"/>
        <v>8695.575802</v>
      </c>
      <c r="G714" s="438">
        <f t="shared" si="4"/>
        <v>0.1558123531</v>
      </c>
      <c r="H714" s="220" t="str">
        <f t="shared" si="13"/>
        <v>Default standby Charge</v>
      </c>
      <c r="I714" s="182"/>
      <c r="J714" s="182"/>
      <c r="K714" s="11"/>
      <c r="L714" s="182"/>
      <c r="M714" s="182"/>
      <c r="N714" s="182"/>
      <c r="O714" s="182"/>
      <c r="P714" s="11"/>
      <c r="Q714" s="11"/>
      <c r="R714" s="11"/>
      <c r="S714" s="11"/>
      <c r="T714" s="11"/>
      <c r="U714" s="11"/>
      <c r="V714" s="11"/>
      <c r="W714" s="11"/>
      <c r="X714" s="11"/>
      <c r="Y714" s="11"/>
      <c r="Z714" s="11"/>
      <c r="AA714" s="11"/>
    </row>
    <row r="715" ht="15.75" customHeight="1">
      <c r="A715" s="435">
        <f t="shared" si="10"/>
        <v>2768</v>
      </c>
      <c r="B715" s="429" t="str">
        <f t="shared" si="321"/>
        <v>Charge</v>
      </c>
      <c r="C715" s="221">
        <f t="shared" ref="C715:E715" si="351">C355</f>
        <v>0</v>
      </c>
      <c r="D715" s="221">
        <f t="shared" si="351"/>
        <v>0.9775626664</v>
      </c>
      <c r="E715" s="221">
        <f t="shared" si="351"/>
        <v>0</v>
      </c>
      <c r="F715" s="221">
        <f t="shared" si="12"/>
        <v>8696.553365</v>
      </c>
      <c r="G715" s="438">
        <f t="shared" si="4"/>
        <v>0.1558298696</v>
      </c>
      <c r="H715" s="220" t="str">
        <f t="shared" si="13"/>
        <v>Default standby Charge</v>
      </c>
      <c r="I715" s="182"/>
      <c r="J715" s="182"/>
      <c r="K715" s="11"/>
      <c r="L715" s="182"/>
      <c r="M715" s="182"/>
      <c r="N715" s="182"/>
      <c r="O715" s="182"/>
      <c r="P715" s="11"/>
      <c r="Q715" s="11"/>
      <c r="R715" s="11"/>
      <c r="S715" s="11"/>
      <c r="T715" s="11"/>
      <c r="U715" s="11"/>
      <c r="V715" s="11"/>
      <c r="W715" s="11"/>
      <c r="X715" s="11"/>
      <c r="Y715" s="11"/>
      <c r="Z715" s="11"/>
      <c r="AA715" s="11"/>
    </row>
    <row r="716" ht="15.75" customHeight="1">
      <c r="A716" s="435">
        <f t="shared" si="10"/>
        <v>2772</v>
      </c>
      <c r="B716" s="429" t="str">
        <f t="shared" si="321"/>
        <v>Charge</v>
      </c>
      <c r="C716" s="221">
        <f t="shared" ref="C716:E716" si="352">C356</f>
        <v>0</v>
      </c>
      <c r="D716" s="221">
        <f t="shared" si="352"/>
        <v>0.9775626664</v>
      </c>
      <c r="E716" s="221">
        <f t="shared" si="352"/>
        <v>0</v>
      </c>
      <c r="F716" s="221">
        <f t="shared" si="12"/>
        <v>8697.530928</v>
      </c>
      <c r="G716" s="438">
        <f t="shared" si="4"/>
        <v>0.1558473862</v>
      </c>
      <c r="H716" s="220" t="str">
        <f t="shared" si="13"/>
        <v>Default standby Charge</v>
      </c>
      <c r="I716" s="182"/>
      <c r="J716" s="182"/>
      <c r="K716" s="11"/>
      <c r="L716" s="182"/>
      <c r="M716" s="182"/>
      <c r="N716" s="182"/>
      <c r="O716" s="182"/>
      <c r="P716" s="11"/>
      <c r="Q716" s="11"/>
      <c r="R716" s="11"/>
      <c r="S716" s="11"/>
      <c r="T716" s="11"/>
      <c r="U716" s="11"/>
      <c r="V716" s="11"/>
      <c r="W716" s="11"/>
      <c r="X716" s="11"/>
      <c r="Y716" s="11"/>
      <c r="Z716" s="11"/>
      <c r="AA716" s="11"/>
    </row>
    <row r="717" ht="15.75" customHeight="1">
      <c r="A717" s="435">
        <f t="shared" si="10"/>
        <v>2776</v>
      </c>
      <c r="B717" s="429" t="str">
        <f t="shared" si="321"/>
        <v>Charge</v>
      </c>
      <c r="C717" s="221">
        <f t="shared" ref="C717:E717" si="353">C357</f>
        <v>0</v>
      </c>
      <c r="D717" s="221">
        <f t="shared" si="353"/>
        <v>0.9775626664</v>
      </c>
      <c r="E717" s="221">
        <f t="shared" si="353"/>
        <v>0</v>
      </c>
      <c r="F717" s="221">
        <f t="shared" si="12"/>
        <v>8698.50849</v>
      </c>
      <c r="G717" s="438">
        <f t="shared" si="4"/>
        <v>0.1558649027</v>
      </c>
      <c r="H717" s="220" t="str">
        <f t="shared" si="13"/>
        <v>Default standby Charge</v>
      </c>
      <c r="I717" s="182"/>
      <c r="J717" s="182"/>
      <c r="K717" s="11"/>
      <c r="L717" s="182"/>
      <c r="M717" s="182"/>
      <c r="N717" s="182"/>
      <c r="O717" s="182"/>
      <c r="P717" s="11"/>
      <c r="Q717" s="11"/>
      <c r="R717" s="11"/>
      <c r="S717" s="11"/>
      <c r="T717" s="11"/>
      <c r="U717" s="11"/>
      <c r="V717" s="11"/>
      <c r="W717" s="11"/>
      <c r="X717" s="11"/>
      <c r="Y717" s="11"/>
      <c r="Z717" s="11"/>
      <c r="AA717" s="11"/>
    </row>
    <row r="718" ht="15.75" customHeight="1">
      <c r="A718" s="435">
        <f t="shared" si="10"/>
        <v>2780</v>
      </c>
      <c r="B718" s="429" t="str">
        <f t="shared" si="321"/>
        <v>Charge</v>
      </c>
      <c r="C718" s="221">
        <f t="shared" ref="C718:E718" si="354">C358</f>
        <v>0</v>
      </c>
      <c r="D718" s="221">
        <f t="shared" si="354"/>
        <v>0.9775626664</v>
      </c>
      <c r="E718" s="221">
        <f t="shared" si="354"/>
        <v>0</v>
      </c>
      <c r="F718" s="221">
        <f t="shared" si="12"/>
        <v>8699.486053</v>
      </c>
      <c r="G718" s="438">
        <f t="shared" si="4"/>
        <v>0.1558824192</v>
      </c>
      <c r="H718" s="220" t="str">
        <f t="shared" si="13"/>
        <v>Default standby Charge</v>
      </c>
      <c r="I718" s="182"/>
      <c r="J718" s="182"/>
      <c r="K718" s="11"/>
      <c r="L718" s="182"/>
      <c r="M718" s="182"/>
      <c r="N718" s="182"/>
      <c r="O718" s="182"/>
      <c r="P718" s="11"/>
      <c r="Q718" s="11"/>
      <c r="R718" s="11"/>
      <c r="S718" s="11"/>
      <c r="T718" s="11"/>
      <c r="U718" s="11"/>
      <c r="V718" s="11"/>
      <c r="W718" s="11"/>
      <c r="X718" s="11"/>
      <c r="Y718" s="11"/>
      <c r="Z718" s="11"/>
      <c r="AA718" s="11"/>
    </row>
    <row r="719" ht="15.75" customHeight="1">
      <c r="A719" s="435">
        <f t="shared" si="10"/>
        <v>2784</v>
      </c>
      <c r="B719" s="429" t="str">
        <f t="shared" si="321"/>
        <v>Charge</v>
      </c>
      <c r="C719" s="221">
        <f t="shared" ref="C719:E719" si="355">C359</f>
        <v>0</v>
      </c>
      <c r="D719" s="221">
        <f t="shared" si="355"/>
        <v>0.9775626664</v>
      </c>
      <c r="E719" s="221">
        <f t="shared" si="355"/>
        <v>0</v>
      </c>
      <c r="F719" s="221">
        <f t="shared" si="12"/>
        <v>8700.463616</v>
      </c>
      <c r="G719" s="438">
        <f t="shared" si="4"/>
        <v>0.1558999358</v>
      </c>
      <c r="H719" s="220" t="str">
        <f t="shared" si="13"/>
        <v>Default standby Charge</v>
      </c>
      <c r="I719" s="182"/>
      <c r="J719" s="182"/>
      <c r="K719" s="11"/>
      <c r="L719" s="182"/>
      <c r="M719" s="182"/>
      <c r="N719" s="182"/>
      <c r="O719" s="182"/>
      <c r="P719" s="11"/>
      <c r="Q719" s="11"/>
      <c r="R719" s="11"/>
      <c r="S719" s="11"/>
      <c r="T719" s="11"/>
      <c r="U719" s="11"/>
      <c r="V719" s="11"/>
      <c r="W719" s="11"/>
      <c r="X719" s="11"/>
      <c r="Y719" s="11"/>
      <c r="Z719" s="11"/>
      <c r="AA719" s="11"/>
    </row>
    <row r="720" ht="15.75" customHeight="1">
      <c r="A720" s="435">
        <f t="shared" si="10"/>
        <v>2788</v>
      </c>
      <c r="B720" s="429" t="str">
        <f t="shared" si="321"/>
        <v>Charge</v>
      </c>
      <c r="C720" s="221">
        <f t="shared" ref="C720:E720" si="356">C360</f>
        <v>0</v>
      </c>
      <c r="D720" s="221">
        <f t="shared" si="356"/>
        <v>0.9775626664</v>
      </c>
      <c r="E720" s="221">
        <f t="shared" si="356"/>
        <v>0</v>
      </c>
      <c r="F720" s="221">
        <f t="shared" si="12"/>
        <v>8701.441178</v>
      </c>
      <c r="G720" s="438">
        <f t="shared" si="4"/>
        <v>0.1559174523</v>
      </c>
      <c r="H720" s="220" t="str">
        <f t="shared" si="13"/>
        <v>Default standby Charge</v>
      </c>
      <c r="I720" s="182"/>
      <c r="J720" s="182"/>
      <c r="K720" s="11"/>
      <c r="L720" s="182"/>
      <c r="M720" s="182"/>
      <c r="N720" s="182"/>
      <c r="O720" s="182"/>
      <c r="P720" s="11"/>
      <c r="Q720" s="11"/>
      <c r="R720" s="11"/>
      <c r="S720" s="11"/>
      <c r="T720" s="11"/>
      <c r="U720" s="11"/>
      <c r="V720" s="11"/>
      <c r="W720" s="11"/>
      <c r="X720" s="11"/>
      <c r="Y720" s="11"/>
      <c r="Z720" s="11"/>
      <c r="AA720" s="11"/>
    </row>
    <row r="721" ht="15.75" customHeight="1">
      <c r="A721" s="435">
        <f t="shared" si="10"/>
        <v>2792</v>
      </c>
      <c r="B721" s="429" t="str">
        <f t="shared" si="321"/>
        <v>Charge</v>
      </c>
      <c r="C721" s="221">
        <f t="shared" ref="C721:E721" si="357">C361</f>
        <v>0</v>
      </c>
      <c r="D721" s="221">
        <f t="shared" si="357"/>
        <v>0.9775626664</v>
      </c>
      <c r="E721" s="221">
        <f t="shared" si="357"/>
        <v>0</v>
      </c>
      <c r="F721" s="221">
        <f t="shared" si="12"/>
        <v>8702.418741</v>
      </c>
      <c r="G721" s="438">
        <f t="shared" si="4"/>
        <v>0.1559349688</v>
      </c>
      <c r="H721" s="220" t="str">
        <f t="shared" si="13"/>
        <v>Default standby Charge</v>
      </c>
      <c r="I721" s="182"/>
      <c r="J721" s="182"/>
      <c r="K721" s="11"/>
      <c r="L721" s="182"/>
      <c r="M721" s="182"/>
      <c r="N721" s="182"/>
      <c r="O721" s="182"/>
      <c r="P721" s="11"/>
      <c r="Q721" s="11"/>
      <c r="R721" s="11"/>
      <c r="S721" s="11"/>
      <c r="T721" s="11"/>
      <c r="U721" s="11"/>
      <c r="V721" s="11"/>
      <c r="W721" s="11"/>
      <c r="X721" s="11"/>
      <c r="Y721" s="11"/>
      <c r="Z721" s="11"/>
      <c r="AA721" s="11"/>
    </row>
    <row r="722" ht="15.75" customHeight="1">
      <c r="A722" s="435">
        <f t="shared" si="10"/>
        <v>2796</v>
      </c>
      <c r="B722" s="429" t="str">
        <f t="shared" si="321"/>
        <v>Charge</v>
      </c>
      <c r="C722" s="221">
        <f t="shared" ref="C722:E722" si="358">C362</f>
        <v>0</v>
      </c>
      <c r="D722" s="221">
        <f t="shared" si="358"/>
        <v>0.9775626664</v>
      </c>
      <c r="E722" s="221">
        <f t="shared" si="358"/>
        <v>0</v>
      </c>
      <c r="F722" s="221">
        <f t="shared" si="12"/>
        <v>8703.396304</v>
      </c>
      <c r="G722" s="438">
        <f t="shared" si="4"/>
        <v>0.1559524854</v>
      </c>
      <c r="H722" s="220" t="str">
        <f t="shared" si="13"/>
        <v>Default standby Charge</v>
      </c>
      <c r="I722" s="182"/>
      <c r="J722" s="182"/>
      <c r="K722" s="11"/>
      <c r="L722" s="182"/>
      <c r="M722" s="182"/>
      <c r="N722" s="182"/>
      <c r="O722" s="182"/>
      <c r="P722" s="11"/>
      <c r="Q722" s="11"/>
      <c r="R722" s="11"/>
      <c r="S722" s="11"/>
      <c r="T722" s="11"/>
      <c r="U722" s="11"/>
      <c r="V722" s="11"/>
      <c r="W722" s="11"/>
      <c r="X722" s="11"/>
      <c r="Y722" s="11"/>
      <c r="Z722" s="11"/>
      <c r="AA722" s="11"/>
    </row>
    <row r="723" ht="15.75" customHeight="1">
      <c r="A723" s="435">
        <f t="shared" si="10"/>
        <v>2800</v>
      </c>
      <c r="B723" s="429" t="str">
        <f t="shared" si="321"/>
        <v>Charge</v>
      </c>
      <c r="C723" s="221">
        <f t="shared" ref="C723:E723" si="359">C363</f>
        <v>0</v>
      </c>
      <c r="D723" s="221">
        <f t="shared" si="359"/>
        <v>0.9775626664</v>
      </c>
      <c r="E723" s="221">
        <f t="shared" si="359"/>
        <v>0</v>
      </c>
      <c r="F723" s="221">
        <f t="shared" si="12"/>
        <v>8704.373866</v>
      </c>
      <c r="G723" s="438">
        <f t="shared" si="4"/>
        <v>0.1559700019</v>
      </c>
      <c r="H723" s="220" t="str">
        <f t="shared" si="13"/>
        <v>Default standby Charge</v>
      </c>
      <c r="I723" s="182"/>
      <c r="J723" s="182"/>
      <c r="K723" s="11"/>
      <c r="L723" s="182"/>
      <c r="M723" s="182"/>
      <c r="N723" s="182"/>
      <c r="O723" s="182"/>
      <c r="P723" s="11"/>
      <c r="Q723" s="11"/>
      <c r="R723" s="11"/>
      <c r="S723" s="11"/>
      <c r="T723" s="11"/>
      <c r="U723" s="11"/>
      <c r="V723" s="11"/>
      <c r="W723" s="11"/>
      <c r="X723" s="11"/>
      <c r="Y723" s="11"/>
      <c r="Z723" s="11"/>
      <c r="AA723" s="11"/>
    </row>
    <row r="724" ht="15.75" customHeight="1">
      <c r="A724" s="435">
        <f t="shared" si="10"/>
        <v>2804</v>
      </c>
      <c r="B724" s="429" t="str">
        <f t="shared" si="321"/>
        <v>Charge</v>
      </c>
      <c r="C724" s="221">
        <f t="shared" ref="C724:E724" si="360">C364</f>
        <v>0</v>
      </c>
      <c r="D724" s="221">
        <f t="shared" si="360"/>
        <v>0.9775626664</v>
      </c>
      <c r="E724" s="221">
        <f t="shared" si="360"/>
        <v>0</v>
      </c>
      <c r="F724" s="221">
        <f t="shared" si="12"/>
        <v>8705.351429</v>
      </c>
      <c r="G724" s="438">
        <f t="shared" si="4"/>
        <v>0.1559875184</v>
      </c>
      <c r="H724" s="220" t="str">
        <f t="shared" si="13"/>
        <v>Default standby Charge</v>
      </c>
      <c r="I724" s="182"/>
      <c r="J724" s="182"/>
      <c r="K724" s="11"/>
      <c r="L724" s="182"/>
      <c r="M724" s="182"/>
      <c r="N724" s="182"/>
      <c r="O724" s="182"/>
      <c r="P724" s="11"/>
      <c r="Q724" s="11"/>
      <c r="R724" s="11"/>
      <c r="S724" s="11"/>
      <c r="T724" s="11"/>
      <c r="U724" s="11"/>
      <c r="V724" s="11"/>
      <c r="W724" s="11"/>
      <c r="X724" s="11"/>
      <c r="Y724" s="11"/>
      <c r="Z724" s="11"/>
      <c r="AA724" s="11"/>
    </row>
    <row r="725" ht="15.75" customHeight="1">
      <c r="A725" s="435">
        <f t="shared" si="10"/>
        <v>2808</v>
      </c>
      <c r="B725" s="429" t="str">
        <f t="shared" si="321"/>
        <v>Charge</v>
      </c>
      <c r="C725" s="221">
        <f t="shared" ref="C725:E725" si="361">C365</f>
        <v>0</v>
      </c>
      <c r="D725" s="221">
        <f t="shared" si="361"/>
        <v>0.9775626664</v>
      </c>
      <c r="E725" s="221">
        <f t="shared" si="361"/>
        <v>0</v>
      </c>
      <c r="F725" s="221">
        <f t="shared" si="12"/>
        <v>8706.328992</v>
      </c>
      <c r="G725" s="438">
        <f t="shared" si="4"/>
        <v>0.156005035</v>
      </c>
      <c r="H725" s="220" t="str">
        <f t="shared" si="13"/>
        <v>Default standby Charge</v>
      </c>
      <c r="I725" s="182"/>
      <c r="J725" s="182"/>
      <c r="K725" s="11"/>
      <c r="L725" s="182"/>
      <c r="M725" s="182"/>
      <c r="N725" s="182"/>
      <c r="O725" s="182"/>
      <c r="P725" s="11"/>
      <c r="Q725" s="11"/>
      <c r="R725" s="11"/>
      <c r="S725" s="11"/>
      <c r="T725" s="11"/>
      <c r="U725" s="11"/>
      <c r="V725" s="11"/>
      <c r="W725" s="11"/>
      <c r="X725" s="11"/>
      <c r="Y725" s="11"/>
      <c r="Z725" s="11"/>
      <c r="AA725" s="11"/>
    </row>
    <row r="726" ht="15.75" customHeight="1">
      <c r="A726" s="435">
        <f t="shared" si="10"/>
        <v>2812</v>
      </c>
      <c r="B726" s="429" t="str">
        <f t="shared" si="321"/>
        <v>Charge</v>
      </c>
      <c r="C726" s="221">
        <f t="shared" ref="C726:E726" si="362">C366</f>
        <v>0</v>
      </c>
      <c r="D726" s="221">
        <f t="shared" si="362"/>
        <v>0.9775626664</v>
      </c>
      <c r="E726" s="221">
        <f t="shared" si="362"/>
        <v>0</v>
      </c>
      <c r="F726" s="221">
        <f t="shared" si="12"/>
        <v>8707.306554</v>
      </c>
      <c r="G726" s="438">
        <f t="shared" si="4"/>
        <v>0.1560225515</v>
      </c>
      <c r="H726" s="220" t="str">
        <f t="shared" si="13"/>
        <v>Default standby Charge</v>
      </c>
      <c r="I726" s="182"/>
      <c r="J726" s="182"/>
      <c r="K726" s="11"/>
      <c r="L726" s="182"/>
      <c r="M726" s="182"/>
      <c r="N726" s="182"/>
      <c r="O726" s="182"/>
      <c r="P726" s="11"/>
      <c r="Q726" s="11"/>
      <c r="R726" s="11"/>
      <c r="S726" s="11"/>
      <c r="T726" s="11"/>
      <c r="U726" s="11"/>
      <c r="V726" s="11"/>
      <c r="W726" s="11"/>
      <c r="X726" s="11"/>
      <c r="Y726" s="11"/>
      <c r="Z726" s="11"/>
      <c r="AA726" s="11"/>
    </row>
    <row r="727" ht="15.75" customHeight="1">
      <c r="A727" s="435">
        <f t="shared" si="10"/>
        <v>2816</v>
      </c>
      <c r="B727" s="429" t="str">
        <f t="shared" si="321"/>
        <v>Charge</v>
      </c>
      <c r="C727" s="221">
        <f t="shared" ref="C727:E727" si="363">C367</f>
        <v>0</v>
      </c>
      <c r="D727" s="221">
        <f t="shared" si="363"/>
        <v>0.9775626664</v>
      </c>
      <c r="E727" s="221">
        <f t="shared" si="363"/>
        <v>0</v>
      </c>
      <c r="F727" s="221">
        <f t="shared" si="12"/>
        <v>8708.284117</v>
      </c>
      <c r="G727" s="438">
        <f t="shared" si="4"/>
        <v>0.156040068</v>
      </c>
      <c r="H727" s="220" t="str">
        <f t="shared" si="13"/>
        <v>Default standby Charge</v>
      </c>
      <c r="I727" s="182"/>
      <c r="J727" s="182"/>
      <c r="K727" s="11"/>
      <c r="L727" s="182"/>
      <c r="M727" s="182"/>
      <c r="N727" s="182"/>
      <c r="O727" s="182"/>
      <c r="P727" s="11"/>
      <c r="Q727" s="11"/>
      <c r="R727" s="11"/>
      <c r="S727" s="11"/>
      <c r="T727" s="11"/>
      <c r="U727" s="11"/>
      <c r="V727" s="11"/>
      <c r="W727" s="11"/>
      <c r="X727" s="11"/>
      <c r="Y727" s="11"/>
      <c r="Z727" s="11"/>
      <c r="AA727" s="11"/>
    </row>
    <row r="728" ht="15.75" customHeight="1">
      <c r="A728" s="435">
        <f t="shared" si="10"/>
        <v>2820</v>
      </c>
      <c r="B728" s="429" t="str">
        <f t="shared" si="321"/>
        <v>Charge</v>
      </c>
      <c r="C728" s="221">
        <f t="shared" ref="C728:E728" si="364">C368</f>
        <v>0</v>
      </c>
      <c r="D728" s="221">
        <f t="shared" si="364"/>
        <v>0.9775626664</v>
      </c>
      <c r="E728" s="221">
        <f t="shared" si="364"/>
        <v>0</v>
      </c>
      <c r="F728" s="221">
        <f t="shared" si="12"/>
        <v>8709.26168</v>
      </c>
      <c r="G728" s="438">
        <f t="shared" si="4"/>
        <v>0.1560575846</v>
      </c>
      <c r="H728" s="220" t="str">
        <f t="shared" si="13"/>
        <v>Default standby Charge</v>
      </c>
      <c r="I728" s="182"/>
      <c r="J728" s="182"/>
      <c r="K728" s="11"/>
      <c r="L728" s="182"/>
      <c r="M728" s="182"/>
      <c r="N728" s="182"/>
      <c r="O728" s="182"/>
      <c r="P728" s="11"/>
      <c r="Q728" s="11"/>
      <c r="R728" s="11"/>
      <c r="S728" s="11"/>
      <c r="T728" s="11"/>
      <c r="U728" s="11"/>
      <c r="V728" s="11"/>
      <c r="W728" s="11"/>
      <c r="X728" s="11"/>
      <c r="Y728" s="11"/>
      <c r="Z728" s="11"/>
      <c r="AA728" s="11"/>
    </row>
    <row r="729" ht="15.75" customHeight="1">
      <c r="A729" s="435">
        <f t="shared" si="10"/>
        <v>2824</v>
      </c>
      <c r="B729" s="429" t="str">
        <f t="shared" si="321"/>
        <v>Charge</v>
      </c>
      <c r="C729" s="221">
        <f t="shared" ref="C729:E729" si="365">C369</f>
        <v>0</v>
      </c>
      <c r="D729" s="221">
        <f t="shared" si="365"/>
        <v>0.9775626664</v>
      </c>
      <c r="E729" s="221">
        <f t="shared" si="365"/>
        <v>0</v>
      </c>
      <c r="F729" s="221">
        <f t="shared" si="12"/>
        <v>8710.239242</v>
      </c>
      <c r="G729" s="438">
        <f t="shared" si="4"/>
        <v>0.1560751011</v>
      </c>
      <c r="H729" s="220" t="str">
        <f t="shared" si="13"/>
        <v>Default standby Charge</v>
      </c>
      <c r="I729" s="182"/>
      <c r="J729" s="182"/>
      <c r="K729" s="11"/>
      <c r="L729" s="182"/>
      <c r="M729" s="182"/>
      <c r="N729" s="182"/>
      <c r="O729" s="182"/>
      <c r="P729" s="11"/>
      <c r="Q729" s="11"/>
      <c r="R729" s="11"/>
      <c r="S729" s="11"/>
      <c r="T729" s="11"/>
      <c r="U729" s="11"/>
      <c r="V729" s="11"/>
      <c r="W729" s="11"/>
      <c r="X729" s="11"/>
      <c r="Y729" s="11"/>
      <c r="Z729" s="11"/>
      <c r="AA729" s="11"/>
    </row>
    <row r="730" ht="15.75" customHeight="1">
      <c r="A730" s="435">
        <f t="shared" si="10"/>
        <v>2828</v>
      </c>
      <c r="B730" s="429" t="str">
        <f t="shared" si="321"/>
        <v>Charge</v>
      </c>
      <c r="C730" s="221">
        <f t="shared" ref="C730:E730" si="366">C370</f>
        <v>0</v>
      </c>
      <c r="D730" s="221">
        <f t="shared" si="366"/>
        <v>0.9775626664</v>
      </c>
      <c r="E730" s="221">
        <f t="shared" si="366"/>
        <v>0</v>
      </c>
      <c r="F730" s="221">
        <f t="shared" si="12"/>
        <v>8711.216805</v>
      </c>
      <c r="G730" s="438">
        <f t="shared" si="4"/>
        <v>0.1560926176</v>
      </c>
      <c r="H730" s="220" t="str">
        <f t="shared" si="13"/>
        <v>Default standby Charge</v>
      </c>
      <c r="I730" s="182"/>
      <c r="J730" s="182"/>
      <c r="K730" s="11"/>
      <c r="L730" s="182"/>
      <c r="M730" s="182"/>
      <c r="N730" s="182"/>
      <c r="O730" s="182"/>
      <c r="P730" s="11"/>
      <c r="Q730" s="11"/>
      <c r="R730" s="11"/>
      <c r="S730" s="11"/>
      <c r="T730" s="11"/>
      <c r="U730" s="11"/>
      <c r="V730" s="11"/>
      <c r="W730" s="11"/>
      <c r="X730" s="11"/>
      <c r="Y730" s="11"/>
      <c r="Z730" s="11"/>
      <c r="AA730" s="11"/>
    </row>
    <row r="731" ht="15.75" customHeight="1">
      <c r="A731" s="435">
        <f t="shared" si="10"/>
        <v>2832</v>
      </c>
      <c r="B731" s="429" t="str">
        <f t="shared" si="321"/>
        <v>Charge</v>
      </c>
      <c r="C731" s="221">
        <f t="shared" ref="C731:E731" si="367">C371</f>
        <v>0</v>
      </c>
      <c r="D731" s="221">
        <f t="shared" si="367"/>
        <v>0.9775626664</v>
      </c>
      <c r="E731" s="221">
        <f t="shared" si="367"/>
        <v>0</v>
      </c>
      <c r="F731" s="221">
        <f t="shared" si="12"/>
        <v>8712.194368</v>
      </c>
      <c r="G731" s="438">
        <f t="shared" si="4"/>
        <v>0.1561101342</v>
      </c>
      <c r="H731" s="220" t="str">
        <f t="shared" si="13"/>
        <v>Default standby Charge</v>
      </c>
      <c r="I731" s="182"/>
      <c r="J731" s="182"/>
      <c r="K731" s="11"/>
      <c r="L731" s="182"/>
      <c r="M731" s="182"/>
      <c r="N731" s="182"/>
      <c r="O731" s="182"/>
      <c r="P731" s="11"/>
      <c r="Q731" s="11"/>
      <c r="R731" s="11"/>
      <c r="S731" s="11"/>
      <c r="T731" s="11"/>
      <c r="U731" s="11"/>
      <c r="V731" s="11"/>
      <c r="W731" s="11"/>
      <c r="X731" s="11"/>
      <c r="Y731" s="11"/>
      <c r="Z731" s="11"/>
      <c r="AA731" s="11"/>
    </row>
    <row r="732" ht="15.75" customHeight="1">
      <c r="A732" s="435">
        <f t="shared" si="10"/>
        <v>2836</v>
      </c>
      <c r="B732" s="429" t="str">
        <f t="shared" si="321"/>
        <v>Charge</v>
      </c>
      <c r="C732" s="221">
        <f t="shared" ref="C732:E732" si="368">C372</f>
        <v>0</v>
      </c>
      <c r="D732" s="221">
        <f t="shared" si="368"/>
        <v>0.9775626664</v>
      </c>
      <c r="E732" s="221">
        <f t="shared" si="368"/>
        <v>0</v>
      </c>
      <c r="F732" s="221">
        <f t="shared" si="12"/>
        <v>8713.17193</v>
      </c>
      <c r="G732" s="438">
        <f t="shared" si="4"/>
        <v>0.1561276507</v>
      </c>
      <c r="H732" s="220" t="str">
        <f t="shared" si="13"/>
        <v>Default standby Charge</v>
      </c>
      <c r="I732" s="182"/>
      <c r="J732" s="182"/>
      <c r="K732" s="11"/>
      <c r="L732" s="182"/>
      <c r="M732" s="182"/>
      <c r="N732" s="182"/>
      <c r="O732" s="182"/>
      <c r="P732" s="11"/>
      <c r="Q732" s="11"/>
      <c r="R732" s="11"/>
      <c r="S732" s="11"/>
      <c r="T732" s="11"/>
      <c r="U732" s="11"/>
      <c r="V732" s="11"/>
      <c r="W732" s="11"/>
      <c r="X732" s="11"/>
      <c r="Y732" s="11"/>
      <c r="Z732" s="11"/>
      <c r="AA732" s="11"/>
    </row>
    <row r="733" ht="15.75" customHeight="1">
      <c r="A733" s="435">
        <f t="shared" si="10"/>
        <v>2840</v>
      </c>
      <c r="B733" s="429" t="str">
        <f t="shared" si="321"/>
        <v>Charge</v>
      </c>
      <c r="C733" s="221">
        <f t="shared" ref="C733:E733" si="369">C373</f>
        <v>0</v>
      </c>
      <c r="D733" s="221">
        <f t="shared" si="369"/>
        <v>0.9775626664</v>
      </c>
      <c r="E733" s="221">
        <f t="shared" si="369"/>
        <v>0</v>
      </c>
      <c r="F733" s="221">
        <f t="shared" si="12"/>
        <v>8714.149493</v>
      </c>
      <c r="G733" s="438">
        <f t="shared" si="4"/>
        <v>0.1561451672</v>
      </c>
      <c r="H733" s="220" t="str">
        <f t="shared" si="13"/>
        <v>Default standby Charge</v>
      </c>
      <c r="I733" s="182"/>
      <c r="J733" s="182"/>
      <c r="K733" s="11"/>
      <c r="L733" s="182"/>
      <c r="M733" s="182"/>
      <c r="N733" s="182"/>
      <c r="O733" s="182"/>
      <c r="P733" s="11"/>
      <c r="Q733" s="11"/>
      <c r="R733" s="11"/>
      <c r="S733" s="11"/>
      <c r="T733" s="11"/>
      <c r="U733" s="11"/>
      <c r="V733" s="11"/>
      <c r="W733" s="11"/>
      <c r="X733" s="11"/>
      <c r="Y733" s="11"/>
      <c r="Z733" s="11"/>
      <c r="AA733" s="11"/>
    </row>
    <row r="734" ht="15.75" customHeight="1">
      <c r="A734" s="435">
        <f t="shared" si="10"/>
        <v>2844</v>
      </c>
      <c r="B734" s="429" t="str">
        <f t="shared" si="321"/>
        <v>Charge</v>
      </c>
      <c r="C734" s="221">
        <f t="shared" ref="C734:E734" si="370">C374</f>
        <v>0</v>
      </c>
      <c r="D734" s="221">
        <f t="shared" si="370"/>
        <v>0.9775626664</v>
      </c>
      <c r="E734" s="221">
        <f t="shared" si="370"/>
        <v>0</v>
      </c>
      <c r="F734" s="221">
        <f t="shared" si="12"/>
        <v>8715.127056</v>
      </c>
      <c r="G734" s="438">
        <f t="shared" si="4"/>
        <v>0.1561626838</v>
      </c>
      <c r="H734" s="220" t="str">
        <f t="shared" si="13"/>
        <v>Default standby Charge</v>
      </c>
      <c r="I734" s="182"/>
      <c r="J734" s="182"/>
      <c r="K734" s="11"/>
      <c r="L734" s="182"/>
      <c r="M734" s="182"/>
      <c r="N734" s="182"/>
      <c r="O734" s="182"/>
      <c r="P734" s="11"/>
      <c r="Q734" s="11"/>
      <c r="R734" s="11"/>
      <c r="S734" s="11"/>
      <c r="T734" s="11"/>
      <c r="U734" s="11"/>
      <c r="V734" s="11"/>
      <c r="W734" s="11"/>
      <c r="X734" s="11"/>
      <c r="Y734" s="11"/>
      <c r="Z734" s="11"/>
      <c r="AA734" s="11"/>
    </row>
    <row r="735" ht="15.75" customHeight="1">
      <c r="A735" s="435">
        <f t="shared" si="10"/>
        <v>2848</v>
      </c>
      <c r="B735" s="429" t="str">
        <f t="shared" si="321"/>
        <v>Charge</v>
      </c>
      <c r="C735" s="221">
        <f t="shared" ref="C735:E735" si="371">C375</f>
        <v>0</v>
      </c>
      <c r="D735" s="221">
        <f t="shared" si="371"/>
        <v>0.9775626664</v>
      </c>
      <c r="E735" s="221">
        <f t="shared" si="371"/>
        <v>0</v>
      </c>
      <c r="F735" s="221">
        <f t="shared" si="12"/>
        <v>8716.104618</v>
      </c>
      <c r="G735" s="438">
        <f t="shared" si="4"/>
        <v>0.1561802003</v>
      </c>
      <c r="H735" s="220" t="str">
        <f t="shared" si="13"/>
        <v>Default standby Charge</v>
      </c>
      <c r="I735" s="182"/>
      <c r="J735" s="182"/>
      <c r="K735" s="11"/>
      <c r="L735" s="182"/>
      <c r="M735" s="182"/>
      <c r="N735" s="182"/>
      <c r="O735" s="182"/>
      <c r="P735" s="11"/>
      <c r="Q735" s="11"/>
      <c r="R735" s="11"/>
      <c r="S735" s="11"/>
      <c r="T735" s="11"/>
      <c r="U735" s="11"/>
      <c r="V735" s="11"/>
      <c r="W735" s="11"/>
      <c r="X735" s="11"/>
      <c r="Y735" s="11"/>
      <c r="Z735" s="11"/>
      <c r="AA735" s="11"/>
    </row>
    <row r="736" ht="15.75" customHeight="1">
      <c r="A736" s="435">
        <f t="shared" si="10"/>
        <v>2852</v>
      </c>
      <c r="B736" s="429" t="str">
        <f t="shared" si="321"/>
        <v>Charge</v>
      </c>
      <c r="C736" s="221">
        <f t="shared" ref="C736:E736" si="372">C376</f>
        <v>0</v>
      </c>
      <c r="D736" s="221">
        <f t="shared" si="372"/>
        <v>0.9775626664</v>
      </c>
      <c r="E736" s="221">
        <f t="shared" si="372"/>
        <v>0</v>
      </c>
      <c r="F736" s="221">
        <f t="shared" si="12"/>
        <v>8717.082181</v>
      </c>
      <c r="G736" s="438">
        <f t="shared" si="4"/>
        <v>0.1561977168</v>
      </c>
      <c r="H736" s="220" t="str">
        <f t="shared" si="13"/>
        <v>Default standby Charge</v>
      </c>
      <c r="I736" s="182"/>
      <c r="J736" s="182"/>
      <c r="K736" s="11"/>
      <c r="L736" s="182"/>
      <c r="M736" s="182"/>
      <c r="N736" s="182"/>
      <c r="O736" s="182"/>
      <c r="P736" s="11"/>
      <c r="Q736" s="11"/>
      <c r="R736" s="11"/>
      <c r="S736" s="11"/>
      <c r="T736" s="11"/>
      <c r="U736" s="11"/>
      <c r="V736" s="11"/>
      <c r="W736" s="11"/>
      <c r="X736" s="11"/>
      <c r="Y736" s="11"/>
      <c r="Z736" s="11"/>
      <c r="AA736" s="11"/>
    </row>
    <row r="737" ht="15.75" customHeight="1">
      <c r="A737" s="435">
        <f t="shared" si="10"/>
        <v>2856</v>
      </c>
      <c r="B737" s="429" t="str">
        <f t="shared" si="321"/>
        <v>Charge</v>
      </c>
      <c r="C737" s="221">
        <f t="shared" ref="C737:E737" si="373">C377</f>
        <v>0</v>
      </c>
      <c r="D737" s="221">
        <f t="shared" si="373"/>
        <v>0.9775626664</v>
      </c>
      <c r="E737" s="221">
        <f t="shared" si="373"/>
        <v>0</v>
      </c>
      <c r="F737" s="221">
        <f t="shared" si="12"/>
        <v>8718.059744</v>
      </c>
      <c r="G737" s="438">
        <f t="shared" si="4"/>
        <v>0.1562152334</v>
      </c>
      <c r="H737" s="220" t="str">
        <f t="shared" si="13"/>
        <v>Default standby Charge</v>
      </c>
      <c r="I737" s="182"/>
      <c r="J737" s="182"/>
      <c r="K737" s="11"/>
      <c r="L737" s="182"/>
      <c r="M737" s="182"/>
      <c r="N737" s="182"/>
      <c r="O737" s="182"/>
      <c r="P737" s="11"/>
      <c r="Q737" s="11"/>
      <c r="R737" s="11"/>
      <c r="S737" s="11"/>
      <c r="T737" s="11"/>
      <c r="U737" s="11"/>
      <c r="V737" s="11"/>
      <c r="W737" s="11"/>
      <c r="X737" s="11"/>
      <c r="Y737" s="11"/>
      <c r="Z737" s="11"/>
      <c r="AA737" s="11"/>
    </row>
    <row r="738" ht="15.75" customHeight="1">
      <c r="A738" s="435">
        <f t="shared" si="10"/>
        <v>2860</v>
      </c>
      <c r="B738" s="429" t="str">
        <f t="shared" si="321"/>
        <v>Charge</v>
      </c>
      <c r="C738" s="221">
        <f t="shared" ref="C738:E738" si="374">C378</f>
        <v>0</v>
      </c>
      <c r="D738" s="221">
        <f t="shared" si="374"/>
        <v>0.9775626664</v>
      </c>
      <c r="E738" s="221">
        <f t="shared" si="374"/>
        <v>0</v>
      </c>
      <c r="F738" s="221">
        <f t="shared" si="12"/>
        <v>8719.037306</v>
      </c>
      <c r="G738" s="438">
        <f t="shared" si="4"/>
        <v>0.1562327499</v>
      </c>
      <c r="H738" s="220" t="str">
        <f t="shared" si="13"/>
        <v>Default standby Charge</v>
      </c>
      <c r="I738" s="182"/>
      <c r="J738" s="182"/>
      <c r="K738" s="11"/>
      <c r="L738" s="182"/>
      <c r="M738" s="182"/>
      <c r="N738" s="182"/>
      <c r="O738" s="182"/>
      <c r="P738" s="11"/>
      <c r="Q738" s="11"/>
      <c r="R738" s="11"/>
      <c r="S738" s="11"/>
      <c r="T738" s="11"/>
      <c r="U738" s="11"/>
      <c r="V738" s="11"/>
      <c r="W738" s="11"/>
      <c r="X738" s="11"/>
      <c r="Y738" s="11"/>
      <c r="Z738" s="11"/>
      <c r="AA738" s="11"/>
    </row>
    <row r="739" ht="15.75" customHeight="1">
      <c r="A739" s="435">
        <f t="shared" si="10"/>
        <v>2864</v>
      </c>
      <c r="B739" s="429" t="str">
        <f t="shared" si="321"/>
        <v>Charge</v>
      </c>
      <c r="C739" s="221">
        <f t="shared" ref="C739:E739" si="375">C379</f>
        <v>0</v>
      </c>
      <c r="D739" s="221">
        <f t="shared" si="375"/>
        <v>0.9775626664</v>
      </c>
      <c r="E739" s="221">
        <f t="shared" si="375"/>
        <v>0</v>
      </c>
      <c r="F739" s="221">
        <f t="shared" si="12"/>
        <v>8720.014869</v>
      </c>
      <c r="G739" s="438">
        <f t="shared" si="4"/>
        <v>0.1562502664</v>
      </c>
      <c r="H739" s="220" t="str">
        <f t="shared" si="13"/>
        <v>Default standby Charge</v>
      </c>
      <c r="I739" s="182"/>
      <c r="J739" s="182"/>
      <c r="K739" s="11"/>
      <c r="L739" s="182"/>
      <c r="M739" s="182"/>
      <c r="N739" s="182"/>
      <c r="O739" s="182"/>
      <c r="P739" s="11"/>
      <c r="Q739" s="11"/>
      <c r="R739" s="11"/>
      <c r="S739" s="11"/>
      <c r="T739" s="11"/>
      <c r="U739" s="11"/>
      <c r="V739" s="11"/>
      <c r="W739" s="11"/>
      <c r="X739" s="11"/>
      <c r="Y739" s="11"/>
      <c r="Z739" s="11"/>
      <c r="AA739" s="11"/>
    </row>
    <row r="740" ht="15.75" customHeight="1">
      <c r="A740" s="435">
        <f t="shared" si="10"/>
        <v>2868</v>
      </c>
      <c r="B740" s="429" t="str">
        <f t="shared" si="321"/>
        <v>Charge</v>
      </c>
      <c r="C740" s="221">
        <f t="shared" ref="C740:E740" si="376">C380</f>
        <v>0</v>
      </c>
      <c r="D740" s="221">
        <f t="shared" si="376"/>
        <v>0.9775626664</v>
      </c>
      <c r="E740" s="221">
        <f t="shared" si="376"/>
        <v>0</v>
      </c>
      <c r="F740" s="221">
        <f t="shared" si="12"/>
        <v>8720.992432</v>
      </c>
      <c r="G740" s="438">
        <f t="shared" si="4"/>
        <v>0.156267783</v>
      </c>
      <c r="H740" s="220" t="str">
        <f t="shared" si="13"/>
        <v>Default standby Charge</v>
      </c>
      <c r="I740" s="182"/>
      <c r="J740" s="182"/>
      <c r="K740" s="11"/>
      <c r="L740" s="182"/>
      <c r="M740" s="182"/>
      <c r="N740" s="182"/>
      <c r="O740" s="182"/>
      <c r="P740" s="11"/>
      <c r="Q740" s="11"/>
      <c r="R740" s="11"/>
      <c r="S740" s="11"/>
      <c r="T740" s="11"/>
      <c r="U740" s="11"/>
      <c r="V740" s="11"/>
      <c r="W740" s="11"/>
      <c r="X740" s="11"/>
      <c r="Y740" s="11"/>
      <c r="Z740" s="11"/>
      <c r="AA740" s="11"/>
    </row>
    <row r="741" ht="15.75" customHeight="1">
      <c r="A741" s="435">
        <f t="shared" si="10"/>
        <v>2872</v>
      </c>
      <c r="B741" s="429" t="str">
        <f t="shared" si="321"/>
        <v>Charge</v>
      </c>
      <c r="C741" s="221">
        <f t="shared" ref="C741:E741" si="377">C381</f>
        <v>0</v>
      </c>
      <c r="D741" s="221">
        <f t="shared" si="377"/>
        <v>0.9775626664</v>
      </c>
      <c r="E741" s="221">
        <f t="shared" si="377"/>
        <v>0</v>
      </c>
      <c r="F741" s="221">
        <f t="shared" si="12"/>
        <v>8721.969994</v>
      </c>
      <c r="G741" s="438">
        <f t="shared" si="4"/>
        <v>0.1562852995</v>
      </c>
      <c r="H741" s="220" t="str">
        <f t="shared" si="13"/>
        <v>Default standby Charge</v>
      </c>
      <c r="I741" s="182"/>
      <c r="J741" s="182"/>
      <c r="K741" s="11"/>
      <c r="L741" s="182"/>
      <c r="M741" s="182"/>
      <c r="N741" s="182"/>
      <c r="O741" s="182"/>
      <c r="P741" s="11"/>
      <c r="Q741" s="11"/>
      <c r="R741" s="11"/>
      <c r="S741" s="11"/>
      <c r="T741" s="11"/>
      <c r="U741" s="11"/>
      <c r="V741" s="11"/>
      <c r="W741" s="11"/>
      <c r="X741" s="11"/>
      <c r="Y741" s="11"/>
      <c r="Z741" s="11"/>
      <c r="AA741" s="11"/>
    </row>
    <row r="742" ht="15.75" customHeight="1">
      <c r="A742" s="435">
        <f t="shared" si="10"/>
        <v>2876</v>
      </c>
      <c r="B742" s="429" t="str">
        <f t="shared" si="321"/>
        <v>Charge</v>
      </c>
      <c r="C742" s="221">
        <f t="shared" ref="C742:E742" si="378">C382</f>
        <v>0</v>
      </c>
      <c r="D742" s="221">
        <f t="shared" si="378"/>
        <v>0.9775626664</v>
      </c>
      <c r="E742" s="221">
        <f t="shared" si="378"/>
        <v>0</v>
      </c>
      <c r="F742" s="221">
        <f t="shared" si="12"/>
        <v>8722.947557</v>
      </c>
      <c r="G742" s="438">
        <f t="shared" si="4"/>
        <v>0.156302816</v>
      </c>
      <c r="H742" s="220" t="str">
        <f t="shared" si="13"/>
        <v>Default standby Charge</v>
      </c>
      <c r="I742" s="182"/>
      <c r="J742" s="182"/>
      <c r="K742" s="11"/>
      <c r="L742" s="182"/>
      <c r="M742" s="182"/>
      <c r="N742" s="182"/>
      <c r="O742" s="182"/>
      <c r="P742" s="11"/>
      <c r="Q742" s="11"/>
      <c r="R742" s="11"/>
      <c r="S742" s="11"/>
      <c r="T742" s="11"/>
      <c r="U742" s="11"/>
      <c r="V742" s="11"/>
      <c r="W742" s="11"/>
      <c r="X742" s="11"/>
      <c r="Y742" s="11"/>
      <c r="Z742" s="11"/>
      <c r="AA742" s="11"/>
    </row>
    <row r="743" ht="15.75" customHeight="1">
      <c r="A743" s="182"/>
      <c r="B743" s="182"/>
      <c r="C743" s="182"/>
      <c r="D743" s="182"/>
      <c r="E743" s="182"/>
      <c r="F743" s="182"/>
      <c r="G743" s="182"/>
      <c r="H743" s="182"/>
      <c r="I743" s="182"/>
      <c r="J743" s="182"/>
      <c r="K743" s="11"/>
      <c r="L743" s="182"/>
      <c r="M743" s="182"/>
      <c r="N743" s="182"/>
      <c r="O743" s="182"/>
      <c r="P743" s="11"/>
      <c r="Q743" s="11"/>
      <c r="R743" s="11"/>
      <c r="S743" s="11"/>
      <c r="T743" s="11"/>
      <c r="U743" s="11"/>
      <c r="V743" s="11"/>
      <c r="W743" s="11"/>
      <c r="X743" s="11"/>
      <c r="Y743" s="11"/>
      <c r="Z743" s="11"/>
      <c r="AA743" s="11"/>
    </row>
    <row r="744" ht="15.75" customHeight="1">
      <c r="A744" s="182"/>
      <c r="B744" s="182"/>
      <c r="C744" s="182"/>
      <c r="D744" s="182"/>
      <c r="E744" s="182"/>
      <c r="F744" s="182"/>
      <c r="G744" s="182"/>
      <c r="H744" s="182"/>
      <c r="I744" s="182"/>
      <c r="J744" s="182"/>
      <c r="K744" s="11"/>
      <c r="L744" s="182"/>
      <c r="M744" s="182"/>
      <c r="N744" s="182"/>
      <c r="O744" s="182"/>
      <c r="P744" s="11"/>
      <c r="Q744" s="11"/>
      <c r="R744" s="11"/>
      <c r="S744" s="11"/>
      <c r="T744" s="11"/>
      <c r="U744" s="11"/>
      <c r="V744" s="11"/>
      <c r="W744" s="11"/>
      <c r="X744" s="11"/>
      <c r="Y744" s="11"/>
      <c r="Z744" s="11"/>
      <c r="AA744" s="11"/>
    </row>
    <row r="745" ht="15.75" customHeight="1">
      <c r="A745" s="182"/>
      <c r="B745" s="182"/>
      <c r="C745" s="182"/>
      <c r="D745" s="182"/>
      <c r="E745" s="182"/>
      <c r="F745" s="182"/>
      <c r="G745" s="182"/>
      <c r="H745" s="182"/>
      <c r="I745" s="182"/>
      <c r="J745" s="182"/>
      <c r="K745" s="11"/>
      <c r="L745" s="182"/>
      <c r="M745" s="182"/>
      <c r="N745" s="182"/>
      <c r="O745" s="182"/>
      <c r="P745" s="11"/>
      <c r="Q745" s="11"/>
      <c r="R745" s="11"/>
      <c r="S745" s="11"/>
      <c r="T745" s="11"/>
      <c r="U745" s="11"/>
      <c r="V745" s="11"/>
      <c r="W745" s="11"/>
      <c r="X745" s="11"/>
      <c r="Y745" s="11"/>
      <c r="Z745" s="11"/>
      <c r="AA745" s="11"/>
    </row>
    <row r="746" ht="15.75" customHeight="1">
      <c r="A746" s="182"/>
      <c r="B746" s="182"/>
      <c r="C746" s="182"/>
      <c r="D746" s="182"/>
      <c r="E746" s="182"/>
      <c r="F746" s="182"/>
      <c r="G746" s="182"/>
      <c r="H746" s="182"/>
      <c r="I746" s="182"/>
      <c r="J746" s="182"/>
      <c r="K746" s="11"/>
      <c r="L746" s="182"/>
      <c r="M746" s="182"/>
      <c r="N746" s="182"/>
      <c r="O746" s="182"/>
      <c r="P746" s="11"/>
      <c r="Q746" s="11"/>
      <c r="R746" s="11"/>
      <c r="S746" s="11"/>
      <c r="T746" s="11"/>
      <c r="U746" s="11"/>
      <c r="V746" s="11"/>
      <c r="W746" s="11"/>
      <c r="X746" s="11"/>
      <c r="Y746" s="11"/>
      <c r="Z746" s="11"/>
      <c r="AA746" s="11"/>
    </row>
    <row r="747" ht="15.75" customHeight="1">
      <c r="A747" s="182"/>
      <c r="B747" s="182"/>
      <c r="C747" s="182"/>
      <c r="D747" s="182"/>
      <c r="E747" s="182"/>
      <c r="F747" s="182"/>
      <c r="G747" s="182"/>
      <c r="H747" s="182"/>
      <c r="I747" s="182"/>
      <c r="J747" s="182"/>
      <c r="K747" s="11"/>
      <c r="L747" s="182"/>
      <c r="M747" s="182"/>
      <c r="N747" s="182"/>
      <c r="O747" s="182"/>
      <c r="P747" s="11"/>
      <c r="Q747" s="11"/>
      <c r="R747" s="11"/>
      <c r="S747" s="11"/>
      <c r="T747" s="11"/>
      <c r="U747" s="11"/>
      <c r="V747" s="11"/>
      <c r="W747" s="11"/>
      <c r="X747" s="11"/>
      <c r="Y747" s="11"/>
      <c r="Z747" s="11"/>
      <c r="AA747" s="11"/>
    </row>
    <row r="748" ht="15.75" customHeight="1">
      <c r="A748" s="182"/>
      <c r="B748" s="182"/>
      <c r="C748" s="182"/>
      <c r="D748" s="182"/>
      <c r="E748" s="182"/>
      <c r="F748" s="182"/>
      <c r="G748" s="182"/>
      <c r="H748" s="182"/>
      <c r="I748" s="182"/>
      <c r="J748" s="182"/>
      <c r="K748" s="11"/>
      <c r="L748" s="182"/>
      <c r="M748" s="182"/>
      <c r="N748" s="182"/>
      <c r="O748" s="182"/>
      <c r="P748" s="11"/>
      <c r="Q748" s="11"/>
      <c r="R748" s="11"/>
      <c r="S748" s="11"/>
      <c r="T748" s="11"/>
      <c r="U748" s="11"/>
      <c r="V748" s="11"/>
      <c r="W748" s="11"/>
      <c r="X748" s="11"/>
      <c r="Y748" s="11"/>
      <c r="Z748" s="11"/>
      <c r="AA748" s="11"/>
    </row>
    <row r="749" ht="15.75" customHeight="1">
      <c r="A749" s="182"/>
      <c r="B749" s="182"/>
      <c r="C749" s="182"/>
      <c r="D749" s="182"/>
      <c r="E749" s="182"/>
      <c r="F749" s="182"/>
      <c r="G749" s="182"/>
      <c r="H749" s="182"/>
      <c r="I749" s="182"/>
      <c r="J749" s="182"/>
      <c r="K749" s="11"/>
      <c r="L749" s="182"/>
      <c r="M749" s="182"/>
      <c r="N749" s="182"/>
      <c r="O749" s="182"/>
      <c r="P749" s="11"/>
      <c r="Q749" s="11"/>
      <c r="R749" s="11"/>
      <c r="S749" s="11"/>
      <c r="T749" s="11"/>
      <c r="U749" s="11"/>
      <c r="V749" s="11"/>
      <c r="W749" s="11"/>
      <c r="X749" s="11"/>
      <c r="Y749" s="11"/>
      <c r="Z749" s="11"/>
      <c r="AA749" s="11"/>
    </row>
    <row r="750" ht="15.75" customHeight="1">
      <c r="A750" s="182"/>
      <c r="B750" s="182"/>
      <c r="C750" s="182"/>
      <c r="D750" s="182"/>
      <c r="E750" s="182"/>
      <c r="F750" s="182"/>
      <c r="G750" s="182"/>
      <c r="H750" s="182"/>
      <c r="I750" s="182"/>
      <c r="J750" s="182"/>
      <c r="K750" s="11"/>
      <c r="L750" s="182"/>
      <c r="M750" s="182"/>
      <c r="N750" s="182"/>
      <c r="O750" s="182"/>
      <c r="P750" s="11"/>
      <c r="Q750" s="11"/>
      <c r="R750" s="11"/>
      <c r="S750" s="11"/>
      <c r="T750" s="11"/>
      <c r="U750" s="11"/>
      <c r="V750" s="11"/>
      <c r="W750" s="11"/>
      <c r="X750" s="11"/>
      <c r="Y750" s="11"/>
      <c r="Z750" s="11"/>
      <c r="AA750" s="11"/>
    </row>
    <row r="751" ht="15.75" customHeight="1">
      <c r="A751" s="182"/>
      <c r="B751" s="182"/>
      <c r="C751" s="182"/>
      <c r="D751" s="182"/>
      <c r="E751" s="182"/>
      <c r="F751" s="182"/>
      <c r="G751" s="182"/>
      <c r="H751" s="182"/>
      <c r="I751" s="182"/>
      <c r="J751" s="182"/>
      <c r="K751" s="11"/>
      <c r="L751" s="182"/>
      <c r="M751" s="182"/>
      <c r="N751" s="182"/>
      <c r="O751" s="182"/>
      <c r="P751" s="11"/>
      <c r="Q751" s="11"/>
      <c r="R751" s="11"/>
      <c r="S751" s="11"/>
      <c r="T751" s="11"/>
      <c r="U751" s="11"/>
      <c r="V751" s="11"/>
      <c r="W751" s="11"/>
      <c r="X751" s="11"/>
      <c r="Y751" s="11"/>
      <c r="Z751" s="11"/>
      <c r="AA751" s="11"/>
    </row>
    <row r="752" ht="15.75" customHeight="1">
      <c r="A752" s="182"/>
      <c r="B752" s="182"/>
      <c r="C752" s="182"/>
      <c r="D752" s="182"/>
      <c r="E752" s="182"/>
      <c r="F752" s="182"/>
      <c r="G752" s="182"/>
      <c r="H752" s="182"/>
      <c r="I752" s="182"/>
      <c r="J752" s="182"/>
      <c r="K752" s="11"/>
      <c r="L752" s="182"/>
      <c r="M752" s="182"/>
      <c r="N752" s="182"/>
      <c r="O752" s="182"/>
      <c r="P752" s="11"/>
      <c r="Q752" s="11"/>
      <c r="R752" s="11"/>
      <c r="S752" s="11"/>
      <c r="T752" s="11"/>
      <c r="U752" s="11"/>
      <c r="V752" s="11"/>
      <c r="W752" s="11"/>
      <c r="X752" s="11"/>
      <c r="Y752" s="11"/>
      <c r="Z752" s="11"/>
      <c r="AA752" s="11"/>
    </row>
    <row r="753" ht="15.75" customHeight="1">
      <c r="A753" s="182"/>
      <c r="B753" s="182"/>
      <c r="C753" s="182"/>
      <c r="D753" s="182"/>
      <c r="E753" s="182"/>
      <c r="F753" s="182"/>
      <c r="G753" s="182"/>
      <c r="H753" s="182"/>
      <c r="I753" s="182"/>
      <c r="J753" s="182"/>
      <c r="K753" s="11"/>
      <c r="L753" s="182"/>
      <c r="M753" s="182"/>
      <c r="N753" s="182"/>
      <c r="O753" s="182"/>
      <c r="P753" s="11"/>
      <c r="Q753" s="11"/>
      <c r="R753" s="11"/>
      <c r="S753" s="11"/>
      <c r="T753" s="11"/>
      <c r="U753" s="11"/>
      <c r="V753" s="11"/>
      <c r="W753" s="11"/>
      <c r="X753" s="11"/>
      <c r="Y753" s="11"/>
      <c r="Z753" s="11"/>
      <c r="AA753" s="11"/>
    </row>
    <row r="754" ht="15.75" customHeight="1">
      <c r="A754" s="182"/>
      <c r="B754" s="182"/>
      <c r="C754" s="182"/>
      <c r="D754" s="182"/>
      <c r="E754" s="182"/>
      <c r="F754" s="182"/>
      <c r="G754" s="182"/>
      <c r="H754" s="182"/>
      <c r="I754" s="182"/>
      <c r="J754" s="182"/>
      <c r="K754" s="11"/>
      <c r="L754" s="182"/>
      <c r="M754" s="182"/>
      <c r="N754" s="182"/>
      <c r="O754" s="182"/>
      <c r="P754" s="11"/>
      <c r="Q754" s="11"/>
      <c r="R754" s="11"/>
      <c r="S754" s="11"/>
      <c r="T754" s="11"/>
      <c r="U754" s="11"/>
      <c r="V754" s="11"/>
      <c r="W754" s="11"/>
      <c r="X754" s="11"/>
      <c r="Y754" s="11"/>
      <c r="Z754" s="11"/>
      <c r="AA754" s="11"/>
    </row>
    <row r="755" ht="15.75" customHeight="1">
      <c r="A755" s="182"/>
      <c r="B755" s="182"/>
      <c r="C755" s="182"/>
      <c r="D755" s="182"/>
      <c r="E755" s="182"/>
      <c r="F755" s="182"/>
      <c r="G755" s="182"/>
      <c r="H755" s="182"/>
      <c r="I755" s="182"/>
      <c r="J755" s="182"/>
      <c r="K755" s="11"/>
      <c r="L755" s="182"/>
      <c r="M755" s="182"/>
      <c r="N755" s="182"/>
      <c r="O755" s="182"/>
      <c r="P755" s="11"/>
      <c r="Q755" s="11"/>
      <c r="R755" s="11"/>
      <c r="S755" s="11"/>
      <c r="T755" s="11"/>
      <c r="U755" s="11"/>
      <c r="V755" s="11"/>
      <c r="W755" s="11"/>
      <c r="X755" s="11"/>
      <c r="Y755" s="11"/>
      <c r="Z755" s="11"/>
      <c r="AA755" s="11"/>
    </row>
    <row r="756" ht="15.75" customHeight="1">
      <c r="A756" s="182"/>
      <c r="B756" s="182"/>
      <c r="C756" s="182"/>
      <c r="D756" s="182"/>
      <c r="E756" s="182"/>
      <c r="F756" s="182"/>
      <c r="G756" s="182"/>
      <c r="H756" s="182"/>
      <c r="I756" s="182"/>
      <c r="J756" s="182"/>
      <c r="K756" s="11"/>
      <c r="L756" s="182"/>
      <c r="M756" s="182"/>
      <c r="N756" s="182"/>
      <c r="O756" s="182"/>
      <c r="P756" s="11"/>
      <c r="Q756" s="11"/>
      <c r="R756" s="11"/>
      <c r="S756" s="11"/>
      <c r="T756" s="11"/>
      <c r="U756" s="11"/>
      <c r="V756" s="11"/>
      <c r="W756" s="11"/>
      <c r="X756" s="11"/>
      <c r="Y756" s="11"/>
      <c r="Z756" s="11"/>
      <c r="AA756" s="11"/>
    </row>
    <row r="757" ht="15.75" customHeight="1">
      <c r="A757" s="182"/>
      <c r="B757" s="182"/>
      <c r="C757" s="182"/>
      <c r="D757" s="182"/>
      <c r="E757" s="182"/>
      <c r="F757" s="182"/>
      <c r="G757" s="182"/>
      <c r="H757" s="182"/>
      <c r="I757" s="182"/>
      <c r="J757" s="182"/>
      <c r="K757" s="11"/>
      <c r="L757" s="182"/>
      <c r="M757" s="182"/>
      <c r="N757" s="182"/>
      <c r="O757" s="182"/>
      <c r="P757" s="11"/>
      <c r="Q757" s="11"/>
      <c r="R757" s="11"/>
      <c r="S757" s="11"/>
      <c r="T757" s="11"/>
      <c r="U757" s="11"/>
      <c r="V757" s="11"/>
      <c r="W757" s="11"/>
      <c r="X757" s="11"/>
      <c r="Y757" s="11"/>
      <c r="Z757" s="11"/>
      <c r="AA757" s="11"/>
    </row>
    <row r="758" ht="15.75" customHeight="1">
      <c r="A758" s="182"/>
      <c r="B758" s="182"/>
      <c r="C758" s="182"/>
      <c r="D758" s="182"/>
      <c r="E758" s="182"/>
      <c r="F758" s="182"/>
      <c r="G758" s="182"/>
      <c r="H758" s="182"/>
      <c r="I758" s="182"/>
      <c r="J758" s="182"/>
      <c r="K758" s="11"/>
      <c r="L758" s="182"/>
      <c r="M758" s="182"/>
      <c r="N758" s="182"/>
      <c r="O758" s="182"/>
      <c r="P758" s="11"/>
      <c r="Q758" s="11"/>
      <c r="R758" s="11"/>
      <c r="S758" s="11"/>
      <c r="T758" s="11"/>
      <c r="U758" s="11"/>
      <c r="V758" s="11"/>
      <c r="W758" s="11"/>
      <c r="X758" s="11"/>
      <c r="Y758" s="11"/>
      <c r="Z758" s="11"/>
      <c r="AA758" s="11"/>
    </row>
    <row r="759" ht="15.75" customHeight="1">
      <c r="A759" s="182"/>
      <c r="B759" s="182"/>
      <c r="C759" s="182"/>
      <c r="D759" s="182"/>
      <c r="E759" s="182"/>
      <c r="F759" s="182"/>
      <c r="G759" s="182"/>
      <c r="H759" s="182"/>
      <c r="I759" s="182"/>
      <c r="J759" s="182"/>
      <c r="K759" s="11"/>
      <c r="L759" s="182"/>
      <c r="M759" s="182"/>
      <c r="N759" s="182"/>
      <c r="O759" s="182"/>
      <c r="P759" s="11"/>
      <c r="Q759" s="11"/>
      <c r="R759" s="11"/>
      <c r="S759" s="11"/>
      <c r="T759" s="11"/>
      <c r="U759" s="11"/>
      <c r="V759" s="11"/>
      <c r="W759" s="11"/>
      <c r="X759" s="11"/>
      <c r="Y759" s="11"/>
      <c r="Z759" s="11"/>
      <c r="AA759" s="11"/>
    </row>
    <row r="760" ht="15.75" customHeight="1">
      <c r="A760" s="182"/>
      <c r="B760" s="182"/>
      <c r="C760" s="182"/>
      <c r="D760" s="182"/>
      <c r="E760" s="182"/>
      <c r="F760" s="182"/>
      <c r="G760" s="182"/>
      <c r="H760" s="182"/>
      <c r="I760" s="182"/>
      <c r="J760" s="182"/>
      <c r="K760" s="11"/>
      <c r="L760" s="182"/>
      <c r="M760" s="182"/>
      <c r="N760" s="182"/>
      <c r="O760" s="182"/>
      <c r="P760" s="11"/>
      <c r="Q760" s="11"/>
      <c r="R760" s="11"/>
      <c r="S760" s="11"/>
      <c r="T760" s="11"/>
      <c r="U760" s="11"/>
      <c r="V760" s="11"/>
      <c r="W760" s="11"/>
      <c r="X760" s="11"/>
      <c r="Y760" s="11"/>
      <c r="Z760" s="11"/>
      <c r="AA760" s="11"/>
    </row>
    <row r="761" ht="15.75" customHeight="1">
      <c r="A761" s="182"/>
      <c r="B761" s="182"/>
      <c r="C761" s="182"/>
      <c r="D761" s="182"/>
      <c r="E761" s="182"/>
      <c r="F761" s="182"/>
      <c r="G761" s="182"/>
      <c r="H761" s="182"/>
      <c r="I761" s="182"/>
      <c r="J761" s="182"/>
      <c r="K761" s="11"/>
      <c r="L761" s="182"/>
      <c r="M761" s="182"/>
      <c r="N761" s="182"/>
      <c r="O761" s="182"/>
      <c r="P761" s="11"/>
      <c r="Q761" s="11"/>
      <c r="R761" s="11"/>
      <c r="S761" s="11"/>
      <c r="T761" s="11"/>
      <c r="U761" s="11"/>
      <c r="V761" s="11"/>
      <c r="W761" s="11"/>
      <c r="X761" s="11"/>
      <c r="Y761" s="11"/>
      <c r="Z761" s="11"/>
      <c r="AA761" s="11"/>
    </row>
    <row r="762" ht="15.75" customHeight="1">
      <c r="A762" s="182"/>
      <c r="B762" s="182"/>
      <c r="C762" s="182"/>
      <c r="D762" s="182"/>
      <c r="E762" s="182"/>
      <c r="F762" s="182"/>
      <c r="G762" s="182"/>
      <c r="H762" s="182"/>
      <c r="I762" s="182"/>
      <c r="J762" s="182"/>
      <c r="K762" s="11"/>
      <c r="L762" s="182"/>
      <c r="M762" s="182"/>
      <c r="N762" s="182"/>
      <c r="O762" s="182"/>
      <c r="P762" s="11"/>
      <c r="Q762" s="11"/>
      <c r="R762" s="11"/>
      <c r="S762" s="11"/>
      <c r="T762" s="11"/>
      <c r="U762" s="11"/>
      <c r="V762" s="11"/>
      <c r="W762" s="11"/>
      <c r="X762" s="11"/>
      <c r="Y762" s="11"/>
      <c r="Z762" s="11"/>
      <c r="AA762" s="11"/>
    </row>
    <row r="763" ht="15.75" customHeight="1">
      <c r="A763" s="182"/>
      <c r="B763" s="182"/>
      <c r="C763" s="182"/>
      <c r="D763" s="182"/>
      <c r="E763" s="182"/>
      <c r="F763" s="182"/>
      <c r="G763" s="182"/>
      <c r="H763" s="182"/>
      <c r="I763" s="182"/>
      <c r="J763" s="182"/>
      <c r="K763" s="11"/>
      <c r="L763" s="182"/>
      <c r="M763" s="182"/>
      <c r="N763" s="182"/>
      <c r="O763" s="182"/>
      <c r="P763" s="11"/>
      <c r="Q763" s="11"/>
      <c r="R763" s="11"/>
      <c r="S763" s="11"/>
      <c r="T763" s="11"/>
      <c r="U763" s="11"/>
      <c r="V763" s="11"/>
      <c r="W763" s="11"/>
      <c r="X763" s="11"/>
      <c r="Y763" s="11"/>
      <c r="Z763" s="11"/>
      <c r="AA763" s="11"/>
    </row>
    <row r="764" ht="15.75" customHeight="1">
      <c r="A764" s="182"/>
      <c r="B764" s="182"/>
      <c r="C764" s="182"/>
      <c r="D764" s="182"/>
      <c r="E764" s="182"/>
      <c r="F764" s="182"/>
      <c r="G764" s="182"/>
      <c r="H764" s="182"/>
      <c r="I764" s="182"/>
      <c r="J764" s="182"/>
      <c r="K764" s="11"/>
      <c r="L764" s="182"/>
      <c r="M764" s="182"/>
      <c r="N764" s="182"/>
      <c r="O764" s="182"/>
      <c r="P764" s="11"/>
      <c r="Q764" s="11"/>
      <c r="R764" s="11"/>
      <c r="S764" s="11"/>
      <c r="T764" s="11"/>
      <c r="U764" s="11"/>
      <c r="V764" s="11"/>
      <c r="W764" s="11"/>
      <c r="X764" s="11"/>
      <c r="Y764" s="11"/>
      <c r="Z764" s="11"/>
      <c r="AA764" s="11"/>
    </row>
    <row r="765" ht="15.75" customHeight="1">
      <c r="A765" s="182"/>
      <c r="B765" s="182"/>
      <c r="C765" s="182"/>
      <c r="D765" s="182"/>
      <c r="E765" s="182"/>
      <c r="F765" s="182"/>
      <c r="G765" s="182"/>
      <c r="H765" s="182"/>
      <c r="I765" s="182"/>
      <c r="J765" s="182"/>
      <c r="K765" s="11"/>
      <c r="L765" s="182"/>
      <c r="M765" s="182"/>
      <c r="N765" s="182"/>
      <c r="O765" s="182"/>
      <c r="P765" s="11"/>
      <c r="Q765" s="11"/>
      <c r="R765" s="11"/>
      <c r="S765" s="11"/>
      <c r="T765" s="11"/>
      <c r="U765" s="11"/>
      <c r="V765" s="11"/>
      <c r="W765" s="11"/>
      <c r="X765" s="11"/>
      <c r="Y765" s="11"/>
      <c r="Z765" s="11"/>
      <c r="AA765" s="11"/>
    </row>
    <row r="766" ht="15.75" customHeight="1">
      <c r="A766" s="182"/>
      <c r="B766" s="182"/>
      <c r="C766" s="182"/>
      <c r="D766" s="182"/>
      <c r="E766" s="182"/>
      <c r="F766" s="182"/>
      <c r="G766" s="182"/>
      <c r="H766" s="182"/>
      <c r="I766" s="182"/>
      <c r="J766" s="182"/>
      <c r="K766" s="11"/>
      <c r="L766" s="182"/>
      <c r="M766" s="182"/>
      <c r="N766" s="182"/>
      <c r="O766" s="182"/>
      <c r="P766" s="11"/>
      <c r="Q766" s="11"/>
      <c r="R766" s="11"/>
      <c r="S766" s="11"/>
      <c r="T766" s="11"/>
      <c r="U766" s="11"/>
      <c r="V766" s="11"/>
      <c r="W766" s="11"/>
      <c r="X766" s="11"/>
      <c r="Y766" s="11"/>
      <c r="Z766" s="11"/>
      <c r="AA766" s="11"/>
    </row>
    <row r="767" ht="15.75" customHeight="1">
      <c r="A767" s="182"/>
      <c r="B767" s="182"/>
      <c r="C767" s="182"/>
      <c r="D767" s="182"/>
      <c r="E767" s="182"/>
      <c r="F767" s="182"/>
      <c r="G767" s="182"/>
      <c r="H767" s="182"/>
      <c r="I767" s="182"/>
      <c r="J767" s="182"/>
      <c r="K767" s="11"/>
      <c r="L767" s="182"/>
      <c r="M767" s="182"/>
      <c r="N767" s="182"/>
      <c r="O767" s="182"/>
      <c r="P767" s="11"/>
      <c r="Q767" s="11"/>
      <c r="R767" s="11"/>
      <c r="S767" s="11"/>
      <c r="T767" s="11"/>
      <c r="U767" s="11"/>
      <c r="V767" s="11"/>
      <c r="W767" s="11"/>
      <c r="X767" s="11"/>
      <c r="Y767" s="11"/>
      <c r="Z767" s="11"/>
      <c r="AA767" s="11"/>
    </row>
    <row r="768" ht="15.75" customHeight="1">
      <c r="A768" s="182"/>
      <c r="B768" s="182"/>
      <c r="C768" s="182"/>
      <c r="D768" s="182"/>
      <c r="E768" s="182"/>
      <c r="F768" s="182"/>
      <c r="G768" s="182"/>
      <c r="H768" s="182"/>
      <c r="I768" s="182"/>
      <c r="J768" s="182"/>
      <c r="K768" s="11"/>
      <c r="L768" s="182"/>
      <c r="M768" s="182"/>
      <c r="N768" s="182"/>
      <c r="O768" s="182"/>
      <c r="P768" s="11"/>
      <c r="Q768" s="11"/>
      <c r="R768" s="11"/>
      <c r="S768" s="11"/>
      <c r="T768" s="11"/>
      <c r="U768" s="11"/>
      <c r="V768" s="11"/>
      <c r="W768" s="11"/>
      <c r="X768" s="11"/>
      <c r="Y768" s="11"/>
      <c r="Z768" s="11"/>
      <c r="AA768" s="11"/>
    </row>
    <row r="769" ht="15.75" customHeight="1">
      <c r="A769" s="182"/>
      <c r="B769" s="182"/>
      <c r="C769" s="182"/>
      <c r="D769" s="182"/>
      <c r="E769" s="182"/>
      <c r="F769" s="182"/>
      <c r="G769" s="182"/>
      <c r="H769" s="182"/>
      <c r="I769" s="182"/>
      <c r="J769" s="182"/>
      <c r="K769" s="11"/>
      <c r="L769" s="182"/>
      <c r="M769" s="182"/>
      <c r="N769" s="182"/>
      <c r="O769" s="182"/>
      <c r="P769" s="11"/>
      <c r="Q769" s="11"/>
      <c r="R769" s="11"/>
      <c r="S769" s="11"/>
      <c r="T769" s="11"/>
      <c r="U769" s="11"/>
      <c r="V769" s="11"/>
      <c r="W769" s="11"/>
      <c r="X769" s="11"/>
      <c r="Y769" s="11"/>
      <c r="Z769" s="11"/>
      <c r="AA769" s="11"/>
    </row>
    <row r="770" ht="15.75" customHeight="1">
      <c r="A770" s="182"/>
      <c r="B770" s="182"/>
      <c r="C770" s="182"/>
      <c r="D770" s="182"/>
      <c r="E770" s="182"/>
      <c r="F770" s="182"/>
      <c r="G770" s="182"/>
      <c r="H770" s="182"/>
      <c r="I770" s="182"/>
      <c r="J770" s="182"/>
      <c r="K770" s="11"/>
      <c r="L770" s="182"/>
      <c r="M770" s="182"/>
      <c r="N770" s="182"/>
      <c r="O770" s="182"/>
      <c r="P770" s="11"/>
      <c r="Q770" s="11"/>
      <c r="R770" s="11"/>
      <c r="S770" s="11"/>
      <c r="T770" s="11"/>
      <c r="U770" s="11"/>
      <c r="V770" s="11"/>
      <c r="W770" s="11"/>
      <c r="X770" s="11"/>
      <c r="Y770" s="11"/>
      <c r="Z770" s="11"/>
      <c r="AA770" s="11"/>
    </row>
    <row r="771" ht="15.75" customHeight="1">
      <c r="A771" s="182"/>
      <c r="B771" s="182"/>
      <c r="C771" s="182"/>
      <c r="D771" s="182"/>
      <c r="E771" s="182"/>
      <c r="F771" s="182"/>
      <c r="G771" s="182"/>
      <c r="H771" s="182"/>
      <c r="I771" s="182"/>
      <c r="J771" s="182"/>
      <c r="K771" s="11"/>
      <c r="L771" s="182"/>
      <c r="M771" s="182"/>
      <c r="N771" s="182"/>
      <c r="O771" s="182"/>
      <c r="P771" s="11"/>
      <c r="Q771" s="11"/>
      <c r="R771" s="11"/>
      <c r="S771" s="11"/>
      <c r="T771" s="11"/>
      <c r="U771" s="11"/>
      <c r="V771" s="11"/>
      <c r="W771" s="11"/>
      <c r="X771" s="11"/>
      <c r="Y771" s="11"/>
      <c r="Z771" s="11"/>
      <c r="AA771" s="11"/>
    </row>
    <row r="772" ht="15.75" customHeight="1">
      <c r="A772" s="182"/>
      <c r="B772" s="182"/>
      <c r="C772" s="182"/>
      <c r="D772" s="182"/>
      <c r="E772" s="182"/>
      <c r="F772" s="182"/>
      <c r="G772" s="182"/>
      <c r="H772" s="182"/>
      <c r="I772" s="182"/>
      <c r="J772" s="182"/>
      <c r="K772" s="11"/>
      <c r="L772" s="182"/>
      <c r="M772" s="182"/>
      <c r="N772" s="182"/>
      <c r="O772" s="182"/>
      <c r="P772" s="11"/>
      <c r="Q772" s="11"/>
      <c r="R772" s="11"/>
      <c r="S772" s="11"/>
      <c r="T772" s="11"/>
      <c r="U772" s="11"/>
      <c r="V772" s="11"/>
      <c r="W772" s="11"/>
      <c r="X772" s="11"/>
      <c r="Y772" s="11"/>
      <c r="Z772" s="11"/>
      <c r="AA772" s="11"/>
    </row>
    <row r="773" ht="15.75" customHeight="1">
      <c r="A773" s="182"/>
      <c r="B773" s="182"/>
      <c r="C773" s="182"/>
      <c r="D773" s="182"/>
      <c r="E773" s="182"/>
      <c r="F773" s="182"/>
      <c r="G773" s="182"/>
      <c r="H773" s="182"/>
      <c r="I773" s="182"/>
      <c r="J773" s="182"/>
      <c r="K773" s="11"/>
      <c r="L773" s="182"/>
      <c r="M773" s="182"/>
      <c r="N773" s="182"/>
      <c r="O773" s="182"/>
      <c r="P773" s="11"/>
      <c r="Q773" s="11"/>
      <c r="R773" s="11"/>
      <c r="S773" s="11"/>
      <c r="T773" s="11"/>
      <c r="U773" s="11"/>
      <c r="V773" s="11"/>
      <c r="W773" s="11"/>
      <c r="X773" s="11"/>
      <c r="Y773" s="11"/>
      <c r="Z773" s="11"/>
      <c r="AA773" s="11"/>
    </row>
    <row r="774" ht="15.75" customHeight="1">
      <c r="A774" s="182"/>
      <c r="B774" s="182"/>
      <c r="C774" s="182"/>
      <c r="D774" s="182"/>
      <c r="E774" s="182"/>
      <c r="F774" s="182"/>
      <c r="G774" s="182"/>
      <c r="H774" s="182"/>
      <c r="I774" s="182"/>
      <c r="J774" s="182"/>
      <c r="K774" s="11"/>
      <c r="L774" s="182"/>
      <c r="M774" s="182"/>
      <c r="N774" s="182"/>
      <c r="O774" s="182"/>
      <c r="P774" s="11"/>
      <c r="Q774" s="11"/>
      <c r="R774" s="11"/>
      <c r="S774" s="11"/>
      <c r="T774" s="11"/>
      <c r="U774" s="11"/>
      <c r="V774" s="11"/>
      <c r="W774" s="11"/>
      <c r="X774" s="11"/>
      <c r="Y774" s="11"/>
      <c r="Z774" s="11"/>
      <c r="AA774" s="11"/>
    </row>
    <row r="775" ht="15.75" customHeight="1">
      <c r="A775" s="182"/>
      <c r="B775" s="182"/>
      <c r="C775" s="182"/>
      <c r="D775" s="182"/>
      <c r="E775" s="182"/>
      <c r="F775" s="182"/>
      <c r="G775" s="182"/>
      <c r="H775" s="182"/>
      <c r="I775" s="182"/>
      <c r="J775" s="182"/>
      <c r="K775" s="11"/>
      <c r="L775" s="182"/>
      <c r="M775" s="182"/>
      <c r="N775" s="182"/>
      <c r="O775" s="182"/>
      <c r="P775" s="11"/>
      <c r="Q775" s="11"/>
      <c r="R775" s="11"/>
      <c r="S775" s="11"/>
      <c r="T775" s="11"/>
      <c r="U775" s="11"/>
      <c r="V775" s="11"/>
      <c r="W775" s="11"/>
      <c r="X775" s="11"/>
      <c r="Y775" s="11"/>
      <c r="Z775" s="11"/>
      <c r="AA775" s="11"/>
    </row>
    <row r="776" ht="15.75" customHeight="1">
      <c r="A776" s="182"/>
      <c r="B776" s="182"/>
      <c r="C776" s="182"/>
      <c r="D776" s="182"/>
      <c r="E776" s="182"/>
      <c r="F776" s="182"/>
      <c r="G776" s="182"/>
      <c r="H776" s="182"/>
      <c r="I776" s="182"/>
      <c r="J776" s="182"/>
      <c r="K776" s="11"/>
      <c r="L776" s="182"/>
      <c r="M776" s="182"/>
      <c r="N776" s="182"/>
      <c r="O776" s="182"/>
      <c r="P776" s="11"/>
      <c r="Q776" s="11"/>
      <c r="R776" s="11"/>
      <c r="S776" s="11"/>
      <c r="T776" s="11"/>
      <c r="U776" s="11"/>
      <c r="V776" s="11"/>
      <c r="W776" s="11"/>
      <c r="X776" s="11"/>
      <c r="Y776" s="11"/>
      <c r="Z776" s="11"/>
      <c r="AA776" s="11"/>
    </row>
    <row r="777" ht="15.75" customHeight="1">
      <c r="A777" s="182"/>
      <c r="B777" s="182"/>
      <c r="C777" s="182"/>
      <c r="D777" s="182"/>
      <c r="E777" s="182"/>
      <c r="F777" s="182"/>
      <c r="G777" s="182"/>
      <c r="H777" s="182"/>
      <c r="I777" s="182"/>
      <c r="J777" s="182"/>
      <c r="K777" s="11"/>
      <c r="L777" s="182"/>
      <c r="M777" s="182"/>
      <c r="N777" s="182"/>
      <c r="O777" s="182"/>
      <c r="P777" s="11"/>
      <c r="Q777" s="11"/>
      <c r="R777" s="11"/>
      <c r="S777" s="11"/>
      <c r="T777" s="11"/>
      <c r="U777" s="11"/>
      <c r="V777" s="11"/>
      <c r="W777" s="11"/>
      <c r="X777" s="11"/>
      <c r="Y777" s="11"/>
      <c r="Z777" s="11"/>
      <c r="AA777" s="11"/>
    </row>
    <row r="778" ht="15.75" customHeight="1">
      <c r="A778" s="182"/>
      <c r="B778" s="182"/>
      <c r="C778" s="182"/>
      <c r="D778" s="182"/>
      <c r="E778" s="182"/>
      <c r="F778" s="182"/>
      <c r="G778" s="182"/>
      <c r="H778" s="182"/>
      <c r="I778" s="182"/>
      <c r="J778" s="182"/>
      <c r="K778" s="11"/>
      <c r="L778" s="182"/>
      <c r="M778" s="182"/>
      <c r="N778" s="182"/>
      <c r="O778" s="182"/>
      <c r="P778" s="11"/>
      <c r="Q778" s="11"/>
      <c r="R778" s="11"/>
      <c r="S778" s="11"/>
      <c r="T778" s="11"/>
      <c r="U778" s="11"/>
      <c r="V778" s="11"/>
      <c r="W778" s="11"/>
      <c r="X778" s="11"/>
      <c r="Y778" s="11"/>
      <c r="Z778" s="11"/>
      <c r="AA778" s="11"/>
    </row>
    <row r="779" ht="15.75" customHeight="1">
      <c r="A779" s="182"/>
      <c r="B779" s="182"/>
      <c r="C779" s="182"/>
      <c r="D779" s="182"/>
      <c r="E779" s="182"/>
      <c r="F779" s="182"/>
      <c r="G779" s="182"/>
      <c r="H779" s="182"/>
      <c r="I779" s="182"/>
      <c r="J779" s="182"/>
      <c r="K779" s="11"/>
      <c r="L779" s="182"/>
      <c r="M779" s="182"/>
      <c r="N779" s="182"/>
      <c r="O779" s="182"/>
      <c r="P779" s="11"/>
      <c r="Q779" s="11"/>
      <c r="R779" s="11"/>
      <c r="S779" s="11"/>
      <c r="T779" s="11"/>
      <c r="U779" s="11"/>
      <c r="V779" s="11"/>
      <c r="W779" s="11"/>
      <c r="X779" s="11"/>
      <c r="Y779" s="11"/>
      <c r="Z779" s="11"/>
      <c r="AA779" s="11"/>
    </row>
    <row r="780" ht="15.75" customHeight="1">
      <c r="A780" s="182"/>
      <c r="B780" s="182"/>
      <c r="C780" s="182"/>
      <c r="D780" s="182"/>
      <c r="E780" s="182"/>
      <c r="F780" s="182"/>
      <c r="G780" s="182"/>
      <c r="H780" s="182"/>
      <c r="I780" s="182"/>
      <c r="J780" s="182"/>
      <c r="K780" s="11"/>
      <c r="L780" s="182"/>
      <c r="M780" s="182"/>
      <c r="N780" s="182"/>
      <c r="O780" s="182"/>
      <c r="P780" s="11"/>
      <c r="Q780" s="11"/>
      <c r="R780" s="11"/>
      <c r="S780" s="11"/>
      <c r="T780" s="11"/>
      <c r="U780" s="11"/>
      <c r="V780" s="11"/>
      <c r="W780" s="11"/>
      <c r="X780" s="11"/>
      <c r="Y780" s="11"/>
      <c r="Z780" s="11"/>
      <c r="AA780" s="11"/>
    </row>
    <row r="781" ht="15.75" customHeight="1">
      <c r="A781" s="182"/>
      <c r="B781" s="182"/>
      <c r="C781" s="182"/>
      <c r="D781" s="182"/>
      <c r="E781" s="182"/>
      <c r="F781" s="182"/>
      <c r="G781" s="182"/>
      <c r="H781" s="182"/>
      <c r="I781" s="182"/>
      <c r="J781" s="182"/>
      <c r="K781" s="11"/>
      <c r="L781" s="182"/>
      <c r="M781" s="182"/>
      <c r="N781" s="182"/>
      <c r="O781" s="182"/>
      <c r="P781" s="11"/>
      <c r="Q781" s="11"/>
      <c r="R781" s="11"/>
      <c r="S781" s="11"/>
      <c r="T781" s="11"/>
      <c r="U781" s="11"/>
      <c r="V781" s="11"/>
      <c r="W781" s="11"/>
      <c r="X781" s="11"/>
      <c r="Y781" s="11"/>
      <c r="Z781" s="11"/>
      <c r="AA781" s="11"/>
    </row>
    <row r="782" ht="15.75" customHeight="1">
      <c r="A782" s="182"/>
      <c r="B782" s="182"/>
      <c r="C782" s="182"/>
      <c r="D782" s="182"/>
      <c r="E782" s="182"/>
      <c r="F782" s="182"/>
      <c r="G782" s="182"/>
      <c r="H782" s="182"/>
      <c r="I782" s="182"/>
      <c r="J782" s="182"/>
      <c r="K782" s="11"/>
      <c r="L782" s="182"/>
      <c r="M782" s="182"/>
      <c r="N782" s="182"/>
      <c r="O782" s="182"/>
      <c r="P782" s="11"/>
      <c r="Q782" s="11"/>
      <c r="R782" s="11"/>
      <c r="S782" s="11"/>
      <c r="T782" s="11"/>
      <c r="U782" s="11"/>
      <c r="V782" s="11"/>
      <c r="W782" s="11"/>
      <c r="X782" s="11"/>
      <c r="Y782" s="11"/>
      <c r="Z782" s="11"/>
      <c r="AA782" s="11"/>
    </row>
    <row r="783" ht="15.75" customHeight="1">
      <c r="A783" s="182"/>
      <c r="B783" s="182"/>
      <c r="C783" s="182"/>
      <c r="D783" s="182"/>
      <c r="E783" s="182"/>
      <c r="F783" s="182"/>
      <c r="G783" s="182"/>
      <c r="H783" s="182"/>
      <c r="I783" s="182"/>
      <c r="J783" s="182"/>
      <c r="K783" s="11"/>
      <c r="L783" s="182"/>
      <c r="M783" s="182"/>
      <c r="N783" s="182"/>
      <c r="O783" s="182"/>
      <c r="P783" s="11"/>
      <c r="Q783" s="11"/>
      <c r="R783" s="11"/>
      <c r="S783" s="11"/>
      <c r="T783" s="11"/>
      <c r="U783" s="11"/>
      <c r="V783" s="11"/>
      <c r="W783" s="11"/>
      <c r="X783" s="11"/>
      <c r="Y783" s="11"/>
      <c r="Z783" s="11"/>
      <c r="AA783" s="11"/>
    </row>
    <row r="784" ht="15.75" customHeight="1">
      <c r="A784" s="182"/>
      <c r="B784" s="182"/>
      <c r="C784" s="182"/>
      <c r="D784" s="182"/>
      <c r="E784" s="182"/>
      <c r="F784" s="182"/>
      <c r="G784" s="182"/>
      <c r="H784" s="182"/>
      <c r="I784" s="182"/>
      <c r="J784" s="182"/>
      <c r="K784" s="11"/>
      <c r="L784" s="182"/>
      <c r="M784" s="182"/>
      <c r="N784" s="182"/>
      <c r="O784" s="182"/>
      <c r="P784" s="11"/>
      <c r="Q784" s="11"/>
      <c r="R784" s="11"/>
      <c r="S784" s="11"/>
      <c r="T784" s="11"/>
      <c r="U784" s="11"/>
      <c r="V784" s="11"/>
      <c r="W784" s="11"/>
      <c r="X784" s="11"/>
      <c r="Y784" s="11"/>
      <c r="Z784" s="11"/>
      <c r="AA784" s="11"/>
    </row>
    <row r="785" ht="15.75" customHeight="1">
      <c r="A785" s="182"/>
      <c r="B785" s="182"/>
      <c r="C785" s="182"/>
      <c r="D785" s="182"/>
      <c r="E785" s="182"/>
      <c r="F785" s="182"/>
      <c r="G785" s="182"/>
      <c r="H785" s="182"/>
      <c r="I785" s="182"/>
      <c r="J785" s="182"/>
      <c r="K785" s="11"/>
      <c r="L785" s="182"/>
      <c r="M785" s="182"/>
      <c r="N785" s="182"/>
      <c r="O785" s="182"/>
      <c r="P785" s="11"/>
      <c r="Q785" s="11"/>
      <c r="R785" s="11"/>
      <c r="S785" s="11"/>
      <c r="T785" s="11"/>
      <c r="U785" s="11"/>
      <c r="V785" s="11"/>
      <c r="W785" s="11"/>
      <c r="X785" s="11"/>
      <c r="Y785" s="11"/>
      <c r="Z785" s="11"/>
      <c r="AA785" s="11"/>
    </row>
    <row r="786" ht="15.75" customHeight="1">
      <c r="A786" s="182"/>
      <c r="B786" s="182"/>
      <c r="C786" s="182"/>
      <c r="D786" s="182"/>
      <c r="E786" s="182"/>
      <c r="F786" s="182"/>
      <c r="G786" s="182"/>
      <c r="H786" s="182"/>
      <c r="I786" s="182"/>
      <c r="J786" s="182"/>
      <c r="K786" s="11"/>
      <c r="L786" s="182"/>
      <c r="M786" s="182"/>
      <c r="N786" s="182"/>
      <c r="O786" s="182"/>
      <c r="P786" s="11"/>
      <c r="Q786" s="11"/>
      <c r="R786" s="11"/>
      <c r="S786" s="11"/>
      <c r="T786" s="11"/>
      <c r="U786" s="11"/>
      <c r="V786" s="11"/>
      <c r="W786" s="11"/>
      <c r="X786" s="11"/>
      <c r="Y786" s="11"/>
      <c r="Z786" s="11"/>
      <c r="AA786" s="11"/>
    </row>
    <row r="787" ht="15.75" customHeight="1">
      <c r="A787" s="182"/>
      <c r="B787" s="182"/>
      <c r="C787" s="182"/>
      <c r="D787" s="182"/>
      <c r="E787" s="182"/>
      <c r="F787" s="182"/>
      <c r="G787" s="182"/>
      <c r="H787" s="182"/>
      <c r="I787" s="182"/>
      <c r="J787" s="182"/>
      <c r="K787" s="11"/>
      <c r="L787" s="182"/>
      <c r="M787" s="182"/>
      <c r="N787" s="182"/>
      <c r="O787" s="182"/>
      <c r="P787" s="11"/>
      <c r="Q787" s="11"/>
      <c r="R787" s="11"/>
      <c r="S787" s="11"/>
      <c r="T787" s="11"/>
      <c r="U787" s="11"/>
      <c r="V787" s="11"/>
      <c r="W787" s="11"/>
      <c r="X787" s="11"/>
      <c r="Y787" s="11"/>
      <c r="Z787" s="11"/>
      <c r="AA787" s="11"/>
    </row>
    <row r="788" ht="15.75" customHeight="1">
      <c r="A788" s="182"/>
      <c r="B788" s="182"/>
      <c r="C788" s="182"/>
      <c r="D788" s="182"/>
      <c r="E788" s="182"/>
      <c r="F788" s="182"/>
      <c r="G788" s="182"/>
      <c r="H788" s="182"/>
      <c r="I788" s="182"/>
      <c r="J788" s="182"/>
      <c r="K788" s="11"/>
      <c r="L788" s="182"/>
      <c r="M788" s="182"/>
      <c r="N788" s="182"/>
      <c r="O788" s="182"/>
      <c r="P788" s="11"/>
      <c r="Q788" s="11"/>
      <c r="R788" s="11"/>
      <c r="S788" s="11"/>
      <c r="T788" s="11"/>
      <c r="U788" s="11"/>
      <c r="V788" s="11"/>
      <c r="W788" s="11"/>
      <c r="X788" s="11"/>
      <c r="Y788" s="11"/>
      <c r="Z788" s="11"/>
      <c r="AA788" s="11"/>
    </row>
    <row r="789" ht="15.75" customHeight="1">
      <c r="A789" s="182"/>
      <c r="B789" s="182"/>
      <c r="C789" s="182"/>
      <c r="D789" s="182"/>
      <c r="E789" s="182"/>
      <c r="F789" s="182"/>
      <c r="G789" s="182"/>
      <c r="H789" s="182"/>
      <c r="I789" s="182"/>
      <c r="J789" s="182"/>
      <c r="K789" s="11"/>
      <c r="L789" s="182"/>
      <c r="M789" s="182"/>
      <c r="N789" s="182"/>
      <c r="O789" s="182"/>
      <c r="P789" s="11"/>
      <c r="Q789" s="11"/>
      <c r="R789" s="11"/>
      <c r="S789" s="11"/>
      <c r="T789" s="11"/>
      <c r="U789" s="11"/>
      <c r="V789" s="11"/>
      <c r="W789" s="11"/>
      <c r="X789" s="11"/>
      <c r="Y789" s="11"/>
      <c r="Z789" s="11"/>
      <c r="AA789" s="11"/>
    </row>
    <row r="790" ht="15.75" customHeight="1">
      <c r="A790" s="182"/>
      <c r="B790" s="182"/>
      <c r="C790" s="182"/>
      <c r="D790" s="182"/>
      <c r="E790" s="182"/>
      <c r="F790" s="182"/>
      <c r="G790" s="182"/>
      <c r="H790" s="182"/>
      <c r="I790" s="182"/>
      <c r="J790" s="182"/>
      <c r="K790" s="11"/>
      <c r="L790" s="182"/>
      <c r="M790" s="182"/>
      <c r="N790" s="182"/>
      <c r="O790" s="182"/>
      <c r="P790" s="11"/>
      <c r="Q790" s="11"/>
      <c r="R790" s="11"/>
      <c r="S790" s="11"/>
      <c r="T790" s="11"/>
      <c r="U790" s="11"/>
      <c r="V790" s="11"/>
      <c r="W790" s="11"/>
      <c r="X790" s="11"/>
      <c r="Y790" s="11"/>
      <c r="Z790" s="11"/>
      <c r="AA790" s="11"/>
    </row>
    <row r="791" ht="15.75" customHeight="1">
      <c r="A791" s="182"/>
      <c r="B791" s="182"/>
      <c r="C791" s="182"/>
      <c r="D791" s="182"/>
      <c r="E791" s="182"/>
      <c r="F791" s="182"/>
      <c r="G791" s="182"/>
      <c r="H791" s="182"/>
      <c r="I791" s="182"/>
      <c r="J791" s="182"/>
      <c r="K791" s="11"/>
      <c r="L791" s="182"/>
      <c r="M791" s="182"/>
      <c r="N791" s="182"/>
      <c r="O791" s="182"/>
      <c r="P791" s="11"/>
      <c r="Q791" s="11"/>
      <c r="R791" s="11"/>
      <c r="S791" s="11"/>
      <c r="T791" s="11"/>
      <c r="U791" s="11"/>
      <c r="V791" s="11"/>
      <c r="W791" s="11"/>
      <c r="X791" s="11"/>
      <c r="Y791" s="11"/>
      <c r="Z791" s="11"/>
      <c r="AA791" s="11"/>
    </row>
    <row r="792" ht="15.75" customHeight="1">
      <c r="A792" s="182"/>
      <c r="B792" s="182"/>
      <c r="C792" s="182"/>
      <c r="D792" s="182"/>
      <c r="E792" s="182"/>
      <c r="F792" s="182"/>
      <c r="G792" s="182"/>
      <c r="H792" s="182"/>
      <c r="I792" s="182"/>
      <c r="J792" s="182"/>
      <c r="K792" s="11"/>
      <c r="L792" s="182"/>
      <c r="M792" s="182"/>
      <c r="N792" s="182"/>
      <c r="O792" s="182"/>
      <c r="P792" s="11"/>
      <c r="Q792" s="11"/>
      <c r="R792" s="11"/>
      <c r="S792" s="11"/>
      <c r="T792" s="11"/>
      <c r="U792" s="11"/>
      <c r="V792" s="11"/>
      <c r="W792" s="11"/>
      <c r="X792" s="11"/>
      <c r="Y792" s="11"/>
      <c r="Z792" s="11"/>
      <c r="AA792" s="11"/>
    </row>
    <row r="793" ht="15.75" customHeight="1">
      <c r="A793" s="182"/>
      <c r="B793" s="182"/>
      <c r="C793" s="182"/>
      <c r="D793" s="182"/>
      <c r="E793" s="182"/>
      <c r="F793" s="182"/>
      <c r="G793" s="182"/>
      <c r="H793" s="182"/>
      <c r="I793" s="182"/>
      <c r="J793" s="182"/>
      <c r="K793" s="11"/>
      <c r="L793" s="182"/>
      <c r="M793" s="182"/>
      <c r="N793" s="182"/>
      <c r="O793" s="182"/>
      <c r="P793" s="11"/>
      <c r="Q793" s="11"/>
      <c r="R793" s="11"/>
      <c r="S793" s="11"/>
      <c r="T793" s="11"/>
      <c r="U793" s="11"/>
      <c r="V793" s="11"/>
      <c r="W793" s="11"/>
      <c r="X793" s="11"/>
      <c r="Y793" s="11"/>
      <c r="Z793" s="11"/>
      <c r="AA793" s="11"/>
    </row>
    <row r="794" ht="15.75" customHeight="1">
      <c r="A794" s="182"/>
      <c r="B794" s="182"/>
      <c r="C794" s="182"/>
      <c r="D794" s="182"/>
      <c r="E794" s="182"/>
      <c r="F794" s="182"/>
      <c r="G794" s="182"/>
      <c r="H794" s="182"/>
      <c r="I794" s="182"/>
      <c r="J794" s="182"/>
      <c r="K794" s="11"/>
      <c r="L794" s="182"/>
      <c r="M794" s="182"/>
      <c r="N794" s="182"/>
      <c r="O794" s="182"/>
      <c r="P794" s="11"/>
      <c r="Q794" s="11"/>
      <c r="R794" s="11"/>
      <c r="S794" s="11"/>
      <c r="T794" s="11"/>
      <c r="U794" s="11"/>
      <c r="V794" s="11"/>
      <c r="W794" s="11"/>
      <c r="X794" s="11"/>
      <c r="Y794" s="11"/>
      <c r="Z794" s="11"/>
      <c r="AA794" s="11"/>
    </row>
    <row r="795" ht="15.75" customHeight="1">
      <c r="A795" s="182"/>
      <c r="B795" s="182"/>
      <c r="C795" s="182"/>
      <c r="D795" s="182"/>
      <c r="E795" s="182"/>
      <c r="F795" s="182"/>
      <c r="G795" s="182"/>
      <c r="H795" s="182"/>
      <c r="I795" s="182"/>
      <c r="J795" s="182"/>
      <c r="K795" s="11"/>
      <c r="L795" s="182"/>
      <c r="M795" s="182"/>
      <c r="N795" s="182"/>
      <c r="O795" s="182"/>
      <c r="P795" s="11"/>
      <c r="Q795" s="11"/>
      <c r="R795" s="11"/>
      <c r="S795" s="11"/>
      <c r="T795" s="11"/>
      <c r="U795" s="11"/>
      <c r="V795" s="11"/>
      <c r="W795" s="11"/>
      <c r="X795" s="11"/>
      <c r="Y795" s="11"/>
      <c r="Z795" s="11"/>
      <c r="AA795" s="11"/>
    </row>
    <row r="796" ht="15.75" customHeight="1">
      <c r="A796" s="182"/>
      <c r="B796" s="182"/>
      <c r="C796" s="182"/>
      <c r="D796" s="182"/>
      <c r="E796" s="182"/>
      <c r="F796" s="182"/>
      <c r="G796" s="182"/>
      <c r="H796" s="182"/>
      <c r="I796" s="182"/>
      <c r="J796" s="182"/>
      <c r="K796" s="11"/>
      <c r="L796" s="182"/>
      <c r="M796" s="182"/>
      <c r="N796" s="182"/>
      <c r="O796" s="182"/>
      <c r="P796" s="11"/>
      <c r="Q796" s="11"/>
      <c r="R796" s="11"/>
      <c r="S796" s="11"/>
      <c r="T796" s="11"/>
      <c r="U796" s="11"/>
      <c r="V796" s="11"/>
      <c r="W796" s="11"/>
      <c r="X796" s="11"/>
      <c r="Y796" s="11"/>
      <c r="Z796" s="11"/>
      <c r="AA796" s="11"/>
    </row>
    <row r="797" ht="15.75" customHeight="1">
      <c r="A797" s="182"/>
      <c r="B797" s="182"/>
      <c r="C797" s="182"/>
      <c r="D797" s="182"/>
      <c r="E797" s="182"/>
      <c r="F797" s="182"/>
      <c r="G797" s="182"/>
      <c r="H797" s="182"/>
      <c r="I797" s="182"/>
      <c r="J797" s="182"/>
      <c r="K797" s="11"/>
      <c r="L797" s="182"/>
      <c r="M797" s="182"/>
      <c r="N797" s="182"/>
      <c r="O797" s="182"/>
      <c r="P797" s="11"/>
      <c r="Q797" s="11"/>
      <c r="R797" s="11"/>
      <c r="S797" s="11"/>
      <c r="T797" s="11"/>
      <c r="U797" s="11"/>
      <c r="V797" s="11"/>
      <c r="W797" s="11"/>
      <c r="X797" s="11"/>
      <c r="Y797" s="11"/>
      <c r="Z797" s="11"/>
      <c r="AA797" s="11"/>
    </row>
    <row r="798" ht="15.75" customHeight="1">
      <c r="A798" s="182"/>
      <c r="B798" s="182"/>
      <c r="C798" s="182"/>
      <c r="D798" s="182"/>
      <c r="E798" s="182"/>
      <c r="F798" s="182"/>
      <c r="G798" s="182"/>
      <c r="H798" s="182"/>
      <c r="I798" s="182"/>
      <c r="J798" s="182"/>
      <c r="K798" s="11"/>
      <c r="L798" s="182"/>
      <c r="M798" s="182"/>
      <c r="N798" s="182"/>
      <c r="O798" s="182"/>
      <c r="P798" s="11"/>
      <c r="Q798" s="11"/>
      <c r="R798" s="11"/>
      <c r="S798" s="11"/>
      <c r="T798" s="11"/>
      <c r="U798" s="11"/>
      <c r="V798" s="11"/>
      <c r="W798" s="11"/>
      <c r="X798" s="11"/>
      <c r="Y798" s="11"/>
      <c r="Z798" s="11"/>
      <c r="AA798" s="11"/>
    </row>
    <row r="799" ht="15.75" customHeight="1">
      <c r="A799" s="182"/>
      <c r="B799" s="182"/>
      <c r="C799" s="182"/>
      <c r="D799" s="182"/>
      <c r="E799" s="182"/>
      <c r="F799" s="182"/>
      <c r="G799" s="182"/>
      <c r="H799" s="182"/>
      <c r="I799" s="182"/>
      <c r="J799" s="182"/>
      <c r="K799" s="11"/>
      <c r="L799" s="182"/>
      <c r="M799" s="182"/>
      <c r="N799" s="182"/>
      <c r="O799" s="182"/>
      <c r="P799" s="11"/>
      <c r="Q799" s="11"/>
      <c r="R799" s="11"/>
      <c r="S799" s="11"/>
      <c r="T799" s="11"/>
      <c r="U799" s="11"/>
      <c r="V799" s="11"/>
      <c r="W799" s="11"/>
      <c r="X799" s="11"/>
      <c r="Y799" s="11"/>
      <c r="Z799" s="11"/>
      <c r="AA799" s="11"/>
    </row>
    <row r="800" ht="15.75" customHeight="1">
      <c r="A800" s="182"/>
      <c r="B800" s="182"/>
      <c r="C800" s="182"/>
      <c r="D800" s="182"/>
      <c r="E800" s="182"/>
      <c r="F800" s="182"/>
      <c r="G800" s="182"/>
      <c r="H800" s="182"/>
      <c r="I800" s="182"/>
      <c r="J800" s="182"/>
      <c r="K800" s="11"/>
      <c r="L800" s="182"/>
      <c r="M800" s="182"/>
      <c r="N800" s="182"/>
      <c r="O800" s="182"/>
      <c r="P800" s="11"/>
      <c r="Q800" s="11"/>
      <c r="R800" s="11"/>
      <c r="S800" s="11"/>
      <c r="T800" s="11"/>
      <c r="U800" s="11"/>
      <c r="V800" s="11"/>
      <c r="W800" s="11"/>
      <c r="X800" s="11"/>
      <c r="Y800" s="11"/>
      <c r="Z800" s="11"/>
      <c r="AA800" s="11"/>
    </row>
    <row r="801" ht="15.75" customHeight="1">
      <c r="A801" s="182"/>
      <c r="B801" s="182"/>
      <c r="C801" s="182"/>
      <c r="D801" s="182"/>
      <c r="E801" s="182"/>
      <c r="F801" s="182"/>
      <c r="G801" s="182"/>
      <c r="H801" s="182"/>
      <c r="I801" s="182"/>
      <c r="J801" s="182"/>
      <c r="K801" s="11"/>
      <c r="L801" s="182"/>
      <c r="M801" s="182"/>
      <c r="N801" s="182"/>
      <c r="O801" s="182"/>
      <c r="P801" s="11"/>
      <c r="Q801" s="11"/>
      <c r="R801" s="11"/>
      <c r="S801" s="11"/>
      <c r="T801" s="11"/>
      <c r="U801" s="11"/>
      <c r="V801" s="11"/>
      <c r="W801" s="11"/>
      <c r="X801" s="11"/>
      <c r="Y801" s="11"/>
      <c r="Z801" s="11"/>
      <c r="AA801" s="11"/>
    </row>
    <row r="802" ht="15.75" customHeight="1">
      <c r="A802" s="182"/>
      <c r="B802" s="182"/>
      <c r="C802" s="182"/>
      <c r="D802" s="182"/>
      <c r="E802" s="182"/>
      <c r="F802" s="182"/>
      <c r="G802" s="182"/>
      <c r="H802" s="182"/>
      <c r="I802" s="182"/>
      <c r="J802" s="182"/>
      <c r="K802" s="11"/>
      <c r="L802" s="182"/>
      <c r="M802" s="182"/>
      <c r="N802" s="182"/>
      <c r="O802" s="182"/>
      <c r="P802" s="11"/>
      <c r="Q802" s="11"/>
      <c r="R802" s="11"/>
      <c r="S802" s="11"/>
      <c r="T802" s="11"/>
      <c r="U802" s="11"/>
      <c r="V802" s="11"/>
      <c r="W802" s="11"/>
      <c r="X802" s="11"/>
      <c r="Y802" s="11"/>
      <c r="Z802" s="11"/>
      <c r="AA802" s="11"/>
    </row>
    <row r="803" ht="15.75" customHeight="1">
      <c r="A803" s="182"/>
      <c r="B803" s="182"/>
      <c r="C803" s="182"/>
      <c r="D803" s="182"/>
      <c r="E803" s="182"/>
      <c r="F803" s="182"/>
      <c r="G803" s="182"/>
      <c r="H803" s="182"/>
      <c r="I803" s="182"/>
      <c r="J803" s="182"/>
      <c r="K803" s="11"/>
      <c r="L803" s="182"/>
      <c r="M803" s="182"/>
      <c r="N803" s="182"/>
      <c r="O803" s="182"/>
      <c r="P803" s="11"/>
      <c r="Q803" s="11"/>
      <c r="R803" s="11"/>
      <c r="S803" s="11"/>
      <c r="T803" s="11"/>
      <c r="U803" s="11"/>
      <c r="V803" s="11"/>
      <c r="W803" s="11"/>
      <c r="X803" s="11"/>
      <c r="Y803" s="11"/>
      <c r="Z803" s="11"/>
      <c r="AA803" s="11"/>
    </row>
    <row r="804" ht="15.75" customHeight="1">
      <c r="A804" s="182"/>
      <c r="B804" s="182"/>
      <c r="C804" s="182"/>
      <c r="D804" s="182"/>
      <c r="E804" s="182"/>
      <c r="F804" s="182"/>
      <c r="G804" s="182"/>
      <c r="H804" s="182"/>
      <c r="I804" s="182"/>
      <c r="J804" s="182"/>
      <c r="K804" s="11"/>
      <c r="L804" s="182"/>
      <c r="M804" s="182"/>
      <c r="N804" s="182"/>
      <c r="O804" s="182"/>
      <c r="P804" s="11"/>
      <c r="Q804" s="11"/>
      <c r="R804" s="11"/>
      <c r="S804" s="11"/>
      <c r="T804" s="11"/>
      <c r="U804" s="11"/>
      <c r="V804" s="11"/>
      <c r="W804" s="11"/>
      <c r="X804" s="11"/>
      <c r="Y804" s="11"/>
      <c r="Z804" s="11"/>
      <c r="AA804" s="11"/>
    </row>
    <row r="805" ht="15.75" customHeight="1">
      <c r="A805" s="182"/>
      <c r="B805" s="182"/>
      <c r="C805" s="182"/>
      <c r="D805" s="182"/>
      <c r="E805" s="182"/>
      <c r="F805" s="182"/>
      <c r="G805" s="182"/>
      <c r="H805" s="182"/>
      <c r="I805" s="182"/>
      <c r="J805" s="182"/>
      <c r="K805" s="11"/>
      <c r="L805" s="182"/>
      <c r="M805" s="182"/>
      <c r="N805" s="182"/>
      <c r="O805" s="182"/>
      <c r="P805" s="11"/>
      <c r="Q805" s="11"/>
      <c r="R805" s="11"/>
      <c r="S805" s="11"/>
      <c r="T805" s="11"/>
      <c r="U805" s="11"/>
      <c r="V805" s="11"/>
      <c r="W805" s="11"/>
      <c r="X805" s="11"/>
      <c r="Y805" s="11"/>
      <c r="Z805" s="11"/>
      <c r="AA805" s="11"/>
    </row>
    <row r="806" ht="15.75" customHeight="1">
      <c r="A806" s="182"/>
      <c r="B806" s="182"/>
      <c r="C806" s="182"/>
      <c r="D806" s="182"/>
      <c r="E806" s="182"/>
      <c r="F806" s="182"/>
      <c r="G806" s="182"/>
      <c r="H806" s="182"/>
      <c r="I806" s="182"/>
      <c r="J806" s="182"/>
      <c r="K806" s="11"/>
      <c r="L806" s="182"/>
      <c r="M806" s="182"/>
      <c r="N806" s="182"/>
      <c r="O806" s="182"/>
      <c r="P806" s="11"/>
      <c r="Q806" s="11"/>
      <c r="R806" s="11"/>
      <c r="S806" s="11"/>
      <c r="T806" s="11"/>
      <c r="U806" s="11"/>
      <c r="V806" s="11"/>
      <c r="W806" s="11"/>
      <c r="X806" s="11"/>
      <c r="Y806" s="11"/>
      <c r="Z806" s="11"/>
      <c r="AA806" s="11"/>
    </row>
    <row r="807" ht="15.75" customHeight="1">
      <c r="A807" s="182"/>
      <c r="B807" s="182"/>
      <c r="C807" s="182"/>
      <c r="D807" s="182"/>
      <c r="E807" s="182"/>
      <c r="F807" s="182"/>
      <c r="G807" s="182"/>
      <c r="H807" s="182"/>
      <c r="I807" s="182"/>
      <c r="J807" s="182"/>
      <c r="K807" s="11"/>
      <c r="L807" s="182"/>
      <c r="M807" s="182"/>
      <c r="N807" s="182"/>
      <c r="O807" s="182"/>
      <c r="P807" s="11"/>
      <c r="Q807" s="11"/>
      <c r="R807" s="11"/>
      <c r="S807" s="11"/>
      <c r="T807" s="11"/>
      <c r="U807" s="11"/>
      <c r="V807" s="11"/>
      <c r="W807" s="11"/>
      <c r="X807" s="11"/>
      <c r="Y807" s="11"/>
      <c r="Z807" s="11"/>
      <c r="AA807" s="11"/>
    </row>
    <row r="808" ht="15.75" customHeight="1">
      <c r="A808" s="182"/>
      <c r="B808" s="182"/>
      <c r="C808" s="182"/>
      <c r="D808" s="182"/>
      <c r="E808" s="182"/>
      <c r="F808" s="182"/>
      <c r="G808" s="182"/>
      <c r="H808" s="182"/>
      <c r="I808" s="182"/>
      <c r="J808" s="182"/>
      <c r="K808" s="11"/>
      <c r="L808" s="182"/>
      <c r="M808" s="182"/>
      <c r="N808" s="182"/>
      <c r="O808" s="182"/>
      <c r="P808" s="11"/>
      <c r="Q808" s="11"/>
      <c r="R808" s="11"/>
      <c r="S808" s="11"/>
      <c r="T808" s="11"/>
      <c r="U808" s="11"/>
      <c r="V808" s="11"/>
      <c r="W808" s="11"/>
      <c r="X808" s="11"/>
      <c r="Y808" s="11"/>
      <c r="Z808" s="11"/>
      <c r="AA808" s="11"/>
    </row>
    <row r="809" ht="15.75" customHeight="1">
      <c r="A809" s="182"/>
      <c r="B809" s="182"/>
      <c r="C809" s="182"/>
      <c r="D809" s="182"/>
      <c r="E809" s="182"/>
      <c r="F809" s="182"/>
      <c r="G809" s="182"/>
      <c r="H809" s="182"/>
      <c r="I809" s="182"/>
      <c r="J809" s="182"/>
      <c r="K809" s="11"/>
      <c r="L809" s="182"/>
      <c r="M809" s="182"/>
      <c r="N809" s="182"/>
      <c r="O809" s="182"/>
      <c r="P809" s="11"/>
      <c r="Q809" s="11"/>
      <c r="R809" s="11"/>
      <c r="S809" s="11"/>
      <c r="T809" s="11"/>
      <c r="U809" s="11"/>
      <c r="V809" s="11"/>
      <c r="W809" s="11"/>
      <c r="X809" s="11"/>
      <c r="Y809" s="11"/>
      <c r="Z809" s="11"/>
      <c r="AA809" s="11"/>
    </row>
    <row r="810" ht="15.75" customHeight="1">
      <c r="A810" s="182"/>
      <c r="B810" s="182"/>
      <c r="C810" s="182"/>
      <c r="D810" s="182"/>
      <c r="E810" s="182"/>
      <c r="F810" s="182"/>
      <c r="G810" s="182"/>
      <c r="H810" s="182"/>
      <c r="I810" s="182"/>
      <c r="J810" s="182"/>
      <c r="K810" s="11"/>
      <c r="L810" s="182"/>
      <c r="M810" s="182"/>
      <c r="N810" s="182"/>
      <c r="O810" s="182"/>
      <c r="P810" s="11"/>
      <c r="Q810" s="11"/>
      <c r="R810" s="11"/>
      <c r="S810" s="11"/>
      <c r="T810" s="11"/>
      <c r="U810" s="11"/>
      <c r="V810" s="11"/>
      <c r="W810" s="11"/>
      <c r="X810" s="11"/>
      <c r="Y810" s="11"/>
      <c r="Z810" s="11"/>
      <c r="AA810" s="11"/>
    </row>
    <row r="811" ht="15.75" customHeight="1">
      <c r="A811" s="182"/>
      <c r="B811" s="182"/>
      <c r="C811" s="182"/>
      <c r="D811" s="182"/>
      <c r="E811" s="182"/>
      <c r="F811" s="182"/>
      <c r="G811" s="182"/>
      <c r="H811" s="182"/>
      <c r="I811" s="182"/>
      <c r="J811" s="182"/>
      <c r="K811" s="11"/>
      <c r="L811" s="182"/>
      <c r="M811" s="182"/>
      <c r="N811" s="182"/>
      <c r="O811" s="182"/>
      <c r="P811" s="11"/>
      <c r="Q811" s="11"/>
      <c r="R811" s="11"/>
      <c r="S811" s="11"/>
      <c r="T811" s="11"/>
      <c r="U811" s="11"/>
      <c r="V811" s="11"/>
      <c r="W811" s="11"/>
      <c r="X811" s="11"/>
      <c r="Y811" s="11"/>
      <c r="Z811" s="11"/>
      <c r="AA811" s="11"/>
    </row>
    <row r="812" ht="15.75" customHeight="1">
      <c r="A812" s="182"/>
      <c r="B812" s="182"/>
      <c r="C812" s="182"/>
      <c r="D812" s="182"/>
      <c r="E812" s="182"/>
      <c r="F812" s="182"/>
      <c r="G812" s="182"/>
      <c r="H812" s="182"/>
      <c r="I812" s="182"/>
      <c r="J812" s="182"/>
      <c r="K812" s="11"/>
      <c r="L812" s="182"/>
      <c r="M812" s="182"/>
      <c r="N812" s="182"/>
      <c r="O812" s="182"/>
      <c r="P812" s="11"/>
      <c r="Q812" s="11"/>
      <c r="R812" s="11"/>
      <c r="S812" s="11"/>
      <c r="T812" s="11"/>
      <c r="U812" s="11"/>
      <c r="V812" s="11"/>
      <c r="W812" s="11"/>
      <c r="X812" s="11"/>
      <c r="Y812" s="11"/>
      <c r="Z812" s="11"/>
      <c r="AA812" s="11"/>
    </row>
    <row r="813" ht="15.75" customHeight="1">
      <c r="A813" s="182"/>
      <c r="B813" s="182"/>
      <c r="C813" s="182"/>
      <c r="D813" s="182"/>
      <c r="E813" s="182"/>
      <c r="F813" s="182"/>
      <c r="G813" s="182"/>
      <c r="H813" s="182"/>
      <c r="I813" s="182"/>
      <c r="J813" s="182"/>
      <c r="K813" s="11"/>
      <c r="L813" s="182"/>
      <c r="M813" s="182"/>
      <c r="N813" s="182"/>
      <c r="O813" s="182"/>
      <c r="P813" s="11"/>
      <c r="Q813" s="11"/>
      <c r="R813" s="11"/>
      <c r="S813" s="11"/>
      <c r="T813" s="11"/>
      <c r="U813" s="11"/>
      <c r="V813" s="11"/>
      <c r="W813" s="11"/>
      <c r="X813" s="11"/>
      <c r="Y813" s="11"/>
      <c r="Z813" s="11"/>
      <c r="AA813" s="11"/>
    </row>
    <row r="814" ht="15.75" customHeight="1">
      <c r="A814" s="182"/>
      <c r="B814" s="182"/>
      <c r="C814" s="182"/>
      <c r="D814" s="182"/>
      <c r="E814" s="182"/>
      <c r="F814" s="182"/>
      <c r="G814" s="182"/>
      <c r="H814" s="182"/>
      <c r="I814" s="182"/>
      <c r="J814" s="182"/>
      <c r="K814" s="11"/>
      <c r="L814" s="182"/>
      <c r="M814" s="182"/>
      <c r="N814" s="182"/>
      <c r="O814" s="182"/>
      <c r="P814" s="11"/>
      <c r="Q814" s="11"/>
      <c r="R814" s="11"/>
      <c r="S814" s="11"/>
      <c r="T814" s="11"/>
      <c r="U814" s="11"/>
      <c r="V814" s="11"/>
      <c r="W814" s="11"/>
      <c r="X814" s="11"/>
      <c r="Y814" s="11"/>
      <c r="Z814" s="11"/>
      <c r="AA814" s="11"/>
    </row>
    <row r="815" ht="15.75" customHeight="1">
      <c r="A815" s="182"/>
      <c r="B815" s="182"/>
      <c r="C815" s="182"/>
      <c r="D815" s="182"/>
      <c r="E815" s="182"/>
      <c r="F815" s="182"/>
      <c r="G815" s="182"/>
      <c r="H815" s="182"/>
      <c r="I815" s="182"/>
      <c r="J815" s="182"/>
      <c r="K815" s="11"/>
      <c r="L815" s="182"/>
      <c r="M815" s="182"/>
      <c r="N815" s="182"/>
      <c r="O815" s="182"/>
      <c r="P815" s="11"/>
      <c r="Q815" s="11"/>
      <c r="R815" s="11"/>
      <c r="S815" s="11"/>
      <c r="T815" s="11"/>
      <c r="U815" s="11"/>
      <c r="V815" s="11"/>
      <c r="W815" s="11"/>
      <c r="X815" s="11"/>
      <c r="Y815" s="11"/>
      <c r="Z815" s="11"/>
      <c r="AA815" s="11"/>
    </row>
    <row r="816" ht="15.75" customHeight="1">
      <c r="A816" s="182"/>
      <c r="B816" s="182"/>
      <c r="C816" s="182"/>
      <c r="D816" s="182"/>
      <c r="E816" s="182"/>
      <c r="F816" s="182"/>
      <c r="G816" s="182"/>
      <c r="H816" s="182"/>
      <c r="I816" s="182"/>
      <c r="J816" s="182"/>
      <c r="K816" s="11"/>
      <c r="L816" s="182"/>
      <c r="M816" s="182"/>
      <c r="N816" s="182"/>
      <c r="O816" s="182"/>
      <c r="P816" s="11"/>
      <c r="Q816" s="11"/>
      <c r="R816" s="11"/>
      <c r="S816" s="11"/>
      <c r="T816" s="11"/>
      <c r="U816" s="11"/>
      <c r="V816" s="11"/>
      <c r="W816" s="11"/>
      <c r="X816" s="11"/>
      <c r="Y816" s="11"/>
      <c r="Z816" s="11"/>
      <c r="AA816" s="11"/>
    </row>
    <row r="817" ht="15.75" customHeight="1">
      <c r="A817" s="182"/>
      <c r="B817" s="182"/>
      <c r="C817" s="182"/>
      <c r="D817" s="182"/>
      <c r="E817" s="182"/>
      <c r="F817" s="182"/>
      <c r="G817" s="182"/>
      <c r="H817" s="182"/>
      <c r="I817" s="182"/>
      <c r="J817" s="182"/>
      <c r="K817" s="11"/>
      <c r="L817" s="182"/>
      <c r="M817" s="182"/>
      <c r="N817" s="182"/>
      <c r="O817" s="182"/>
      <c r="P817" s="11"/>
      <c r="Q817" s="11"/>
      <c r="R817" s="11"/>
      <c r="S817" s="11"/>
      <c r="T817" s="11"/>
      <c r="U817" s="11"/>
      <c r="V817" s="11"/>
      <c r="W817" s="11"/>
      <c r="X817" s="11"/>
      <c r="Y817" s="11"/>
      <c r="Z817" s="11"/>
      <c r="AA817" s="11"/>
    </row>
    <row r="818" ht="15.75" customHeight="1">
      <c r="A818" s="182"/>
      <c r="B818" s="182"/>
      <c r="C818" s="182"/>
      <c r="D818" s="182"/>
      <c r="E818" s="182"/>
      <c r="F818" s="182"/>
      <c r="G818" s="182"/>
      <c r="H818" s="182"/>
      <c r="I818" s="182"/>
      <c r="J818" s="182"/>
      <c r="K818" s="11"/>
      <c r="L818" s="182"/>
      <c r="M818" s="182"/>
      <c r="N818" s="182"/>
      <c r="O818" s="182"/>
      <c r="P818" s="11"/>
      <c r="Q818" s="11"/>
      <c r="R818" s="11"/>
      <c r="S818" s="11"/>
      <c r="T818" s="11"/>
      <c r="U818" s="11"/>
      <c r="V818" s="11"/>
      <c r="W818" s="11"/>
      <c r="X818" s="11"/>
      <c r="Y818" s="11"/>
      <c r="Z818" s="11"/>
      <c r="AA818" s="11"/>
    </row>
    <row r="819" ht="15.75" customHeight="1">
      <c r="A819" s="182"/>
      <c r="B819" s="182"/>
      <c r="C819" s="182"/>
      <c r="D819" s="182"/>
      <c r="E819" s="182"/>
      <c r="F819" s="182"/>
      <c r="G819" s="182"/>
      <c r="H819" s="182"/>
      <c r="I819" s="182"/>
      <c r="J819" s="182"/>
      <c r="K819" s="11"/>
      <c r="L819" s="182"/>
      <c r="M819" s="182"/>
      <c r="N819" s="182"/>
      <c r="O819" s="182"/>
      <c r="P819" s="11"/>
      <c r="Q819" s="11"/>
      <c r="R819" s="11"/>
      <c r="S819" s="11"/>
      <c r="T819" s="11"/>
      <c r="U819" s="11"/>
      <c r="V819" s="11"/>
      <c r="W819" s="11"/>
      <c r="X819" s="11"/>
      <c r="Y819" s="11"/>
      <c r="Z819" s="11"/>
      <c r="AA819" s="11"/>
    </row>
    <row r="820" ht="15.75" customHeight="1">
      <c r="A820" s="182"/>
      <c r="B820" s="182"/>
      <c r="C820" s="182"/>
      <c r="D820" s="182"/>
      <c r="E820" s="182"/>
      <c r="F820" s="182"/>
      <c r="G820" s="182"/>
      <c r="H820" s="182"/>
      <c r="I820" s="182"/>
      <c r="J820" s="182"/>
      <c r="K820" s="11"/>
      <c r="L820" s="182"/>
      <c r="M820" s="182"/>
      <c r="N820" s="182"/>
      <c r="O820" s="182"/>
      <c r="P820" s="11"/>
      <c r="Q820" s="11"/>
      <c r="R820" s="11"/>
      <c r="S820" s="11"/>
      <c r="T820" s="11"/>
      <c r="U820" s="11"/>
      <c r="V820" s="11"/>
      <c r="W820" s="11"/>
      <c r="X820" s="11"/>
      <c r="Y820" s="11"/>
      <c r="Z820" s="11"/>
      <c r="AA820" s="11"/>
    </row>
    <row r="821" ht="15.75" customHeight="1">
      <c r="A821" s="182"/>
      <c r="B821" s="182"/>
      <c r="C821" s="182"/>
      <c r="D821" s="182"/>
      <c r="E821" s="182"/>
      <c r="F821" s="182"/>
      <c r="G821" s="182"/>
      <c r="H821" s="182"/>
      <c r="I821" s="182"/>
      <c r="J821" s="182"/>
      <c r="K821" s="11"/>
      <c r="L821" s="182"/>
      <c r="M821" s="182"/>
      <c r="N821" s="182"/>
      <c r="O821" s="182"/>
      <c r="P821" s="11"/>
      <c r="Q821" s="11"/>
      <c r="R821" s="11"/>
      <c r="S821" s="11"/>
      <c r="T821" s="11"/>
      <c r="U821" s="11"/>
      <c r="V821" s="11"/>
      <c r="W821" s="11"/>
      <c r="X821" s="11"/>
      <c r="Y821" s="11"/>
      <c r="Z821" s="11"/>
      <c r="AA821" s="11"/>
    </row>
    <row r="822" ht="15.75" customHeight="1">
      <c r="A822" s="182"/>
      <c r="B822" s="182"/>
      <c r="C822" s="182"/>
      <c r="D822" s="182"/>
      <c r="E822" s="182"/>
      <c r="F822" s="182"/>
      <c r="G822" s="182"/>
      <c r="H822" s="182"/>
      <c r="I822" s="182"/>
      <c r="J822" s="182"/>
      <c r="K822" s="11"/>
      <c r="L822" s="182"/>
      <c r="M822" s="182"/>
      <c r="N822" s="182"/>
      <c r="O822" s="182"/>
      <c r="P822" s="11"/>
      <c r="Q822" s="11"/>
      <c r="R822" s="11"/>
      <c r="S822" s="11"/>
      <c r="T822" s="11"/>
      <c r="U822" s="11"/>
      <c r="V822" s="11"/>
      <c r="W822" s="11"/>
      <c r="X822" s="11"/>
      <c r="Y822" s="11"/>
      <c r="Z822" s="11"/>
      <c r="AA822" s="11"/>
    </row>
    <row r="823" ht="15.75" customHeight="1">
      <c r="A823" s="182"/>
      <c r="B823" s="182"/>
      <c r="C823" s="182"/>
      <c r="D823" s="182"/>
      <c r="E823" s="182"/>
      <c r="F823" s="182"/>
      <c r="G823" s="182"/>
      <c r="H823" s="182"/>
      <c r="I823" s="182"/>
      <c r="J823" s="182"/>
      <c r="K823" s="11"/>
      <c r="L823" s="182"/>
      <c r="M823" s="182"/>
      <c r="N823" s="182"/>
      <c r="O823" s="182"/>
      <c r="P823" s="11"/>
      <c r="Q823" s="11"/>
      <c r="R823" s="11"/>
      <c r="S823" s="11"/>
      <c r="T823" s="11"/>
      <c r="U823" s="11"/>
      <c r="V823" s="11"/>
      <c r="W823" s="11"/>
      <c r="X823" s="11"/>
      <c r="Y823" s="11"/>
      <c r="Z823" s="11"/>
      <c r="AA823" s="11"/>
    </row>
    <row r="824" ht="15.75" customHeight="1">
      <c r="A824" s="182"/>
      <c r="B824" s="182"/>
      <c r="C824" s="182"/>
      <c r="D824" s="182"/>
      <c r="E824" s="182"/>
      <c r="F824" s="182"/>
      <c r="G824" s="182"/>
      <c r="H824" s="182"/>
      <c r="I824" s="182"/>
      <c r="J824" s="182"/>
      <c r="K824" s="11"/>
      <c r="L824" s="182"/>
      <c r="M824" s="182"/>
      <c r="N824" s="182"/>
      <c r="O824" s="182"/>
      <c r="P824" s="11"/>
      <c r="Q824" s="11"/>
      <c r="R824" s="11"/>
      <c r="S824" s="11"/>
      <c r="T824" s="11"/>
      <c r="U824" s="11"/>
      <c r="V824" s="11"/>
      <c r="W824" s="11"/>
      <c r="X824" s="11"/>
      <c r="Y824" s="11"/>
      <c r="Z824" s="11"/>
      <c r="AA824" s="11"/>
    </row>
    <row r="825" ht="15.75" customHeight="1">
      <c r="A825" s="182"/>
      <c r="B825" s="182"/>
      <c r="C825" s="182"/>
      <c r="D825" s="182"/>
      <c r="E825" s="182"/>
      <c r="F825" s="182"/>
      <c r="G825" s="182"/>
      <c r="H825" s="182"/>
      <c r="I825" s="182"/>
      <c r="J825" s="182"/>
      <c r="K825" s="11"/>
      <c r="L825" s="182"/>
      <c r="M825" s="182"/>
      <c r="N825" s="182"/>
      <c r="O825" s="182"/>
      <c r="P825" s="11"/>
      <c r="Q825" s="11"/>
      <c r="R825" s="11"/>
      <c r="S825" s="11"/>
      <c r="T825" s="11"/>
      <c r="U825" s="11"/>
      <c r="V825" s="11"/>
      <c r="W825" s="11"/>
      <c r="X825" s="11"/>
      <c r="Y825" s="11"/>
      <c r="Z825" s="11"/>
      <c r="AA825" s="11"/>
    </row>
    <row r="826" ht="15.75" customHeight="1">
      <c r="A826" s="182"/>
      <c r="B826" s="182"/>
      <c r="C826" s="182"/>
      <c r="D826" s="182"/>
      <c r="E826" s="182"/>
      <c r="F826" s="182"/>
      <c r="G826" s="182"/>
      <c r="H826" s="182"/>
      <c r="I826" s="182"/>
      <c r="J826" s="182"/>
      <c r="K826" s="11"/>
      <c r="L826" s="182"/>
      <c r="M826" s="182"/>
      <c r="N826" s="182"/>
      <c r="O826" s="182"/>
      <c r="P826" s="11"/>
      <c r="Q826" s="11"/>
      <c r="R826" s="11"/>
      <c r="S826" s="11"/>
      <c r="T826" s="11"/>
      <c r="U826" s="11"/>
      <c r="V826" s="11"/>
      <c r="W826" s="11"/>
      <c r="X826" s="11"/>
      <c r="Y826" s="11"/>
      <c r="Z826" s="11"/>
      <c r="AA826" s="11"/>
    </row>
    <row r="827" ht="15.75" customHeight="1">
      <c r="A827" s="182"/>
      <c r="B827" s="182"/>
      <c r="C827" s="182"/>
      <c r="D827" s="182"/>
      <c r="E827" s="182"/>
      <c r="F827" s="182"/>
      <c r="G827" s="182"/>
      <c r="H827" s="182"/>
      <c r="I827" s="182"/>
      <c r="J827" s="182"/>
      <c r="K827" s="11"/>
      <c r="L827" s="182"/>
      <c r="M827" s="182"/>
      <c r="N827" s="182"/>
      <c r="O827" s="182"/>
      <c r="P827" s="11"/>
      <c r="Q827" s="11"/>
      <c r="R827" s="11"/>
      <c r="S827" s="11"/>
      <c r="T827" s="11"/>
      <c r="U827" s="11"/>
      <c r="V827" s="11"/>
      <c r="W827" s="11"/>
      <c r="X827" s="11"/>
      <c r="Y827" s="11"/>
      <c r="Z827" s="11"/>
      <c r="AA827" s="11"/>
    </row>
    <row r="828" ht="15.75" customHeight="1">
      <c r="A828" s="182"/>
      <c r="B828" s="182"/>
      <c r="C828" s="182"/>
      <c r="D828" s="182"/>
      <c r="E828" s="182"/>
      <c r="F828" s="182"/>
      <c r="G828" s="182"/>
      <c r="H828" s="182"/>
      <c r="I828" s="182"/>
      <c r="J828" s="182"/>
      <c r="K828" s="11"/>
      <c r="L828" s="182"/>
      <c r="M828" s="182"/>
      <c r="N828" s="182"/>
      <c r="O828" s="182"/>
      <c r="P828" s="11"/>
      <c r="Q828" s="11"/>
      <c r="R828" s="11"/>
      <c r="S828" s="11"/>
      <c r="T828" s="11"/>
      <c r="U828" s="11"/>
      <c r="V828" s="11"/>
      <c r="W828" s="11"/>
      <c r="X828" s="11"/>
      <c r="Y828" s="11"/>
      <c r="Z828" s="11"/>
      <c r="AA828" s="11"/>
    </row>
    <row r="829" ht="15.75" customHeight="1">
      <c r="A829" s="182"/>
      <c r="B829" s="182"/>
      <c r="C829" s="182"/>
      <c r="D829" s="182"/>
      <c r="E829" s="182"/>
      <c r="F829" s="182"/>
      <c r="G829" s="182"/>
      <c r="H829" s="182"/>
      <c r="I829" s="182"/>
      <c r="J829" s="182"/>
      <c r="K829" s="11"/>
      <c r="L829" s="182"/>
      <c r="M829" s="182"/>
      <c r="N829" s="182"/>
      <c r="O829" s="182"/>
      <c r="P829" s="11"/>
      <c r="Q829" s="11"/>
      <c r="R829" s="11"/>
      <c r="S829" s="11"/>
      <c r="T829" s="11"/>
      <c r="U829" s="11"/>
      <c r="V829" s="11"/>
      <c r="W829" s="11"/>
      <c r="X829" s="11"/>
      <c r="Y829" s="11"/>
      <c r="Z829" s="11"/>
      <c r="AA829" s="11"/>
    </row>
    <row r="830" ht="15.75" customHeight="1">
      <c r="A830" s="182"/>
      <c r="B830" s="182"/>
      <c r="C830" s="182"/>
      <c r="D830" s="182"/>
      <c r="E830" s="182"/>
      <c r="F830" s="182"/>
      <c r="G830" s="182"/>
      <c r="H830" s="182"/>
      <c r="I830" s="182"/>
      <c r="J830" s="182"/>
      <c r="K830" s="11"/>
      <c r="L830" s="182"/>
      <c r="M830" s="182"/>
      <c r="N830" s="182"/>
      <c r="O830" s="182"/>
      <c r="P830" s="11"/>
      <c r="Q830" s="11"/>
      <c r="R830" s="11"/>
      <c r="S830" s="11"/>
      <c r="T830" s="11"/>
      <c r="U830" s="11"/>
      <c r="V830" s="11"/>
      <c r="W830" s="11"/>
      <c r="X830" s="11"/>
      <c r="Y830" s="11"/>
      <c r="Z830" s="11"/>
      <c r="AA830" s="11"/>
    </row>
    <row r="831" ht="15.75" customHeight="1">
      <c r="A831" s="182"/>
      <c r="B831" s="182"/>
      <c r="C831" s="182"/>
      <c r="D831" s="182"/>
      <c r="E831" s="182"/>
      <c r="F831" s="182"/>
      <c r="G831" s="182"/>
      <c r="H831" s="182"/>
      <c r="I831" s="182"/>
      <c r="J831" s="182"/>
      <c r="K831" s="11"/>
      <c r="L831" s="182"/>
      <c r="M831" s="182"/>
      <c r="N831" s="182"/>
      <c r="O831" s="182"/>
      <c r="P831" s="11"/>
      <c r="Q831" s="11"/>
      <c r="R831" s="11"/>
      <c r="S831" s="11"/>
      <c r="T831" s="11"/>
      <c r="U831" s="11"/>
      <c r="V831" s="11"/>
      <c r="W831" s="11"/>
      <c r="X831" s="11"/>
      <c r="Y831" s="11"/>
      <c r="Z831" s="11"/>
      <c r="AA831" s="11"/>
    </row>
    <row r="832" ht="15.75" customHeight="1">
      <c r="A832" s="182"/>
      <c r="B832" s="182"/>
      <c r="C832" s="182"/>
      <c r="D832" s="182"/>
      <c r="E832" s="182"/>
      <c r="F832" s="182"/>
      <c r="G832" s="182"/>
      <c r="H832" s="182"/>
      <c r="I832" s="182"/>
      <c r="J832" s="182"/>
      <c r="K832" s="11"/>
      <c r="L832" s="182"/>
      <c r="M832" s="182"/>
      <c r="N832" s="182"/>
      <c r="O832" s="182"/>
      <c r="P832" s="11"/>
      <c r="Q832" s="11"/>
      <c r="R832" s="11"/>
      <c r="S832" s="11"/>
      <c r="T832" s="11"/>
      <c r="U832" s="11"/>
      <c r="V832" s="11"/>
      <c r="W832" s="11"/>
      <c r="X832" s="11"/>
      <c r="Y832" s="11"/>
      <c r="Z832" s="11"/>
      <c r="AA832" s="11"/>
    </row>
    <row r="833" ht="15.75" customHeight="1">
      <c r="A833" s="182"/>
      <c r="B833" s="182"/>
      <c r="C833" s="182"/>
      <c r="D833" s="182"/>
      <c r="E833" s="182"/>
      <c r="F833" s="182"/>
      <c r="G833" s="182"/>
      <c r="H833" s="182"/>
      <c r="I833" s="182"/>
      <c r="J833" s="182"/>
      <c r="K833" s="11"/>
      <c r="L833" s="182"/>
      <c r="M833" s="182"/>
      <c r="N833" s="182"/>
      <c r="O833" s="182"/>
      <c r="P833" s="11"/>
      <c r="Q833" s="11"/>
      <c r="R833" s="11"/>
      <c r="S833" s="11"/>
      <c r="T833" s="11"/>
      <c r="U833" s="11"/>
      <c r="V833" s="11"/>
      <c r="W833" s="11"/>
      <c r="X833" s="11"/>
      <c r="Y833" s="11"/>
      <c r="Z833" s="11"/>
      <c r="AA833" s="11"/>
    </row>
    <row r="834" ht="15.75" customHeight="1">
      <c r="A834" s="182"/>
      <c r="B834" s="182"/>
      <c r="C834" s="182"/>
      <c r="D834" s="182"/>
      <c r="E834" s="182"/>
      <c r="F834" s="182"/>
      <c r="G834" s="182"/>
      <c r="H834" s="182"/>
      <c r="I834" s="182"/>
      <c r="J834" s="182"/>
      <c r="K834" s="11"/>
      <c r="L834" s="182"/>
      <c r="M834" s="182"/>
      <c r="N834" s="182"/>
      <c r="O834" s="182"/>
      <c r="P834" s="11"/>
      <c r="Q834" s="11"/>
      <c r="R834" s="11"/>
      <c r="S834" s="11"/>
      <c r="T834" s="11"/>
      <c r="U834" s="11"/>
      <c r="V834" s="11"/>
      <c r="W834" s="11"/>
      <c r="X834" s="11"/>
      <c r="Y834" s="11"/>
      <c r="Z834" s="11"/>
      <c r="AA834" s="11"/>
    </row>
    <row r="835" ht="15.75" customHeight="1">
      <c r="A835" s="182"/>
      <c r="B835" s="182"/>
      <c r="C835" s="182"/>
      <c r="D835" s="182"/>
      <c r="E835" s="182"/>
      <c r="F835" s="182"/>
      <c r="G835" s="182"/>
      <c r="H835" s="182"/>
      <c r="I835" s="182"/>
      <c r="J835" s="182"/>
      <c r="K835" s="11"/>
      <c r="L835" s="182"/>
      <c r="M835" s="182"/>
      <c r="N835" s="182"/>
      <c r="O835" s="182"/>
      <c r="P835" s="11"/>
      <c r="Q835" s="11"/>
      <c r="R835" s="11"/>
      <c r="S835" s="11"/>
      <c r="T835" s="11"/>
      <c r="U835" s="11"/>
      <c r="V835" s="11"/>
      <c r="W835" s="11"/>
      <c r="X835" s="11"/>
      <c r="Y835" s="11"/>
      <c r="Z835" s="11"/>
      <c r="AA835" s="11"/>
    </row>
    <row r="836" ht="15.75" customHeight="1">
      <c r="A836" s="182"/>
      <c r="B836" s="182"/>
      <c r="C836" s="182"/>
      <c r="D836" s="182"/>
      <c r="E836" s="182"/>
      <c r="F836" s="182"/>
      <c r="G836" s="182"/>
      <c r="H836" s="182"/>
      <c r="I836" s="182"/>
      <c r="J836" s="182"/>
      <c r="K836" s="11"/>
      <c r="L836" s="182"/>
      <c r="M836" s="182"/>
      <c r="N836" s="182"/>
      <c r="O836" s="182"/>
      <c r="P836" s="11"/>
      <c r="Q836" s="11"/>
      <c r="R836" s="11"/>
      <c r="S836" s="11"/>
      <c r="T836" s="11"/>
      <c r="U836" s="11"/>
      <c r="V836" s="11"/>
      <c r="W836" s="11"/>
      <c r="X836" s="11"/>
      <c r="Y836" s="11"/>
      <c r="Z836" s="11"/>
      <c r="AA836" s="11"/>
    </row>
    <row r="837" ht="15.75" customHeight="1">
      <c r="A837" s="182"/>
      <c r="B837" s="182"/>
      <c r="C837" s="182"/>
      <c r="D837" s="182"/>
      <c r="E837" s="182"/>
      <c r="F837" s="182"/>
      <c r="G837" s="182"/>
      <c r="H837" s="182"/>
      <c r="I837" s="182"/>
      <c r="J837" s="182"/>
      <c r="K837" s="11"/>
      <c r="L837" s="182"/>
      <c r="M837" s="182"/>
      <c r="N837" s="182"/>
      <c r="O837" s="182"/>
      <c r="P837" s="11"/>
      <c r="Q837" s="11"/>
      <c r="R837" s="11"/>
      <c r="S837" s="11"/>
      <c r="T837" s="11"/>
      <c r="U837" s="11"/>
      <c r="V837" s="11"/>
      <c r="W837" s="11"/>
      <c r="X837" s="11"/>
      <c r="Y837" s="11"/>
      <c r="Z837" s="11"/>
      <c r="AA837" s="11"/>
    </row>
    <row r="838" ht="15.75" customHeight="1">
      <c r="A838" s="182"/>
      <c r="B838" s="182"/>
      <c r="C838" s="182"/>
      <c r="D838" s="182"/>
      <c r="E838" s="182"/>
      <c r="F838" s="182"/>
      <c r="G838" s="182"/>
      <c r="H838" s="182"/>
      <c r="I838" s="182"/>
      <c r="J838" s="182"/>
      <c r="K838" s="11"/>
      <c r="L838" s="182"/>
      <c r="M838" s="182"/>
      <c r="N838" s="182"/>
      <c r="O838" s="182"/>
      <c r="P838" s="11"/>
      <c r="Q838" s="11"/>
      <c r="R838" s="11"/>
      <c r="S838" s="11"/>
      <c r="T838" s="11"/>
      <c r="U838" s="11"/>
      <c r="V838" s="11"/>
      <c r="W838" s="11"/>
      <c r="X838" s="11"/>
      <c r="Y838" s="11"/>
      <c r="Z838" s="11"/>
      <c r="AA838" s="11"/>
    </row>
    <row r="839" ht="15.75" customHeight="1">
      <c r="A839" s="182"/>
      <c r="B839" s="182"/>
      <c r="C839" s="182"/>
      <c r="D839" s="182"/>
      <c r="E839" s="182"/>
      <c r="F839" s="182"/>
      <c r="G839" s="182"/>
      <c r="H839" s="182"/>
      <c r="I839" s="182"/>
      <c r="J839" s="182"/>
      <c r="K839" s="11"/>
      <c r="L839" s="182"/>
      <c r="M839" s="182"/>
      <c r="N839" s="182"/>
      <c r="O839" s="182"/>
      <c r="P839" s="11"/>
      <c r="Q839" s="11"/>
      <c r="R839" s="11"/>
      <c r="S839" s="11"/>
      <c r="T839" s="11"/>
      <c r="U839" s="11"/>
      <c r="V839" s="11"/>
      <c r="W839" s="11"/>
      <c r="X839" s="11"/>
      <c r="Y839" s="11"/>
      <c r="Z839" s="11"/>
      <c r="AA839" s="11"/>
    </row>
    <row r="840" ht="15.75" customHeight="1">
      <c r="A840" s="182"/>
      <c r="B840" s="182"/>
      <c r="C840" s="182"/>
      <c r="D840" s="182"/>
      <c r="E840" s="182"/>
      <c r="F840" s="182"/>
      <c r="G840" s="182"/>
      <c r="H840" s="182"/>
      <c r="I840" s="182"/>
      <c r="J840" s="182"/>
      <c r="K840" s="11"/>
      <c r="L840" s="182"/>
      <c r="M840" s="182"/>
      <c r="N840" s="182"/>
      <c r="O840" s="182"/>
      <c r="P840" s="11"/>
      <c r="Q840" s="11"/>
      <c r="R840" s="11"/>
      <c r="S840" s="11"/>
      <c r="T840" s="11"/>
      <c r="U840" s="11"/>
      <c r="V840" s="11"/>
      <c r="W840" s="11"/>
      <c r="X840" s="11"/>
      <c r="Y840" s="11"/>
      <c r="Z840" s="11"/>
      <c r="AA840" s="11"/>
    </row>
    <row r="841" ht="15.75" customHeight="1">
      <c r="A841" s="182"/>
      <c r="B841" s="182"/>
      <c r="C841" s="182"/>
      <c r="D841" s="182"/>
      <c r="E841" s="182"/>
      <c r="F841" s="182"/>
      <c r="G841" s="182"/>
      <c r="H841" s="182"/>
      <c r="I841" s="182"/>
      <c r="J841" s="182"/>
      <c r="K841" s="11"/>
      <c r="L841" s="182"/>
      <c r="M841" s="182"/>
      <c r="N841" s="182"/>
      <c r="O841" s="182"/>
      <c r="P841" s="11"/>
      <c r="Q841" s="11"/>
      <c r="R841" s="11"/>
      <c r="S841" s="11"/>
      <c r="T841" s="11"/>
      <c r="U841" s="11"/>
      <c r="V841" s="11"/>
      <c r="W841" s="11"/>
      <c r="X841" s="11"/>
      <c r="Y841" s="11"/>
      <c r="Z841" s="11"/>
      <c r="AA841" s="11"/>
    </row>
    <row r="842" ht="15.75" customHeight="1">
      <c r="A842" s="182"/>
      <c r="B842" s="182"/>
      <c r="C842" s="182"/>
      <c r="D842" s="182"/>
      <c r="E842" s="182"/>
      <c r="F842" s="182"/>
      <c r="G842" s="182"/>
      <c r="H842" s="182"/>
      <c r="I842" s="182"/>
      <c r="J842" s="182"/>
      <c r="K842" s="11"/>
      <c r="L842" s="182"/>
      <c r="M842" s="182"/>
      <c r="N842" s="182"/>
      <c r="O842" s="182"/>
      <c r="P842" s="11"/>
      <c r="Q842" s="11"/>
      <c r="R842" s="11"/>
      <c r="S842" s="11"/>
      <c r="T842" s="11"/>
      <c r="U842" s="11"/>
      <c r="V842" s="11"/>
      <c r="W842" s="11"/>
      <c r="X842" s="11"/>
      <c r="Y842" s="11"/>
      <c r="Z842" s="11"/>
      <c r="AA842" s="11"/>
    </row>
    <row r="843" ht="15.75" customHeight="1">
      <c r="A843" s="182"/>
      <c r="B843" s="182"/>
      <c r="C843" s="182"/>
      <c r="D843" s="182"/>
      <c r="E843" s="182"/>
      <c r="F843" s="182"/>
      <c r="G843" s="182"/>
      <c r="H843" s="182"/>
      <c r="I843" s="182"/>
      <c r="J843" s="182"/>
      <c r="K843" s="11"/>
      <c r="L843" s="182"/>
      <c r="M843" s="182"/>
      <c r="N843" s="182"/>
      <c r="O843" s="182"/>
      <c r="P843" s="11"/>
      <c r="Q843" s="11"/>
      <c r="R843" s="11"/>
      <c r="S843" s="11"/>
      <c r="T843" s="11"/>
      <c r="U843" s="11"/>
      <c r="V843" s="11"/>
      <c r="W843" s="11"/>
      <c r="X843" s="11"/>
      <c r="Y843" s="11"/>
      <c r="Z843" s="11"/>
      <c r="AA843" s="11"/>
    </row>
    <row r="844" ht="15.75" customHeight="1">
      <c r="A844" s="182"/>
      <c r="B844" s="182"/>
      <c r="C844" s="182"/>
      <c r="D844" s="182"/>
      <c r="E844" s="182"/>
      <c r="F844" s="182"/>
      <c r="G844" s="182"/>
      <c r="H844" s="182"/>
      <c r="I844" s="182"/>
      <c r="J844" s="182"/>
      <c r="K844" s="11"/>
      <c r="L844" s="182"/>
      <c r="M844" s="182"/>
      <c r="N844" s="182"/>
      <c r="O844" s="182"/>
      <c r="P844" s="11"/>
      <c r="Q844" s="11"/>
      <c r="R844" s="11"/>
      <c r="S844" s="11"/>
      <c r="T844" s="11"/>
      <c r="U844" s="11"/>
      <c r="V844" s="11"/>
      <c r="W844" s="11"/>
      <c r="X844" s="11"/>
      <c r="Y844" s="11"/>
      <c r="Z844" s="11"/>
      <c r="AA844" s="11"/>
    </row>
    <row r="845" ht="15.75" customHeight="1">
      <c r="A845" s="182"/>
      <c r="B845" s="182"/>
      <c r="C845" s="182"/>
      <c r="D845" s="182"/>
      <c r="E845" s="182"/>
      <c r="F845" s="182"/>
      <c r="G845" s="182"/>
      <c r="H845" s="182"/>
      <c r="I845" s="182"/>
      <c r="J845" s="182"/>
      <c r="K845" s="11"/>
      <c r="L845" s="182"/>
      <c r="M845" s="182"/>
      <c r="N845" s="182"/>
      <c r="O845" s="182"/>
      <c r="P845" s="11"/>
      <c r="Q845" s="11"/>
      <c r="R845" s="11"/>
      <c r="S845" s="11"/>
      <c r="T845" s="11"/>
      <c r="U845" s="11"/>
      <c r="V845" s="11"/>
      <c r="W845" s="11"/>
      <c r="X845" s="11"/>
      <c r="Y845" s="11"/>
      <c r="Z845" s="11"/>
      <c r="AA845" s="11"/>
    </row>
    <row r="846" ht="15.75" customHeight="1">
      <c r="A846" s="182"/>
      <c r="B846" s="182"/>
      <c r="C846" s="182"/>
      <c r="D846" s="182"/>
      <c r="E846" s="182"/>
      <c r="F846" s="182"/>
      <c r="G846" s="182"/>
      <c r="H846" s="182"/>
      <c r="I846" s="182"/>
      <c r="J846" s="182"/>
      <c r="K846" s="11"/>
      <c r="L846" s="182"/>
      <c r="M846" s="182"/>
      <c r="N846" s="182"/>
      <c r="O846" s="182"/>
      <c r="P846" s="11"/>
      <c r="Q846" s="11"/>
      <c r="R846" s="11"/>
      <c r="S846" s="11"/>
      <c r="T846" s="11"/>
      <c r="U846" s="11"/>
      <c r="V846" s="11"/>
      <c r="W846" s="11"/>
      <c r="X846" s="11"/>
      <c r="Y846" s="11"/>
      <c r="Z846" s="11"/>
      <c r="AA846" s="11"/>
    </row>
    <row r="847" ht="15.75" customHeight="1">
      <c r="A847" s="182"/>
      <c r="B847" s="182"/>
      <c r="C847" s="182"/>
      <c r="D847" s="182"/>
      <c r="E847" s="182"/>
      <c r="F847" s="182"/>
      <c r="G847" s="182"/>
      <c r="H847" s="182"/>
      <c r="I847" s="182"/>
      <c r="J847" s="182"/>
      <c r="K847" s="11"/>
      <c r="L847" s="182"/>
      <c r="M847" s="182"/>
      <c r="N847" s="182"/>
      <c r="O847" s="182"/>
      <c r="P847" s="11"/>
      <c r="Q847" s="11"/>
      <c r="R847" s="11"/>
      <c r="S847" s="11"/>
      <c r="T847" s="11"/>
      <c r="U847" s="11"/>
      <c r="V847" s="11"/>
      <c r="W847" s="11"/>
      <c r="X847" s="11"/>
      <c r="Y847" s="11"/>
      <c r="Z847" s="11"/>
      <c r="AA847" s="11"/>
    </row>
    <row r="848" ht="15.75" customHeight="1">
      <c r="A848" s="182"/>
      <c r="B848" s="182"/>
      <c r="C848" s="182"/>
      <c r="D848" s="182"/>
      <c r="E848" s="182"/>
      <c r="F848" s="182"/>
      <c r="G848" s="182"/>
      <c r="H848" s="182"/>
      <c r="I848" s="182"/>
      <c r="J848" s="182"/>
      <c r="K848" s="11"/>
      <c r="L848" s="182"/>
      <c r="M848" s="182"/>
      <c r="N848" s="182"/>
      <c r="O848" s="182"/>
      <c r="P848" s="11"/>
      <c r="Q848" s="11"/>
      <c r="R848" s="11"/>
      <c r="S848" s="11"/>
      <c r="T848" s="11"/>
      <c r="U848" s="11"/>
      <c r="V848" s="11"/>
      <c r="W848" s="11"/>
      <c r="X848" s="11"/>
      <c r="Y848" s="11"/>
      <c r="Z848" s="11"/>
      <c r="AA848" s="11"/>
    </row>
    <row r="849" ht="15.75" customHeight="1">
      <c r="A849" s="182"/>
      <c r="B849" s="182"/>
      <c r="C849" s="182"/>
      <c r="D849" s="182"/>
      <c r="E849" s="182"/>
      <c r="F849" s="182"/>
      <c r="G849" s="182"/>
      <c r="H849" s="182"/>
      <c r="I849" s="182"/>
      <c r="J849" s="182"/>
      <c r="K849" s="11"/>
      <c r="L849" s="182"/>
      <c r="M849" s="182"/>
      <c r="N849" s="182"/>
      <c r="O849" s="182"/>
      <c r="P849" s="11"/>
      <c r="Q849" s="11"/>
      <c r="R849" s="11"/>
      <c r="S849" s="11"/>
      <c r="T849" s="11"/>
      <c r="U849" s="11"/>
      <c r="V849" s="11"/>
      <c r="W849" s="11"/>
      <c r="X849" s="11"/>
      <c r="Y849" s="11"/>
      <c r="Z849" s="11"/>
      <c r="AA849" s="11"/>
    </row>
    <row r="850" ht="15.75" customHeight="1">
      <c r="A850" s="182"/>
      <c r="B850" s="182"/>
      <c r="C850" s="182"/>
      <c r="D850" s="182"/>
      <c r="E850" s="182"/>
      <c r="F850" s="182"/>
      <c r="G850" s="182"/>
      <c r="H850" s="182"/>
      <c r="I850" s="182"/>
      <c r="J850" s="182"/>
      <c r="K850" s="11"/>
      <c r="L850" s="182"/>
      <c r="M850" s="182"/>
      <c r="N850" s="182"/>
      <c r="O850" s="182"/>
      <c r="P850" s="11"/>
      <c r="Q850" s="11"/>
      <c r="R850" s="11"/>
      <c r="S850" s="11"/>
      <c r="T850" s="11"/>
      <c r="U850" s="11"/>
      <c r="V850" s="11"/>
      <c r="W850" s="11"/>
      <c r="X850" s="11"/>
      <c r="Y850" s="11"/>
      <c r="Z850" s="11"/>
      <c r="AA850" s="11"/>
    </row>
    <row r="851" ht="15.75" customHeight="1">
      <c r="A851" s="182"/>
      <c r="B851" s="182"/>
      <c r="C851" s="182"/>
      <c r="D851" s="182"/>
      <c r="E851" s="182"/>
      <c r="F851" s="182"/>
      <c r="G851" s="182"/>
      <c r="H851" s="182"/>
      <c r="I851" s="182"/>
      <c r="J851" s="182"/>
      <c r="K851" s="11"/>
      <c r="L851" s="182"/>
      <c r="M851" s="182"/>
      <c r="N851" s="182"/>
      <c r="O851" s="182"/>
      <c r="P851" s="11"/>
      <c r="Q851" s="11"/>
      <c r="R851" s="11"/>
      <c r="S851" s="11"/>
      <c r="T851" s="11"/>
      <c r="U851" s="11"/>
      <c r="V851" s="11"/>
      <c r="W851" s="11"/>
      <c r="X851" s="11"/>
      <c r="Y851" s="11"/>
      <c r="Z851" s="11"/>
      <c r="AA851" s="11"/>
    </row>
    <row r="852" ht="15.75" customHeight="1">
      <c r="A852" s="182"/>
      <c r="B852" s="182"/>
      <c r="C852" s="182"/>
      <c r="D852" s="182"/>
      <c r="E852" s="182"/>
      <c r="F852" s="182"/>
      <c r="G852" s="182"/>
      <c r="H852" s="182"/>
      <c r="I852" s="182"/>
      <c r="J852" s="182"/>
      <c r="K852" s="11"/>
      <c r="L852" s="182"/>
      <c r="M852" s="182"/>
      <c r="N852" s="182"/>
      <c r="O852" s="182"/>
      <c r="P852" s="11"/>
      <c r="Q852" s="11"/>
      <c r="R852" s="11"/>
      <c r="S852" s="11"/>
      <c r="T852" s="11"/>
      <c r="U852" s="11"/>
      <c r="V852" s="11"/>
      <c r="W852" s="11"/>
      <c r="X852" s="11"/>
      <c r="Y852" s="11"/>
      <c r="Z852" s="11"/>
      <c r="AA852" s="11"/>
    </row>
    <row r="853" ht="15.75" customHeight="1">
      <c r="A853" s="182"/>
      <c r="B853" s="182"/>
      <c r="C853" s="182"/>
      <c r="D853" s="182"/>
      <c r="E853" s="182"/>
      <c r="F853" s="182"/>
      <c r="G853" s="182"/>
      <c r="H853" s="182"/>
      <c r="I853" s="182"/>
      <c r="J853" s="182"/>
      <c r="K853" s="11"/>
      <c r="L853" s="182"/>
      <c r="M853" s="182"/>
      <c r="N853" s="182"/>
      <c r="O853" s="182"/>
      <c r="P853" s="11"/>
      <c r="Q853" s="11"/>
      <c r="R853" s="11"/>
      <c r="S853" s="11"/>
      <c r="T853" s="11"/>
      <c r="U853" s="11"/>
      <c r="V853" s="11"/>
      <c r="W853" s="11"/>
      <c r="X853" s="11"/>
      <c r="Y853" s="11"/>
      <c r="Z853" s="11"/>
      <c r="AA853" s="11"/>
    </row>
    <row r="854" ht="15.75" customHeight="1">
      <c r="A854" s="182"/>
      <c r="B854" s="182"/>
      <c r="C854" s="182"/>
      <c r="D854" s="182"/>
      <c r="E854" s="182"/>
      <c r="F854" s="182"/>
      <c r="G854" s="182"/>
      <c r="H854" s="182"/>
      <c r="I854" s="182"/>
      <c r="J854" s="182"/>
      <c r="K854" s="11"/>
      <c r="L854" s="182"/>
      <c r="M854" s="182"/>
      <c r="N854" s="182"/>
      <c r="O854" s="182"/>
      <c r="P854" s="11"/>
      <c r="Q854" s="11"/>
      <c r="R854" s="11"/>
      <c r="S854" s="11"/>
      <c r="T854" s="11"/>
      <c r="U854" s="11"/>
      <c r="V854" s="11"/>
      <c r="W854" s="11"/>
      <c r="X854" s="11"/>
      <c r="Y854" s="11"/>
      <c r="Z854" s="11"/>
      <c r="AA854" s="11"/>
    </row>
    <row r="855" ht="15.75" customHeight="1">
      <c r="A855" s="182"/>
      <c r="B855" s="182"/>
      <c r="C855" s="182"/>
      <c r="D855" s="182"/>
      <c r="E855" s="182"/>
      <c r="F855" s="182"/>
      <c r="G855" s="182"/>
      <c r="H855" s="182"/>
      <c r="I855" s="182"/>
      <c r="J855" s="182"/>
      <c r="K855" s="11"/>
      <c r="L855" s="182"/>
      <c r="M855" s="182"/>
      <c r="N855" s="182"/>
      <c r="O855" s="182"/>
      <c r="P855" s="11"/>
      <c r="Q855" s="11"/>
      <c r="R855" s="11"/>
      <c r="S855" s="11"/>
      <c r="T855" s="11"/>
      <c r="U855" s="11"/>
      <c r="V855" s="11"/>
      <c r="W855" s="11"/>
      <c r="X855" s="11"/>
      <c r="Y855" s="11"/>
      <c r="Z855" s="11"/>
      <c r="AA855" s="11"/>
    </row>
    <row r="856" ht="15.75" customHeight="1">
      <c r="A856" s="182"/>
      <c r="B856" s="182"/>
      <c r="C856" s="182"/>
      <c r="D856" s="182"/>
      <c r="E856" s="182"/>
      <c r="F856" s="182"/>
      <c r="G856" s="182"/>
      <c r="H856" s="182"/>
      <c r="I856" s="182"/>
      <c r="J856" s="182"/>
      <c r="K856" s="11"/>
      <c r="L856" s="182"/>
      <c r="M856" s="182"/>
      <c r="N856" s="182"/>
      <c r="O856" s="182"/>
      <c r="P856" s="11"/>
      <c r="Q856" s="11"/>
      <c r="R856" s="11"/>
      <c r="S856" s="11"/>
      <c r="T856" s="11"/>
      <c r="U856" s="11"/>
      <c r="V856" s="11"/>
      <c r="W856" s="11"/>
      <c r="X856" s="11"/>
      <c r="Y856" s="11"/>
      <c r="Z856" s="11"/>
      <c r="AA856" s="11"/>
    </row>
    <row r="857" ht="15.75" customHeight="1">
      <c r="A857" s="182"/>
      <c r="B857" s="182"/>
      <c r="C857" s="182"/>
      <c r="D857" s="182"/>
      <c r="E857" s="182"/>
      <c r="F857" s="182"/>
      <c r="G857" s="182"/>
      <c r="H857" s="182"/>
      <c r="I857" s="182"/>
      <c r="J857" s="182"/>
      <c r="K857" s="11"/>
      <c r="L857" s="182"/>
      <c r="M857" s="182"/>
      <c r="N857" s="182"/>
      <c r="O857" s="182"/>
      <c r="P857" s="11"/>
      <c r="Q857" s="11"/>
      <c r="R857" s="11"/>
      <c r="S857" s="11"/>
      <c r="T857" s="11"/>
      <c r="U857" s="11"/>
      <c r="V857" s="11"/>
      <c r="W857" s="11"/>
      <c r="X857" s="11"/>
      <c r="Y857" s="11"/>
      <c r="Z857" s="11"/>
      <c r="AA857" s="11"/>
    </row>
    <row r="858" ht="15.75" customHeight="1">
      <c r="A858" s="182"/>
      <c r="B858" s="182"/>
      <c r="C858" s="182"/>
      <c r="D858" s="182"/>
      <c r="E858" s="182"/>
      <c r="F858" s="182"/>
      <c r="G858" s="182"/>
      <c r="H858" s="182"/>
      <c r="I858" s="182"/>
      <c r="J858" s="182"/>
      <c r="K858" s="11"/>
      <c r="L858" s="182"/>
      <c r="M858" s="182"/>
      <c r="N858" s="182"/>
      <c r="O858" s="182"/>
      <c r="P858" s="11"/>
      <c r="Q858" s="11"/>
      <c r="R858" s="11"/>
      <c r="S858" s="11"/>
      <c r="T858" s="11"/>
      <c r="U858" s="11"/>
      <c r="V858" s="11"/>
      <c r="W858" s="11"/>
      <c r="X858" s="11"/>
      <c r="Y858" s="11"/>
      <c r="Z858" s="11"/>
      <c r="AA858" s="11"/>
    </row>
    <row r="859" ht="15.75" customHeight="1">
      <c r="A859" s="182"/>
      <c r="B859" s="182"/>
      <c r="C859" s="182"/>
      <c r="D859" s="182"/>
      <c r="E859" s="182"/>
      <c r="F859" s="182"/>
      <c r="G859" s="182"/>
      <c r="H859" s="182"/>
      <c r="I859" s="182"/>
      <c r="J859" s="182"/>
      <c r="K859" s="11"/>
      <c r="L859" s="182"/>
      <c r="M859" s="182"/>
      <c r="N859" s="182"/>
      <c r="O859" s="182"/>
      <c r="P859" s="11"/>
      <c r="Q859" s="11"/>
      <c r="R859" s="11"/>
      <c r="S859" s="11"/>
      <c r="T859" s="11"/>
      <c r="U859" s="11"/>
      <c r="V859" s="11"/>
      <c r="W859" s="11"/>
      <c r="X859" s="11"/>
      <c r="Y859" s="11"/>
      <c r="Z859" s="11"/>
      <c r="AA859" s="11"/>
    </row>
    <row r="860" ht="15.75" customHeight="1">
      <c r="A860" s="182"/>
      <c r="B860" s="182"/>
      <c r="C860" s="182"/>
      <c r="D860" s="182"/>
      <c r="E860" s="182"/>
      <c r="F860" s="182"/>
      <c r="G860" s="182"/>
      <c r="H860" s="182"/>
      <c r="I860" s="182"/>
      <c r="J860" s="182"/>
      <c r="K860" s="11"/>
      <c r="L860" s="182"/>
      <c r="M860" s="182"/>
      <c r="N860" s="182"/>
      <c r="O860" s="182"/>
      <c r="P860" s="11"/>
      <c r="Q860" s="11"/>
      <c r="R860" s="11"/>
      <c r="S860" s="11"/>
      <c r="T860" s="11"/>
      <c r="U860" s="11"/>
      <c r="V860" s="11"/>
      <c r="W860" s="11"/>
      <c r="X860" s="11"/>
      <c r="Y860" s="11"/>
      <c r="Z860" s="11"/>
      <c r="AA860" s="11"/>
    </row>
    <row r="861" ht="15.75" customHeight="1">
      <c r="A861" s="182"/>
      <c r="B861" s="182"/>
      <c r="C861" s="182"/>
      <c r="D861" s="182"/>
      <c r="E861" s="182"/>
      <c r="F861" s="182"/>
      <c r="G861" s="182"/>
      <c r="H861" s="182"/>
      <c r="I861" s="182"/>
      <c r="J861" s="182"/>
      <c r="K861" s="11"/>
      <c r="L861" s="182"/>
      <c r="M861" s="182"/>
      <c r="N861" s="182"/>
      <c r="O861" s="182"/>
      <c r="P861" s="11"/>
      <c r="Q861" s="11"/>
      <c r="R861" s="11"/>
      <c r="S861" s="11"/>
      <c r="T861" s="11"/>
      <c r="U861" s="11"/>
      <c r="V861" s="11"/>
      <c r="W861" s="11"/>
      <c r="X861" s="11"/>
      <c r="Y861" s="11"/>
      <c r="Z861" s="11"/>
      <c r="AA861" s="11"/>
    </row>
    <row r="862" ht="15.75" customHeight="1">
      <c r="A862" s="182"/>
      <c r="B862" s="182"/>
      <c r="C862" s="182"/>
      <c r="D862" s="182"/>
      <c r="E862" s="182"/>
      <c r="F862" s="182"/>
      <c r="G862" s="182"/>
      <c r="H862" s="182"/>
      <c r="I862" s="182"/>
      <c r="J862" s="182"/>
      <c r="K862" s="11"/>
      <c r="L862" s="182"/>
      <c r="M862" s="182"/>
      <c r="N862" s="182"/>
      <c r="O862" s="182"/>
      <c r="P862" s="11"/>
      <c r="Q862" s="11"/>
      <c r="R862" s="11"/>
      <c r="S862" s="11"/>
      <c r="T862" s="11"/>
      <c r="U862" s="11"/>
      <c r="V862" s="11"/>
      <c r="W862" s="11"/>
      <c r="X862" s="11"/>
      <c r="Y862" s="11"/>
      <c r="Z862" s="11"/>
      <c r="AA862" s="11"/>
    </row>
    <row r="863" ht="15.75" customHeight="1">
      <c r="A863" s="182"/>
      <c r="B863" s="182"/>
      <c r="C863" s="182"/>
      <c r="D863" s="182"/>
      <c r="E863" s="182"/>
      <c r="F863" s="182"/>
      <c r="G863" s="182"/>
      <c r="H863" s="182"/>
      <c r="I863" s="182"/>
      <c r="J863" s="182"/>
      <c r="K863" s="11"/>
      <c r="L863" s="182"/>
      <c r="M863" s="182"/>
      <c r="N863" s="182"/>
      <c r="O863" s="182"/>
      <c r="P863" s="11"/>
      <c r="Q863" s="11"/>
      <c r="R863" s="11"/>
      <c r="S863" s="11"/>
      <c r="T863" s="11"/>
      <c r="U863" s="11"/>
      <c r="V863" s="11"/>
      <c r="W863" s="11"/>
      <c r="X863" s="11"/>
      <c r="Y863" s="11"/>
      <c r="Z863" s="11"/>
      <c r="AA863" s="11"/>
    </row>
    <row r="864" ht="15.75" customHeight="1">
      <c r="A864" s="182"/>
      <c r="B864" s="182"/>
      <c r="C864" s="182"/>
      <c r="D864" s="182"/>
      <c r="E864" s="182"/>
      <c r="F864" s="182"/>
      <c r="G864" s="182"/>
      <c r="H864" s="182"/>
      <c r="I864" s="182"/>
      <c r="J864" s="182"/>
      <c r="K864" s="11"/>
      <c r="L864" s="182"/>
      <c r="M864" s="182"/>
      <c r="N864" s="182"/>
      <c r="O864" s="182"/>
      <c r="P864" s="11"/>
      <c r="Q864" s="11"/>
      <c r="R864" s="11"/>
      <c r="S864" s="11"/>
      <c r="T864" s="11"/>
      <c r="U864" s="11"/>
      <c r="V864" s="11"/>
      <c r="W864" s="11"/>
      <c r="X864" s="11"/>
      <c r="Y864" s="11"/>
      <c r="Z864" s="11"/>
      <c r="AA864" s="11"/>
    </row>
    <row r="865" ht="15.75" customHeight="1">
      <c r="A865" s="182"/>
      <c r="B865" s="182"/>
      <c r="C865" s="182"/>
      <c r="D865" s="182"/>
      <c r="E865" s="182"/>
      <c r="F865" s="182"/>
      <c r="G865" s="182"/>
      <c r="H865" s="182"/>
      <c r="I865" s="182"/>
      <c r="J865" s="182"/>
      <c r="K865" s="11"/>
      <c r="L865" s="182"/>
      <c r="M865" s="182"/>
      <c r="N865" s="182"/>
      <c r="O865" s="182"/>
      <c r="P865" s="11"/>
      <c r="Q865" s="11"/>
      <c r="R865" s="11"/>
      <c r="S865" s="11"/>
      <c r="T865" s="11"/>
      <c r="U865" s="11"/>
      <c r="V865" s="11"/>
      <c r="W865" s="11"/>
      <c r="X865" s="11"/>
      <c r="Y865" s="11"/>
      <c r="Z865" s="11"/>
      <c r="AA865" s="11"/>
    </row>
    <row r="866" ht="15.75" customHeight="1">
      <c r="A866" s="182"/>
      <c r="B866" s="182"/>
      <c r="C866" s="182"/>
      <c r="D866" s="182"/>
      <c r="E866" s="182"/>
      <c r="F866" s="182"/>
      <c r="G866" s="182"/>
      <c r="H866" s="182"/>
      <c r="I866" s="182"/>
      <c r="J866" s="182"/>
      <c r="K866" s="11"/>
      <c r="L866" s="182"/>
      <c r="M866" s="182"/>
      <c r="N866" s="182"/>
      <c r="O866" s="182"/>
      <c r="P866" s="11"/>
      <c r="Q866" s="11"/>
      <c r="R866" s="11"/>
      <c r="S866" s="11"/>
      <c r="T866" s="11"/>
      <c r="U866" s="11"/>
      <c r="V866" s="11"/>
      <c r="W866" s="11"/>
      <c r="X866" s="11"/>
      <c r="Y866" s="11"/>
      <c r="Z866" s="11"/>
      <c r="AA866" s="11"/>
    </row>
    <row r="867" ht="15.75" customHeight="1">
      <c r="A867" s="182"/>
      <c r="B867" s="182"/>
      <c r="C867" s="182"/>
      <c r="D867" s="182"/>
      <c r="E867" s="182"/>
      <c r="F867" s="182"/>
      <c r="G867" s="182"/>
      <c r="H867" s="182"/>
      <c r="I867" s="182"/>
      <c r="J867" s="182"/>
      <c r="K867" s="11"/>
      <c r="L867" s="182"/>
      <c r="M867" s="182"/>
      <c r="N867" s="182"/>
      <c r="O867" s="182"/>
      <c r="P867" s="11"/>
      <c r="Q867" s="11"/>
      <c r="R867" s="11"/>
      <c r="S867" s="11"/>
      <c r="T867" s="11"/>
      <c r="U867" s="11"/>
      <c r="V867" s="11"/>
      <c r="W867" s="11"/>
      <c r="X867" s="11"/>
      <c r="Y867" s="11"/>
      <c r="Z867" s="11"/>
      <c r="AA867" s="11"/>
    </row>
    <row r="868" ht="15.75" customHeight="1">
      <c r="A868" s="182"/>
      <c r="B868" s="182"/>
      <c r="C868" s="182"/>
      <c r="D868" s="182"/>
      <c r="E868" s="182"/>
      <c r="F868" s="182"/>
      <c r="G868" s="182"/>
      <c r="H868" s="182"/>
      <c r="I868" s="182"/>
      <c r="J868" s="182"/>
      <c r="K868" s="11"/>
      <c r="L868" s="182"/>
      <c r="M868" s="182"/>
      <c r="N868" s="182"/>
      <c r="O868" s="182"/>
      <c r="P868" s="11"/>
      <c r="Q868" s="11"/>
      <c r="R868" s="11"/>
      <c r="S868" s="11"/>
      <c r="T868" s="11"/>
      <c r="U868" s="11"/>
      <c r="V868" s="11"/>
      <c r="W868" s="11"/>
      <c r="X868" s="11"/>
      <c r="Y868" s="11"/>
      <c r="Z868" s="11"/>
      <c r="AA868" s="11"/>
    </row>
    <row r="869" ht="15.75" customHeight="1">
      <c r="A869" s="182"/>
      <c r="B869" s="182"/>
      <c r="C869" s="182"/>
      <c r="D869" s="182"/>
      <c r="E869" s="182"/>
      <c r="F869" s="182"/>
      <c r="G869" s="182"/>
      <c r="H869" s="182"/>
      <c r="I869" s="182"/>
      <c r="J869" s="182"/>
      <c r="K869" s="11"/>
      <c r="L869" s="182"/>
      <c r="M869" s="182"/>
      <c r="N869" s="182"/>
      <c r="O869" s="182"/>
      <c r="P869" s="11"/>
      <c r="Q869" s="11"/>
      <c r="R869" s="11"/>
      <c r="S869" s="11"/>
      <c r="T869" s="11"/>
      <c r="U869" s="11"/>
      <c r="V869" s="11"/>
      <c r="W869" s="11"/>
      <c r="X869" s="11"/>
      <c r="Y869" s="11"/>
      <c r="Z869" s="11"/>
      <c r="AA869" s="11"/>
    </row>
    <row r="870" ht="15.75" customHeight="1">
      <c r="A870" s="182"/>
      <c r="B870" s="182"/>
      <c r="C870" s="182"/>
      <c r="D870" s="182"/>
      <c r="E870" s="182"/>
      <c r="F870" s="182"/>
      <c r="G870" s="182"/>
      <c r="H870" s="182"/>
      <c r="I870" s="182"/>
      <c r="J870" s="182"/>
      <c r="K870" s="11"/>
      <c r="L870" s="182"/>
      <c r="M870" s="182"/>
      <c r="N870" s="182"/>
      <c r="O870" s="182"/>
      <c r="P870" s="11"/>
      <c r="Q870" s="11"/>
      <c r="R870" s="11"/>
      <c r="S870" s="11"/>
      <c r="T870" s="11"/>
      <c r="U870" s="11"/>
      <c r="V870" s="11"/>
      <c r="W870" s="11"/>
      <c r="X870" s="11"/>
      <c r="Y870" s="11"/>
      <c r="Z870" s="11"/>
      <c r="AA870" s="11"/>
    </row>
    <row r="871" ht="15.75" customHeight="1">
      <c r="A871" s="182"/>
      <c r="B871" s="182"/>
      <c r="C871" s="182"/>
      <c r="D871" s="182"/>
      <c r="E871" s="182"/>
      <c r="F871" s="182"/>
      <c r="G871" s="182"/>
      <c r="H871" s="182"/>
      <c r="I871" s="182"/>
      <c r="J871" s="182"/>
      <c r="K871" s="11"/>
      <c r="L871" s="182"/>
      <c r="M871" s="182"/>
      <c r="N871" s="182"/>
      <c r="O871" s="182"/>
      <c r="P871" s="11"/>
      <c r="Q871" s="11"/>
      <c r="R871" s="11"/>
      <c r="S871" s="11"/>
      <c r="T871" s="11"/>
      <c r="U871" s="11"/>
      <c r="V871" s="11"/>
      <c r="W871" s="11"/>
      <c r="X871" s="11"/>
      <c r="Y871" s="11"/>
      <c r="Z871" s="11"/>
      <c r="AA871" s="11"/>
    </row>
    <row r="872" ht="15.75" customHeight="1">
      <c r="A872" s="182"/>
      <c r="B872" s="182"/>
      <c r="C872" s="182"/>
      <c r="D872" s="182"/>
      <c r="E872" s="182"/>
      <c r="F872" s="182"/>
      <c r="G872" s="182"/>
      <c r="H872" s="182"/>
      <c r="I872" s="182"/>
      <c r="J872" s="182"/>
      <c r="K872" s="11"/>
      <c r="L872" s="182"/>
      <c r="M872" s="182"/>
      <c r="N872" s="182"/>
      <c r="O872" s="182"/>
      <c r="P872" s="11"/>
      <c r="Q872" s="11"/>
      <c r="R872" s="11"/>
      <c r="S872" s="11"/>
      <c r="T872" s="11"/>
      <c r="U872" s="11"/>
      <c r="V872" s="11"/>
      <c r="W872" s="11"/>
      <c r="X872" s="11"/>
      <c r="Y872" s="11"/>
      <c r="Z872" s="11"/>
      <c r="AA872" s="11"/>
    </row>
    <row r="873" ht="15.75" customHeight="1">
      <c r="A873" s="182"/>
      <c r="B873" s="182"/>
      <c r="C873" s="182"/>
      <c r="D873" s="182"/>
      <c r="E873" s="182"/>
      <c r="F873" s="182"/>
      <c r="G873" s="182"/>
      <c r="H873" s="182"/>
      <c r="I873" s="182"/>
      <c r="J873" s="182"/>
      <c r="K873" s="11"/>
      <c r="L873" s="182"/>
      <c r="M873" s="182"/>
      <c r="N873" s="182"/>
      <c r="O873" s="182"/>
      <c r="P873" s="11"/>
      <c r="Q873" s="11"/>
      <c r="R873" s="11"/>
      <c r="S873" s="11"/>
      <c r="T873" s="11"/>
      <c r="U873" s="11"/>
      <c r="V873" s="11"/>
      <c r="W873" s="11"/>
      <c r="X873" s="11"/>
      <c r="Y873" s="11"/>
      <c r="Z873" s="11"/>
      <c r="AA873" s="11"/>
    </row>
    <row r="874" ht="15.75" customHeight="1">
      <c r="A874" s="182"/>
      <c r="B874" s="182"/>
      <c r="C874" s="182"/>
      <c r="D874" s="182"/>
      <c r="E874" s="182"/>
      <c r="F874" s="182"/>
      <c r="G874" s="182"/>
      <c r="H874" s="182"/>
      <c r="I874" s="182"/>
      <c r="J874" s="182"/>
      <c r="K874" s="11"/>
      <c r="L874" s="182"/>
      <c r="M874" s="182"/>
      <c r="N874" s="182"/>
      <c r="O874" s="182"/>
      <c r="P874" s="11"/>
      <c r="Q874" s="11"/>
      <c r="R874" s="11"/>
      <c r="S874" s="11"/>
      <c r="T874" s="11"/>
      <c r="U874" s="11"/>
      <c r="V874" s="11"/>
      <c r="W874" s="11"/>
      <c r="X874" s="11"/>
      <c r="Y874" s="11"/>
      <c r="Z874" s="11"/>
      <c r="AA874" s="11"/>
    </row>
    <row r="875" ht="15.75" customHeight="1">
      <c r="A875" s="182"/>
      <c r="B875" s="182"/>
      <c r="C875" s="182"/>
      <c r="D875" s="182"/>
      <c r="E875" s="182"/>
      <c r="F875" s="182"/>
      <c r="G875" s="182"/>
      <c r="H875" s="182"/>
      <c r="I875" s="182"/>
      <c r="J875" s="182"/>
      <c r="K875" s="11"/>
      <c r="L875" s="182"/>
      <c r="M875" s="182"/>
      <c r="N875" s="182"/>
      <c r="O875" s="182"/>
      <c r="P875" s="11"/>
      <c r="Q875" s="11"/>
      <c r="R875" s="11"/>
      <c r="S875" s="11"/>
      <c r="T875" s="11"/>
      <c r="U875" s="11"/>
      <c r="V875" s="11"/>
      <c r="W875" s="11"/>
      <c r="X875" s="11"/>
      <c r="Y875" s="11"/>
      <c r="Z875" s="11"/>
      <c r="AA875" s="11"/>
    </row>
    <row r="876" ht="15.75" customHeight="1">
      <c r="A876" s="182"/>
      <c r="B876" s="182"/>
      <c r="C876" s="182"/>
      <c r="D876" s="182"/>
      <c r="E876" s="182"/>
      <c r="F876" s="182"/>
      <c r="G876" s="182"/>
      <c r="H876" s="182"/>
      <c r="I876" s="182"/>
      <c r="J876" s="182"/>
      <c r="K876" s="11"/>
      <c r="L876" s="182"/>
      <c r="M876" s="182"/>
      <c r="N876" s="182"/>
      <c r="O876" s="182"/>
      <c r="P876" s="11"/>
      <c r="Q876" s="11"/>
      <c r="R876" s="11"/>
      <c r="S876" s="11"/>
      <c r="T876" s="11"/>
      <c r="U876" s="11"/>
      <c r="V876" s="11"/>
      <c r="W876" s="11"/>
      <c r="X876" s="11"/>
      <c r="Y876" s="11"/>
      <c r="Z876" s="11"/>
      <c r="AA876" s="11"/>
    </row>
    <row r="877" ht="15.75" customHeight="1">
      <c r="A877" s="182"/>
      <c r="B877" s="182"/>
      <c r="C877" s="182"/>
      <c r="D877" s="182"/>
      <c r="E877" s="182"/>
      <c r="F877" s="182"/>
      <c r="G877" s="182"/>
      <c r="H877" s="182"/>
      <c r="I877" s="182"/>
      <c r="J877" s="182"/>
      <c r="K877" s="11"/>
      <c r="L877" s="182"/>
      <c r="M877" s="182"/>
      <c r="N877" s="182"/>
      <c r="O877" s="182"/>
      <c r="P877" s="11"/>
      <c r="Q877" s="11"/>
      <c r="R877" s="11"/>
      <c r="S877" s="11"/>
      <c r="T877" s="11"/>
      <c r="U877" s="11"/>
      <c r="V877" s="11"/>
      <c r="W877" s="11"/>
      <c r="X877" s="11"/>
      <c r="Y877" s="11"/>
      <c r="Z877" s="11"/>
      <c r="AA877" s="11"/>
    </row>
    <row r="878" ht="15.75" customHeight="1">
      <c r="A878" s="182"/>
      <c r="B878" s="182"/>
      <c r="C878" s="182"/>
      <c r="D878" s="182"/>
      <c r="E878" s="182"/>
      <c r="F878" s="182"/>
      <c r="G878" s="182"/>
      <c r="H878" s="182"/>
      <c r="I878" s="182"/>
      <c r="J878" s="182"/>
      <c r="K878" s="11"/>
      <c r="L878" s="182"/>
      <c r="M878" s="182"/>
      <c r="N878" s="182"/>
      <c r="O878" s="182"/>
      <c r="P878" s="11"/>
      <c r="Q878" s="11"/>
      <c r="R878" s="11"/>
      <c r="S878" s="11"/>
      <c r="T878" s="11"/>
      <c r="U878" s="11"/>
      <c r="V878" s="11"/>
      <c r="W878" s="11"/>
      <c r="X878" s="11"/>
      <c r="Y878" s="11"/>
      <c r="Z878" s="11"/>
      <c r="AA878" s="11"/>
    </row>
    <row r="879" ht="15.75" customHeight="1">
      <c r="A879" s="182"/>
      <c r="B879" s="182"/>
      <c r="C879" s="182"/>
      <c r="D879" s="182"/>
      <c r="E879" s="182"/>
      <c r="F879" s="182"/>
      <c r="G879" s="182"/>
      <c r="H879" s="182"/>
      <c r="I879" s="182"/>
      <c r="J879" s="182"/>
      <c r="K879" s="11"/>
      <c r="L879" s="182"/>
      <c r="M879" s="182"/>
      <c r="N879" s="182"/>
      <c r="O879" s="182"/>
      <c r="P879" s="11"/>
      <c r="Q879" s="11"/>
      <c r="R879" s="11"/>
      <c r="S879" s="11"/>
      <c r="T879" s="11"/>
      <c r="U879" s="11"/>
      <c r="V879" s="11"/>
      <c r="W879" s="11"/>
      <c r="X879" s="11"/>
      <c r="Y879" s="11"/>
      <c r="Z879" s="11"/>
      <c r="AA879" s="11"/>
    </row>
    <row r="880" ht="15.75" customHeight="1">
      <c r="A880" s="182"/>
      <c r="B880" s="182"/>
      <c r="C880" s="182"/>
      <c r="D880" s="182"/>
      <c r="E880" s="182"/>
      <c r="F880" s="182"/>
      <c r="G880" s="182"/>
      <c r="H880" s="182"/>
      <c r="I880" s="182"/>
      <c r="J880" s="182"/>
      <c r="K880" s="11"/>
      <c r="L880" s="182"/>
      <c r="M880" s="182"/>
      <c r="N880" s="182"/>
      <c r="O880" s="182"/>
      <c r="P880" s="11"/>
      <c r="Q880" s="11"/>
      <c r="R880" s="11"/>
      <c r="S880" s="11"/>
      <c r="T880" s="11"/>
      <c r="U880" s="11"/>
      <c r="V880" s="11"/>
      <c r="W880" s="11"/>
      <c r="X880" s="11"/>
      <c r="Y880" s="11"/>
      <c r="Z880" s="11"/>
      <c r="AA880" s="11"/>
    </row>
    <row r="881" ht="15.75" customHeight="1">
      <c r="A881" s="182"/>
      <c r="B881" s="182"/>
      <c r="C881" s="182"/>
      <c r="D881" s="182"/>
      <c r="E881" s="182"/>
      <c r="F881" s="182"/>
      <c r="G881" s="182"/>
      <c r="H881" s="182"/>
      <c r="I881" s="182"/>
      <c r="J881" s="182"/>
      <c r="K881" s="11"/>
      <c r="L881" s="182"/>
      <c r="M881" s="182"/>
      <c r="N881" s="182"/>
      <c r="O881" s="182"/>
      <c r="P881" s="11"/>
      <c r="Q881" s="11"/>
      <c r="R881" s="11"/>
      <c r="S881" s="11"/>
      <c r="T881" s="11"/>
      <c r="U881" s="11"/>
      <c r="V881" s="11"/>
      <c r="W881" s="11"/>
      <c r="X881" s="11"/>
      <c r="Y881" s="11"/>
      <c r="Z881" s="11"/>
      <c r="AA881" s="11"/>
    </row>
    <row r="882" ht="15.75" customHeight="1">
      <c r="A882" s="182"/>
      <c r="B882" s="182"/>
      <c r="C882" s="182"/>
      <c r="D882" s="182"/>
      <c r="E882" s="182"/>
      <c r="F882" s="182"/>
      <c r="G882" s="182"/>
      <c r="H882" s="182"/>
      <c r="I882" s="182"/>
      <c r="J882" s="182"/>
      <c r="K882" s="11"/>
      <c r="L882" s="182"/>
      <c r="M882" s="182"/>
      <c r="N882" s="182"/>
      <c r="O882" s="182"/>
      <c r="P882" s="11"/>
      <c r="Q882" s="11"/>
      <c r="R882" s="11"/>
      <c r="S882" s="11"/>
      <c r="T882" s="11"/>
      <c r="U882" s="11"/>
      <c r="V882" s="11"/>
      <c r="W882" s="11"/>
      <c r="X882" s="11"/>
      <c r="Y882" s="11"/>
      <c r="Z882" s="11"/>
      <c r="AA882" s="11"/>
    </row>
    <row r="883" ht="15.75" customHeight="1">
      <c r="A883" s="182"/>
      <c r="B883" s="182"/>
      <c r="C883" s="182"/>
      <c r="D883" s="182"/>
      <c r="E883" s="182"/>
      <c r="F883" s="182"/>
      <c r="G883" s="182"/>
      <c r="H883" s="182"/>
      <c r="I883" s="182"/>
      <c r="J883" s="182"/>
      <c r="K883" s="11"/>
      <c r="L883" s="182"/>
      <c r="M883" s="182"/>
      <c r="N883" s="182"/>
      <c r="O883" s="182"/>
      <c r="P883" s="11"/>
      <c r="Q883" s="11"/>
      <c r="R883" s="11"/>
      <c r="S883" s="11"/>
      <c r="T883" s="11"/>
      <c r="U883" s="11"/>
      <c r="V883" s="11"/>
      <c r="W883" s="11"/>
      <c r="X883" s="11"/>
      <c r="Y883" s="11"/>
      <c r="Z883" s="11"/>
      <c r="AA883" s="11"/>
    </row>
    <row r="884" ht="15.75" customHeight="1">
      <c r="A884" s="182"/>
      <c r="B884" s="182"/>
      <c r="C884" s="182"/>
      <c r="D884" s="182"/>
      <c r="E884" s="182"/>
      <c r="F884" s="182"/>
      <c r="G884" s="182"/>
      <c r="H884" s="182"/>
      <c r="I884" s="182"/>
      <c r="J884" s="182"/>
      <c r="K884" s="11"/>
      <c r="L884" s="182"/>
      <c r="M884" s="182"/>
      <c r="N884" s="182"/>
      <c r="O884" s="182"/>
      <c r="P884" s="11"/>
      <c r="Q884" s="11"/>
      <c r="R884" s="11"/>
      <c r="S884" s="11"/>
      <c r="T884" s="11"/>
      <c r="U884" s="11"/>
      <c r="V884" s="11"/>
      <c r="W884" s="11"/>
      <c r="X884" s="11"/>
      <c r="Y884" s="11"/>
      <c r="Z884" s="11"/>
      <c r="AA884" s="11"/>
    </row>
    <row r="885" ht="15.75" customHeight="1">
      <c r="A885" s="182"/>
      <c r="B885" s="182"/>
      <c r="C885" s="182"/>
      <c r="D885" s="182"/>
      <c r="E885" s="182"/>
      <c r="F885" s="182"/>
      <c r="G885" s="182"/>
      <c r="H885" s="182"/>
      <c r="I885" s="182"/>
      <c r="J885" s="182"/>
      <c r="K885" s="11"/>
      <c r="L885" s="182"/>
      <c r="M885" s="182"/>
      <c r="N885" s="182"/>
      <c r="O885" s="182"/>
      <c r="P885" s="11"/>
      <c r="Q885" s="11"/>
      <c r="R885" s="11"/>
      <c r="S885" s="11"/>
      <c r="T885" s="11"/>
      <c r="U885" s="11"/>
      <c r="V885" s="11"/>
      <c r="W885" s="11"/>
      <c r="X885" s="11"/>
      <c r="Y885" s="11"/>
      <c r="Z885" s="11"/>
      <c r="AA885" s="11"/>
    </row>
    <row r="886" ht="15.75" customHeight="1">
      <c r="A886" s="182"/>
      <c r="B886" s="182"/>
      <c r="C886" s="182"/>
      <c r="D886" s="182"/>
      <c r="E886" s="182"/>
      <c r="F886" s="182"/>
      <c r="G886" s="182"/>
      <c r="H886" s="182"/>
      <c r="I886" s="182"/>
      <c r="J886" s="182"/>
      <c r="K886" s="11"/>
      <c r="L886" s="182"/>
      <c r="M886" s="182"/>
      <c r="N886" s="182"/>
      <c r="O886" s="182"/>
      <c r="P886" s="11"/>
      <c r="Q886" s="11"/>
      <c r="R886" s="11"/>
      <c r="S886" s="11"/>
      <c r="T886" s="11"/>
      <c r="U886" s="11"/>
      <c r="V886" s="11"/>
      <c r="W886" s="11"/>
      <c r="X886" s="11"/>
      <c r="Y886" s="11"/>
      <c r="Z886" s="11"/>
      <c r="AA886" s="11"/>
    </row>
    <row r="887" ht="15.75" customHeight="1">
      <c r="A887" s="182"/>
      <c r="B887" s="182"/>
      <c r="C887" s="182"/>
      <c r="D887" s="182"/>
      <c r="E887" s="182"/>
      <c r="F887" s="182"/>
      <c r="G887" s="182"/>
      <c r="H887" s="182"/>
      <c r="I887" s="182"/>
      <c r="J887" s="182"/>
      <c r="K887" s="11"/>
      <c r="L887" s="182"/>
      <c r="M887" s="182"/>
      <c r="N887" s="182"/>
      <c r="O887" s="182"/>
      <c r="P887" s="11"/>
      <c r="Q887" s="11"/>
      <c r="R887" s="11"/>
      <c r="S887" s="11"/>
      <c r="T887" s="11"/>
      <c r="U887" s="11"/>
      <c r="V887" s="11"/>
      <c r="W887" s="11"/>
      <c r="X887" s="11"/>
      <c r="Y887" s="11"/>
      <c r="Z887" s="11"/>
      <c r="AA887" s="11"/>
    </row>
    <row r="888" ht="15.75" customHeight="1">
      <c r="A888" s="182"/>
      <c r="B888" s="182"/>
      <c r="C888" s="182"/>
      <c r="D888" s="182"/>
      <c r="E888" s="182"/>
      <c r="F888" s="182"/>
      <c r="G888" s="182"/>
      <c r="H888" s="182"/>
      <c r="I888" s="182"/>
      <c r="J888" s="182"/>
      <c r="K888" s="11"/>
      <c r="L888" s="182"/>
      <c r="M888" s="182"/>
      <c r="N888" s="182"/>
      <c r="O888" s="182"/>
      <c r="P888" s="11"/>
      <c r="Q888" s="11"/>
      <c r="R888" s="11"/>
      <c r="S888" s="11"/>
      <c r="T888" s="11"/>
      <c r="U888" s="11"/>
      <c r="V888" s="11"/>
      <c r="W888" s="11"/>
      <c r="X888" s="11"/>
      <c r="Y888" s="11"/>
      <c r="Z888" s="11"/>
      <c r="AA888" s="11"/>
    </row>
    <row r="889" ht="15.75" customHeight="1">
      <c r="A889" s="182"/>
      <c r="B889" s="182"/>
      <c r="C889" s="182"/>
      <c r="D889" s="182"/>
      <c r="E889" s="182"/>
      <c r="F889" s="182"/>
      <c r="G889" s="182"/>
      <c r="H889" s="182"/>
      <c r="I889" s="182"/>
      <c r="J889" s="182"/>
      <c r="K889" s="11"/>
      <c r="L889" s="182"/>
      <c r="M889" s="182"/>
      <c r="N889" s="182"/>
      <c r="O889" s="182"/>
      <c r="P889" s="11"/>
      <c r="Q889" s="11"/>
      <c r="R889" s="11"/>
      <c r="S889" s="11"/>
      <c r="T889" s="11"/>
      <c r="U889" s="11"/>
      <c r="V889" s="11"/>
      <c r="W889" s="11"/>
      <c r="X889" s="11"/>
      <c r="Y889" s="11"/>
      <c r="Z889" s="11"/>
      <c r="AA889" s="11"/>
    </row>
    <row r="890" ht="15.75" customHeight="1">
      <c r="A890" s="182"/>
      <c r="B890" s="182"/>
      <c r="C890" s="182"/>
      <c r="D890" s="182"/>
      <c r="E890" s="182"/>
      <c r="F890" s="182"/>
      <c r="G890" s="182"/>
      <c r="H890" s="182"/>
      <c r="I890" s="182"/>
      <c r="J890" s="182"/>
      <c r="K890" s="11"/>
      <c r="L890" s="182"/>
      <c r="M890" s="182"/>
      <c r="N890" s="182"/>
      <c r="O890" s="182"/>
      <c r="P890" s="11"/>
      <c r="Q890" s="11"/>
      <c r="R890" s="11"/>
      <c r="S890" s="11"/>
      <c r="T890" s="11"/>
      <c r="U890" s="11"/>
      <c r="V890" s="11"/>
      <c r="W890" s="11"/>
      <c r="X890" s="11"/>
      <c r="Y890" s="11"/>
      <c r="Z890" s="11"/>
      <c r="AA890" s="11"/>
    </row>
    <row r="891" ht="15.75" customHeight="1">
      <c r="A891" s="182"/>
      <c r="B891" s="182"/>
      <c r="C891" s="182"/>
      <c r="D891" s="182"/>
      <c r="E891" s="182"/>
      <c r="F891" s="182"/>
      <c r="G891" s="182"/>
      <c r="H891" s="182"/>
      <c r="I891" s="182"/>
      <c r="J891" s="182"/>
      <c r="K891" s="11"/>
      <c r="L891" s="182"/>
      <c r="M891" s="182"/>
      <c r="N891" s="182"/>
      <c r="O891" s="182"/>
      <c r="P891" s="11"/>
      <c r="Q891" s="11"/>
      <c r="R891" s="11"/>
      <c r="S891" s="11"/>
      <c r="T891" s="11"/>
      <c r="U891" s="11"/>
      <c r="V891" s="11"/>
      <c r="W891" s="11"/>
      <c r="X891" s="11"/>
      <c r="Y891" s="11"/>
      <c r="Z891" s="11"/>
      <c r="AA891" s="11"/>
    </row>
    <row r="892" ht="15.75" customHeight="1">
      <c r="A892" s="182"/>
      <c r="B892" s="182"/>
      <c r="C892" s="182"/>
      <c r="D892" s="182"/>
      <c r="E892" s="182"/>
      <c r="F892" s="182"/>
      <c r="G892" s="182"/>
      <c r="H892" s="182"/>
      <c r="I892" s="182"/>
      <c r="J892" s="182"/>
      <c r="K892" s="11"/>
      <c r="L892" s="182"/>
      <c r="M892" s="182"/>
      <c r="N892" s="182"/>
      <c r="O892" s="182"/>
      <c r="P892" s="11"/>
      <c r="Q892" s="11"/>
      <c r="R892" s="11"/>
      <c r="S892" s="11"/>
      <c r="T892" s="11"/>
      <c r="U892" s="11"/>
      <c r="V892" s="11"/>
      <c r="W892" s="11"/>
      <c r="X892" s="11"/>
      <c r="Y892" s="11"/>
      <c r="Z892" s="11"/>
      <c r="AA892" s="11"/>
    </row>
    <row r="893" ht="15.75" customHeight="1">
      <c r="A893" s="182"/>
      <c r="B893" s="182"/>
      <c r="C893" s="182"/>
      <c r="D893" s="182"/>
      <c r="E893" s="182"/>
      <c r="F893" s="182"/>
      <c r="G893" s="182"/>
      <c r="H893" s="182"/>
      <c r="I893" s="182"/>
      <c r="J893" s="182"/>
      <c r="K893" s="11"/>
      <c r="L893" s="182"/>
      <c r="M893" s="182"/>
      <c r="N893" s="182"/>
      <c r="O893" s="182"/>
      <c r="P893" s="11"/>
      <c r="Q893" s="11"/>
      <c r="R893" s="11"/>
      <c r="S893" s="11"/>
      <c r="T893" s="11"/>
      <c r="U893" s="11"/>
      <c r="V893" s="11"/>
      <c r="W893" s="11"/>
      <c r="X893" s="11"/>
      <c r="Y893" s="11"/>
      <c r="Z893" s="11"/>
      <c r="AA893" s="11"/>
    </row>
    <row r="894" ht="15.75" customHeight="1">
      <c r="A894" s="182"/>
      <c r="B894" s="182"/>
      <c r="C894" s="182"/>
      <c r="D894" s="182"/>
      <c r="E894" s="182"/>
      <c r="F894" s="182"/>
      <c r="G894" s="182"/>
      <c r="H894" s="182"/>
      <c r="I894" s="182"/>
      <c r="J894" s="182"/>
      <c r="K894" s="11"/>
      <c r="L894" s="182"/>
      <c r="M894" s="182"/>
      <c r="N894" s="182"/>
      <c r="O894" s="182"/>
      <c r="P894" s="11"/>
      <c r="Q894" s="11"/>
      <c r="R894" s="11"/>
      <c r="S894" s="11"/>
      <c r="T894" s="11"/>
      <c r="U894" s="11"/>
      <c r="V894" s="11"/>
      <c r="W894" s="11"/>
      <c r="X894" s="11"/>
      <c r="Y894" s="11"/>
      <c r="Z894" s="11"/>
      <c r="AA894" s="11"/>
    </row>
    <row r="895" ht="15.75" customHeight="1">
      <c r="A895" s="182"/>
      <c r="B895" s="182"/>
      <c r="C895" s="182"/>
      <c r="D895" s="182"/>
      <c r="E895" s="182"/>
      <c r="F895" s="182"/>
      <c r="G895" s="182"/>
      <c r="H895" s="182"/>
      <c r="I895" s="182"/>
      <c r="J895" s="182"/>
      <c r="K895" s="11"/>
      <c r="L895" s="182"/>
      <c r="M895" s="182"/>
      <c r="N895" s="182"/>
      <c r="O895" s="182"/>
      <c r="P895" s="11"/>
      <c r="Q895" s="11"/>
      <c r="R895" s="11"/>
      <c r="S895" s="11"/>
      <c r="T895" s="11"/>
      <c r="U895" s="11"/>
      <c r="V895" s="11"/>
      <c r="W895" s="11"/>
      <c r="X895" s="11"/>
      <c r="Y895" s="11"/>
      <c r="Z895" s="11"/>
      <c r="AA895" s="11"/>
    </row>
    <row r="896" ht="15.75" customHeight="1">
      <c r="A896" s="182"/>
      <c r="B896" s="182"/>
      <c r="C896" s="182"/>
      <c r="D896" s="182"/>
      <c r="E896" s="182"/>
      <c r="F896" s="182"/>
      <c r="G896" s="182"/>
      <c r="H896" s="182"/>
      <c r="I896" s="182"/>
      <c r="J896" s="182"/>
      <c r="K896" s="11"/>
      <c r="L896" s="182"/>
      <c r="M896" s="182"/>
      <c r="N896" s="182"/>
      <c r="O896" s="182"/>
      <c r="P896" s="11"/>
      <c r="Q896" s="11"/>
      <c r="R896" s="11"/>
      <c r="S896" s="11"/>
      <c r="T896" s="11"/>
      <c r="U896" s="11"/>
      <c r="V896" s="11"/>
      <c r="W896" s="11"/>
      <c r="X896" s="11"/>
      <c r="Y896" s="11"/>
      <c r="Z896" s="11"/>
      <c r="AA896" s="11"/>
    </row>
    <row r="897" ht="15.75" customHeight="1">
      <c r="A897" s="182"/>
      <c r="B897" s="182"/>
      <c r="C897" s="182"/>
      <c r="D897" s="182"/>
      <c r="E897" s="182"/>
      <c r="F897" s="182"/>
      <c r="G897" s="182"/>
      <c r="H897" s="182"/>
      <c r="I897" s="182"/>
      <c r="J897" s="182"/>
      <c r="K897" s="11"/>
      <c r="L897" s="182"/>
      <c r="M897" s="182"/>
      <c r="N897" s="182"/>
      <c r="O897" s="182"/>
      <c r="P897" s="11"/>
      <c r="Q897" s="11"/>
      <c r="R897" s="11"/>
      <c r="S897" s="11"/>
      <c r="T897" s="11"/>
      <c r="U897" s="11"/>
      <c r="V897" s="11"/>
      <c r="W897" s="11"/>
      <c r="X897" s="11"/>
      <c r="Y897" s="11"/>
      <c r="Z897" s="11"/>
      <c r="AA897" s="11"/>
    </row>
    <row r="898" ht="15.75" customHeight="1">
      <c r="A898" s="182"/>
      <c r="B898" s="182"/>
      <c r="C898" s="182"/>
      <c r="D898" s="182"/>
      <c r="E898" s="182"/>
      <c r="F898" s="182"/>
      <c r="G898" s="182"/>
      <c r="H898" s="182"/>
      <c r="I898" s="182"/>
      <c r="J898" s="182"/>
      <c r="K898" s="11"/>
      <c r="L898" s="182"/>
      <c r="M898" s="182"/>
      <c r="N898" s="182"/>
      <c r="O898" s="182"/>
      <c r="P898" s="11"/>
      <c r="Q898" s="11"/>
      <c r="R898" s="11"/>
      <c r="S898" s="11"/>
      <c r="T898" s="11"/>
      <c r="U898" s="11"/>
      <c r="V898" s="11"/>
      <c r="W898" s="11"/>
      <c r="X898" s="11"/>
      <c r="Y898" s="11"/>
      <c r="Z898" s="11"/>
      <c r="AA898" s="11"/>
    </row>
    <row r="899" ht="15.75" customHeight="1">
      <c r="A899" s="182"/>
      <c r="B899" s="182"/>
      <c r="C899" s="182"/>
      <c r="D899" s="182"/>
      <c r="E899" s="182"/>
      <c r="F899" s="182"/>
      <c r="G899" s="182"/>
      <c r="H899" s="182"/>
      <c r="I899" s="182"/>
      <c r="J899" s="182"/>
      <c r="K899" s="11"/>
      <c r="L899" s="182"/>
      <c r="M899" s="182"/>
      <c r="N899" s="182"/>
      <c r="O899" s="182"/>
      <c r="P899" s="11"/>
      <c r="Q899" s="11"/>
      <c r="R899" s="11"/>
      <c r="S899" s="11"/>
      <c r="T899" s="11"/>
      <c r="U899" s="11"/>
      <c r="V899" s="11"/>
      <c r="W899" s="11"/>
      <c r="X899" s="11"/>
      <c r="Y899" s="11"/>
      <c r="Z899" s="11"/>
      <c r="AA899" s="11"/>
    </row>
    <row r="900" ht="15.75" customHeight="1">
      <c r="A900" s="182"/>
      <c r="B900" s="182"/>
      <c r="C900" s="182"/>
      <c r="D900" s="182"/>
      <c r="E900" s="182"/>
      <c r="F900" s="182"/>
      <c r="G900" s="182"/>
      <c r="H900" s="182"/>
      <c r="I900" s="182"/>
      <c r="J900" s="182"/>
      <c r="K900" s="11"/>
      <c r="L900" s="182"/>
      <c r="M900" s="182"/>
      <c r="N900" s="182"/>
      <c r="O900" s="182"/>
      <c r="P900" s="11"/>
      <c r="Q900" s="11"/>
      <c r="R900" s="11"/>
      <c r="S900" s="11"/>
      <c r="T900" s="11"/>
      <c r="U900" s="11"/>
      <c r="V900" s="11"/>
      <c r="W900" s="11"/>
      <c r="X900" s="11"/>
      <c r="Y900" s="11"/>
      <c r="Z900" s="11"/>
      <c r="AA900" s="11"/>
    </row>
    <row r="901" ht="15.75" customHeight="1">
      <c r="A901" s="182"/>
      <c r="B901" s="182"/>
      <c r="C901" s="182"/>
      <c r="D901" s="182"/>
      <c r="E901" s="182"/>
      <c r="F901" s="182"/>
      <c r="G901" s="182"/>
      <c r="H901" s="182"/>
      <c r="I901" s="182"/>
      <c r="J901" s="182"/>
      <c r="K901" s="11"/>
      <c r="L901" s="182"/>
      <c r="M901" s="182"/>
      <c r="N901" s="182"/>
      <c r="O901" s="182"/>
      <c r="P901" s="11"/>
      <c r="Q901" s="11"/>
      <c r="R901" s="11"/>
      <c r="S901" s="11"/>
      <c r="T901" s="11"/>
      <c r="U901" s="11"/>
      <c r="V901" s="11"/>
      <c r="W901" s="11"/>
      <c r="X901" s="11"/>
      <c r="Y901" s="11"/>
      <c r="Z901" s="11"/>
      <c r="AA901" s="11"/>
    </row>
    <row r="902" ht="15.75" customHeight="1">
      <c r="A902" s="182"/>
      <c r="B902" s="182"/>
      <c r="C902" s="182"/>
      <c r="D902" s="182"/>
      <c r="E902" s="182"/>
      <c r="F902" s="182"/>
      <c r="G902" s="182"/>
      <c r="H902" s="182"/>
      <c r="I902" s="182"/>
      <c r="J902" s="182"/>
      <c r="K902" s="11"/>
      <c r="L902" s="182"/>
      <c r="M902" s="182"/>
      <c r="N902" s="182"/>
      <c r="O902" s="182"/>
      <c r="P902" s="11"/>
      <c r="Q902" s="11"/>
      <c r="R902" s="11"/>
      <c r="S902" s="11"/>
      <c r="T902" s="11"/>
      <c r="U902" s="11"/>
      <c r="V902" s="11"/>
      <c r="W902" s="11"/>
      <c r="X902" s="11"/>
      <c r="Y902" s="11"/>
      <c r="Z902" s="11"/>
      <c r="AA902" s="11"/>
    </row>
    <row r="903" ht="15.75" customHeight="1">
      <c r="A903" s="182"/>
      <c r="B903" s="182"/>
      <c r="C903" s="182"/>
      <c r="D903" s="182"/>
      <c r="E903" s="182"/>
      <c r="F903" s="182"/>
      <c r="G903" s="182"/>
      <c r="H903" s="182"/>
      <c r="I903" s="182"/>
      <c r="J903" s="182"/>
      <c r="K903" s="11"/>
      <c r="L903" s="182"/>
      <c r="M903" s="182"/>
      <c r="N903" s="182"/>
      <c r="O903" s="182"/>
      <c r="P903" s="11"/>
      <c r="Q903" s="11"/>
      <c r="R903" s="11"/>
      <c r="S903" s="11"/>
      <c r="T903" s="11"/>
      <c r="U903" s="11"/>
      <c r="V903" s="11"/>
      <c r="W903" s="11"/>
      <c r="X903" s="11"/>
      <c r="Y903" s="11"/>
      <c r="Z903" s="11"/>
      <c r="AA903" s="11"/>
    </row>
    <row r="904" ht="15.75" customHeight="1">
      <c r="A904" s="182"/>
      <c r="B904" s="182"/>
      <c r="C904" s="182"/>
      <c r="D904" s="182"/>
      <c r="E904" s="182"/>
      <c r="F904" s="182"/>
      <c r="G904" s="182"/>
      <c r="H904" s="182"/>
      <c r="I904" s="182"/>
      <c r="J904" s="182"/>
      <c r="K904" s="11"/>
      <c r="L904" s="182"/>
      <c r="M904" s="182"/>
      <c r="N904" s="182"/>
      <c r="O904" s="182"/>
      <c r="P904" s="11"/>
      <c r="Q904" s="11"/>
      <c r="R904" s="11"/>
      <c r="S904" s="11"/>
      <c r="T904" s="11"/>
      <c r="U904" s="11"/>
      <c r="V904" s="11"/>
      <c r="W904" s="11"/>
      <c r="X904" s="11"/>
      <c r="Y904" s="11"/>
      <c r="Z904" s="11"/>
      <c r="AA904" s="11"/>
    </row>
    <row r="905" ht="15.75" customHeight="1">
      <c r="A905" s="182"/>
      <c r="B905" s="182"/>
      <c r="C905" s="182"/>
      <c r="D905" s="182"/>
      <c r="E905" s="182"/>
      <c r="F905" s="182"/>
      <c r="G905" s="182"/>
      <c r="H905" s="182"/>
      <c r="I905" s="182"/>
      <c r="J905" s="182"/>
      <c r="K905" s="11"/>
      <c r="L905" s="182"/>
      <c r="M905" s="182"/>
      <c r="N905" s="182"/>
      <c r="O905" s="182"/>
      <c r="P905" s="11"/>
      <c r="Q905" s="11"/>
      <c r="R905" s="11"/>
      <c r="S905" s="11"/>
      <c r="T905" s="11"/>
      <c r="U905" s="11"/>
      <c r="V905" s="11"/>
      <c r="W905" s="11"/>
      <c r="X905" s="11"/>
      <c r="Y905" s="11"/>
      <c r="Z905" s="11"/>
      <c r="AA905" s="11"/>
    </row>
    <row r="906" ht="15.75" customHeight="1">
      <c r="A906" s="182"/>
      <c r="B906" s="182"/>
      <c r="C906" s="182"/>
      <c r="D906" s="182"/>
      <c r="E906" s="182"/>
      <c r="F906" s="182"/>
      <c r="G906" s="182"/>
      <c r="H906" s="182"/>
      <c r="I906" s="182"/>
      <c r="J906" s="182"/>
      <c r="K906" s="11"/>
      <c r="L906" s="182"/>
      <c r="M906" s="182"/>
      <c r="N906" s="182"/>
      <c r="O906" s="182"/>
      <c r="P906" s="11"/>
      <c r="Q906" s="11"/>
      <c r="R906" s="11"/>
      <c r="S906" s="11"/>
      <c r="T906" s="11"/>
      <c r="U906" s="11"/>
      <c r="V906" s="11"/>
      <c r="W906" s="11"/>
      <c r="X906" s="11"/>
      <c r="Y906" s="11"/>
      <c r="Z906" s="11"/>
      <c r="AA906" s="11"/>
    </row>
    <row r="907" ht="15.75" customHeight="1">
      <c r="A907" s="182"/>
      <c r="B907" s="182"/>
      <c r="C907" s="182"/>
      <c r="D907" s="182"/>
      <c r="E907" s="182"/>
      <c r="F907" s="182"/>
      <c r="G907" s="182"/>
      <c r="H907" s="182"/>
      <c r="I907" s="182"/>
      <c r="J907" s="182"/>
      <c r="K907" s="11"/>
      <c r="L907" s="182"/>
      <c r="M907" s="182"/>
      <c r="N907" s="182"/>
      <c r="O907" s="182"/>
      <c r="P907" s="11"/>
      <c r="Q907" s="11"/>
      <c r="R907" s="11"/>
      <c r="S907" s="11"/>
      <c r="T907" s="11"/>
      <c r="U907" s="11"/>
      <c r="V907" s="11"/>
      <c r="W907" s="11"/>
      <c r="X907" s="11"/>
      <c r="Y907" s="11"/>
      <c r="Z907" s="11"/>
      <c r="AA907" s="11"/>
    </row>
    <row r="908" ht="15.75" customHeight="1">
      <c r="A908" s="182"/>
      <c r="B908" s="182"/>
      <c r="C908" s="182"/>
      <c r="D908" s="182"/>
      <c r="E908" s="182"/>
      <c r="F908" s="182"/>
      <c r="G908" s="182"/>
      <c r="H908" s="182"/>
      <c r="I908" s="182"/>
      <c r="J908" s="182"/>
      <c r="K908" s="11"/>
      <c r="L908" s="182"/>
      <c r="M908" s="182"/>
      <c r="N908" s="182"/>
      <c r="O908" s="182"/>
      <c r="P908" s="11"/>
      <c r="Q908" s="11"/>
      <c r="R908" s="11"/>
      <c r="S908" s="11"/>
      <c r="T908" s="11"/>
      <c r="U908" s="11"/>
      <c r="V908" s="11"/>
      <c r="W908" s="11"/>
      <c r="X908" s="11"/>
      <c r="Y908" s="11"/>
      <c r="Z908" s="11"/>
      <c r="AA908" s="11"/>
    </row>
    <row r="909" ht="15.75" customHeight="1">
      <c r="A909" s="182"/>
      <c r="B909" s="182"/>
      <c r="C909" s="182"/>
      <c r="D909" s="182"/>
      <c r="E909" s="182"/>
      <c r="F909" s="182"/>
      <c r="G909" s="182"/>
      <c r="H909" s="182"/>
      <c r="I909" s="182"/>
      <c r="J909" s="182"/>
      <c r="K909" s="11"/>
      <c r="L909" s="182"/>
      <c r="M909" s="182"/>
      <c r="N909" s="182"/>
      <c r="O909" s="182"/>
      <c r="P909" s="11"/>
      <c r="Q909" s="11"/>
      <c r="R909" s="11"/>
      <c r="S909" s="11"/>
      <c r="T909" s="11"/>
      <c r="U909" s="11"/>
      <c r="V909" s="11"/>
      <c r="W909" s="11"/>
      <c r="X909" s="11"/>
      <c r="Y909" s="11"/>
      <c r="Z909" s="11"/>
      <c r="AA909" s="11"/>
    </row>
    <row r="910" ht="15.75" customHeight="1">
      <c r="A910" s="182"/>
      <c r="B910" s="182"/>
      <c r="C910" s="182"/>
      <c r="D910" s="182"/>
      <c r="E910" s="182"/>
      <c r="F910" s="182"/>
      <c r="G910" s="182"/>
      <c r="H910" s="182"/>
      <c r="I910" s="182"/>
      <c r="J910" s="182"/>
      <c r="K910" s="11"/>
      <c r="L910" s="182"/>
      <c r="M910" s="182"/>
      <c r="N910" s="182"/>
      <c r="O910" s="182"/>
      <c r="P910" s="11"/>
      <c r="Q910" s="11"/>
      <c r="R910" s="11"/>
      <c r="S910" s="11"/>
      <c r="T910" s="11"/>
      <c r="U910" s="11"/>
      <c r="V910" s="11"/>
      <c r="W910" s="11"/>
      <c r="X910" s="11"/>
      <c r="Y910" s="11"/>
      <c r="Z910" s="11"/>
      <c r="AA910" s="11"/>
    </row>
    <row r="911" ht="15.75" customHeight="1">
      <c r="A911" s="182"/>
      <c r="B911" s="182"/>
      <c r="C911" s="182"/>
      <c r="D911" s="182"/>
      <c r="E911" s="182"/>
      <c r="F911" s="182"/>
      <c r="G911" s="182"/>
      <c r="H911" s="182"/>
      <c r="I911" s="182"/>
      <c r="J911" s="182"/>
      <c r="K911" s="11"/>
      <c r="L911" s="182"/>
      <c r="M911" s="182"/>
      <c r="N911" s="182"/>
      <c r="O911" s="182"/>
      <c r="P911" s="11"/>
      <c r="Q911" s="11"/>
      <c r="R911" s="11"/>
      <c r="S911" s="11"/>
      <c r="T911" s="11"/>
      <c r="U911" s="11"/>
      <c r="V911" s="11"/>
      <c r="W911" s="11"/>
      <c r="X911" s="11"/>
      <c r="Y911" s="11"/>
      <c r="Z911" s="11"/>
      <c r="AA911" s="11"/>
    </row>
    <row r="912" ht="15.75" customHeight="1">
      <c r="A912" s="182"/>
      <c r="B912" s="182"/>
      <c r="C912" s="182"/>
      <c r="D912" s="182"/>
      <c r="E912" s="182"/>
      <c r="F912" s="182"/>
      <c r="G912" s="182"/>
      <c r="H912" s="182"/>
      <c r="I912" s="182"/>
      <c r="J912" s="182"/>
      <c r="K912" s="11"/>
      <c r="L912" s="182"/>
      <c r="M912" s="182"/>
      <c r="N912" s="182"/>
      <c r="O912" s="182"/>
      <c r="P912" s="11"/>
      <c r="Q912" s="11"/>
      <c r="R912" s="11"/>
      <c r="S912" s="11"/>
      <c r="T912" s="11"/>
      <c r="U912" s="11"/>
      <c r="V912" s="11"/>
      <c r="W912" s="11"/>
      <c r="X912" s="11"/>
      <c r="Y912" s="11"/>
      <c r="Z912" s="11"/>
      <c r="AA912" s="11"/>
    </row>
    <row r="913" ht="15.75" customHeight="1">
      <c r="A913" s="182"/>
      <c r="B913" s="182"/>
      <c r="C913" s="182"/>
      <c r="D913" s="182"/>
      <c r="E913" s="182"/>
      <c r="F913" s="182"/>
      <c r="G913" s="182"/>
      <c r="H913" s="182"/>
      <c r="I913" s="182"/>
      <c r="J913" s="182"/>
      <c r="K913" s="11"/>
      <c r="L913" s="182"/>
      <c r="M913" s="182"/>
      <c r="N913" s="182"/>
      <c r="O913" s="182"/>
      <c r="P913" s="11"/>
      <c r="Q913" s="11"/>
      <c r="R913" s="11"/>
      <c r="S913" s="11"/>
      <c r="T913" s="11"/>
      <c r="U913" s="11"/>
      <c r="V913" s="11"/>
      <c r="W913" s="11"/>
      <c r="X913" s="11"/>
      <c r="Y913" s="11"/>
      <c r="Z913" s="11"/>
      <c r="AA913" s="11"/>
    </row>
    <row r="914" ht="15.75" customHeight="1">
      <c r="A914" s="182"/>
      <c r="B914" s="182"/>
      <c r="C914" s="182"/>
      <c r="D914" s="182"/>
      <c r="E914" s="182"/>
      <c r="F914" s="182"/>
      <c r="G914" s="182"/>
      <c r="H914" s="182"/>
      <c r="I914" s="182"/>
      <c r="J914" s="182"/>
      <c r="K914" s="11"/>
      <c r="L914" s="182"/>
      <c r="M914" s="182"/>
      <c r="N914" s="182"/>
      <c r="O914" s="182"/>
      <c r="P914" s="11"/>
      <c r="Q914" s="11"/>
      <c r="R914" s="11"/>
      <c r="S914" s="11"/>
      <c r="T914" s="11"/>
      <c r="U914" s="11"/>
      <c r="V914" s="11"/>
      <c r="W914" s="11"/>
      <c r="X914" s="11"/>
      <c r="Y914" s="11"/>
      <c r="Z914" s="11"/>
      <c r="AA914" s="11"/>
    </row>
    <row r="915" ht="15.75" customHeight="1">
      <c r="A915" s="182"/>
      <c r="B915" s="182"/>
      <c r="C915" s="182"/>
      <c r="D915" s="182"/>
      <c r="E915" s="182"/>
      <c r="F915" s="182"/>
      <c r="G915" s="182"/>
      <c r="H915" s="182"/>
      <c r="I915" s="182"/>
      <c r="J915" s="182"/>
      <c r="K915" s="11"/>
      <c r="L915" s="182"/>
      <c r="M915" s="182"/>
      <c r="N915" s="182"/>
      <c r="O915" s="182"/>
      <c r="P915" s="11"/>
      <c r="Q915" s="11"/>
      <c r="R915" s="11"/>
      <c r="S915" s="11"/>
      <c r="T915" s="11"/>
      <c r="U915" s="11"/>
      <c r="V915" s="11"/>
      <c r="W915" s="11"/>
      <c r="X915" s="11"/>
      <c r="Y915" s="11"/>
      <c r="Z915" s="11"/>
      <c r="AA915" s="11"/>
    </row>
    <row r="916" ht="15.75" customHeight="1">
      <c r="A916" s="182"/>
      <c r="B916" s="182"/>
      <c r="C916" s="182"/>
      <c r="D916" s="182"/>
      <c r="E916" s="182"/>
      <c r="F916" s="182"/>
      <c r="G916" s="182"/>
      <c r="H916" s="182"/>
      <c r="I916" s="182"/>
      <c r="J916" s="182"/>
      <c r="K916" s="11"/>
      <c r="L916" s="182"/>
      <c r="M916" s="182"/>
      <c r="N916" s="182"/>
      <c r="O916" s="182"/>
      <c r="P916" s="11"/>
      <c r="Q916" s="11"/>
      <c r="R916" s="11"/>
      <c r="S916" s="11"/>
      <c r="T916" s="11"/>
      <c r="U916" s="11"/>
      <c r="V916" s="11"/>
      <c r="W916" s="11"/>
      <c r="X916" s="11"/>
      <c r="Y916" s="11"/>
      <c r="Z916" s="11"/>
      <c r="AA916" s="11"/>
    </row>
    <row r="917" ht="15.75" customHeight="1">
      <c r="A917" s="182"/>
      <c r="B917" s="182"/>
      <c r="C917" s="182"/>
      <c r="D917" s="182"/>
      <c r="E917" s="182"/>
      <c r="F917" s="182"/>
      <c r="G917" s="182"/>
      <c r="H917" s="182"/>
      <c r="I917" s="182"/>
      <c r="J917" s="182"/>
      <c r="K917" s="11"/>
      <c r="L917" s="182"/>
      <c r="M917" s="182"/>
      <c r="N917" s="182"/>
      <c r="O917" s="182"/>
      <c r="P917" s="11"/>
      <c r="Q917" s="11"/>
      <c r="R917" s="11"/>
      <c r="S917" s="11"/>
      <c r="T917" s="11"/>
      <c r="U917" s="11"/>
      <c r="V917" s="11"/>
      <c r="W917" s="11"/>
      <c r="X917" s="11"/>
      <c r="Y917" s="11"/>
      <c r="Z917" s="11"/>
      <c r="AA917" s="11"/>
    </row>
    <row r="918" ht="15.75" customHeight="1">
      <c r="A918" s="182"/>
      <c r="B918" s="182"/>
      <c r="C918" s="182"/>
      <c r="D918" s="182"/>
      <c r="E918" s="182"/>
      <c r="F918" s="182"/>
      <c r="G918" s="182"/>
      <c r="H918" s="182"/>
      <c r="I918" s="182"/>
      <c r="J918" s="182"/>
      <c r="K918" s="11"/>
      <c r="L918" s="182"/>
      <c r="M918" s="182"/>
      <c r="N918" s="182"/>
      <c r="O918" s="182"/>
      <c r="P918" s="11"/>
      <c r="Q918" s="11"/>
      <c r="R918" s="11"/>
      <c r="S918" s="11"/>
      <c r="T918" s="11"/>
      <c r="U918" s="11"/>
      <c r="V918" s="11"/>
      <c r="W918" s="11"/>
      <c r="X918" s="11"/>
      <c r="Y918" s="11"/>
      <c r="Z918" s="11"/>
      <c r="AA918" s="11"/>
    </row>
    <row r="919" ht="15.75" customHeight="1">
      <c r="A919" s="182"/>
      <c r="B919" s="182"/>
      <c r="C919" s="182"/>
      <c r="D919" s="182"/>
      <c r="E919" s="182"/>
      <c r="F919" s="182"/>
      <c r="G919" s="182"/>
      <c r="H919" s="182"/>
      <c r="I919" s="182"/>
      <c r="J919" s="182"/>
      <c r="K919" s="11"/>
      <c r="L919" s="182"/>
      <c r="M919" s="182"/>
      <c r="N919" s="182"/>
      <c r="O919" s="182"/>
      <c r="P919" s="11"/>
      <c r="Q919" s="11"/>
      <c r="R919" s="11"/>
      <c r="S919" s="11"/>
      <c r="T919" s="11"/>
      <c r="U919" s="11"/>
      <c r="V919" s="11"/>
      <c r="W919" s="11"/>
      <c r="X919" s="11"/>
      <c r="Y919" s="11"/>
      <c r="Z919" s="11"/>
      <c r="AA919" s="11"/>
    </row>
    <row r="920" ht="15.75" customHeight="1">
      <c r="A920" s="182"/>
      <c r="B920" s="182"/>
      <c r="C920" s="182"/>
      <c r="D920" s="182"/>
      <c r="E920" s="182"/>
      <c r="F920" s="182"/>
      <c r="G920" s="182"/>
      <c r="H920" s="182"/>
      <c r="I920" s="182"/>
      <c r="J920" s="182"/>
      <c r="K920" s="11"/>
      <c r="L920" s="182"/>
      <c r="M920" s="182"/>
      <c r="N920" s="182"/>
      <c r="O920" s="182"/>
      <c r="P920" s="11"/>
      <c r="Q920" s="11"/>
      <c r="R920" s="11"/>
      <c r="S920" s="11"/>
      <c r="T920" s="11"/>
      <c r="U920" s="11"/>
      <c r="V920" s="11"/>
      <c r="W920" s="11"/>
      <c r="X920" s="11"/>
      <c r="Y920" s="11"/>
      <c r="Z920" s="11"/>
      <c r="AA920" s="11"/>
    </row>
    <row r="921" ht="15.75" customHeight="1">
      <c r="A921" s="182"/>
      <c r="B921" s="182"/>
      <c r="C921" s="182"/>
      <c r="D921" s="182"/>
      <c r="E921" s="182"/>
      <c r="F921" s="182"/>
      <c r="G921" s="182"/>
      <c r="H921" s="182"/>
      <c r="I921" s="182"/>
      <c r="J921" s="182"/>
      <c r="K921" s="11"/>
      <c r="L921" s="182"/>
      <c r="M921" s="182"/>
      <c r="N921" s="182"/>
      <c r="O921" s="182"/>
      <c r="P921" s="11"/>
      <c r="Q921" s="11"/>
      <c r="R921" s="11"/>
      <c r="S921" s="11"/>
      <c r="T921" s="11"/>
      <c r="U921" s="11"/>
      <c r="V921" s="11"/>
      <c r="W921" s="11"/>
      <c r="X921" s="11"/>
      <c r="Y921" s="11"/>
      <c r="Z921" s="11"/>
      <c r="AA921" s="11"/>
    </row>
    <row r="922" ht="15.75" customHeight="1">
      <c r="A922" s="182"/>
      <c r="B922" s="182"/>
      <c r="C922" s="182"/>
      <c r="D922" s="182"/>
      <c r="E922" s="182"/>
      <c r="F922" s="182"/>
      <c r="G922" s="182"/>
      <c r="H922" s="182"/>
      <c r="I922" s="182"/>
      <c r="J922" s="182"/>
      <c r="K922" s="11"/>
      <c r="L922" s="182"/>
      <c r="M922" s="182"/>
      <c r="N922" s="182"/>
      <c r="O922" s="182"/>
      <c r="P922" s="11"/>
      <c r="Q922" s="11"/>
      <c r="R922" s="11"/>
      <c r="S922" s="11"/>
      <c r="T922" s="11"/>
      <c r="U922" s="11"/>
      <c r="V922" s="11"/>
      <c r="W922" s="11"/>
      <c r="X922" s="11"/>
      <c r="Y922" s="11"/>
      <c r="Z922" s="11"/>
      <c r="AA922" s="11"/>
    </row>
    <row r="923" ht="15.75" customHeight="1">
      <c r="A923" s="182"/>
      <c r="B923" s="182"/>
      <c r="C923" s="182"/>
      <c r="D923" s="182"/>
      <c r="E923" s="182"/>
      <c r="F923" s="182"/>
      <c r="G923" s="182"/>
      <c r="H923" s="182"/>
      <c r="I923" s="182"/>
      <c r="J923" s="182"/>
      <c r="K923" s="11"/>
      <c r="L923" s="182"/>
      <c r="M923" s="182"/>
      <c r="N923" s="182"/>
      <c r="O923" s="182"/>
      <c r="P923" s="11"/>
      <c r="Q923" s="11"/>
      <c r="R923" s="11"/>
      <c r="S923" s="11"/>
      <c r="T923" s="11"/>
      <c r="U923" s="11"/>
      <c r="V923" s="11"/>
      <c r="W923" s="11"/>
      <c r="X923" s="11"/>
      <c r="Y923" s="11"/>
      <c r="Z923" s="11"/>
      <c r="AA923" s="11"/>
    </row>
    <row r="924" ht="15.75" customHeight="1">
      <c r="A924" s="182"/>
      <c r="B924" s="182"/>
      <c r="C924" s="182"/>
      <c r="D924" s="182"/>
      <c r="E924" s="182"/>
      <c r="F924" s="182"/>
      <c r="G924" s="182"/>
      <c r="H924" s="182"/>
      <c r="I924" s="182"/>
      <c r="J924" s="182"/>
      <c r="K924" s="11"/>
      <c r="L924" s="182"/>
      <c r="M924" s="182"/>
      <c r="N924" s="182"/>
      <c r="O924" s="182"/>
      <c r="P924" s="11"/>
      <c r="Q924" s="11"/>
      <c r="R924" s="11"/>
      <c r="S924" s="11"/>
      <c r="T924" s="11"/>
      <c r="U924" s="11"/>
      <c r="V924" s="11"/>
      <c r="W924" s="11"/>
      <c r="X924" s="11"/>
      <c r="Y924" s="11"/>
      <c r="Z924" s="11"/>
      <c r="AA924" s="11"/>
    </row>
    <row r="925" ht="15.75" customHeight="1">
      <c r="A925" s="182"/>
      <c r="B925" s="182"/>
      <c r="C925" s="182"/>
      <c r="D925" s="182"/>
      <c r="E925" s="182"/>
      <c r="F925" s="182"/>
      <c r="G925" s="182"/>
      <c r="H925" s="182"/>
      <c r="I925" s="182"/>
      <c r="J925" s="182"/>
      <c r="K925" s="11"/>
      <c r="L925" s="182"/>
      <c r="M925" s="182"/>
      <c r="N925" s="182"/>
      <c r="O925" s="182"/>
      <c r="P925" s="11"/>
      <c r="Q925" s="11"/>
      <c r="R925" s="11"/>
      <c r="S925" s="11"/>
      <c r="T925" s="11"/>
      <c r="U925" s="11"/>
      <c r="V925" s="11"/>
      <c r="W925" s="11"/>
      <c r="X925" s="11"/>
      <c r="Y925" s="11"/>
      <c r="Z925" s="11"/>
      <c r="AA925" s="11"/>
    </row>
    <row r="926" ht="15.75" customHeight="1">
      <c r="A926" s="182"/>
      <c r="B926" s="182"/>
      <c r="C926" s="182"/>
      <c r="D926" s="182"/>
      <c r="E926" s="182"/>
      <c r="F926" s="182"/>
      <c r="G926" s="182"/>
      <c r="H926" s="182"/>
      <c r="I926" s="182"/>
      <c r="J926" s="182"/>
      <c r="K926" s="11"/>
      <c r="L926" s="182"/>
      <c r="M926" s="182"/>
      <c r="N926" s="182"/>
      <c r="O926" s="182"/>
      <c r="P926" s="11"/>
      <c r="Q926" s="11"/>
      <c r="R926" s="11"/>
      <c r="S926" s="11"/>
      <c r="T926" s="11"/>
      <c r="U926" s="11"/>
      <c r="V926" s="11"/>
      <c r="W926" s="11"/>
      <c r="X926" s="11"/>
      <c r="Y926" s="11"/>
      <c r="Z926" s="11"/>
      <c r="AA926" s="11"/>
    </row>
    <row r="927" ht="15.75" customHeight="1">
      <c r="A927" s="182"/>
      <c r="B927" s="182"/>
      <c r="C927" s="182"/>
      <c r="D927" s="182"/>
      <c r="E927" s="182"/>
      <c r="F927" s="182"/>
      <c r="G927" s="182"/>
      <c r="H927" s="182"/>
      <c r="I927" s="182"/>
      <c r="J927" s="182"/>
      <c r="K927" s="11"/>
      <c r="L927" s="182"/>
      <c r="M927" s="182"/>
      <c r="N927" s="182"/>
      <c r="O927" s="182"/>
      <c r="P927" s="11"/>
      <c r="Q927" s="11"/>
      <c r="R927" s="11"/>
      <c r="S927" s="11"/>
      <c r="T927" s="11"/>
      <c r="U927" s="11"/>
      <c r="V927" s="11"/>
      <c r="W927" s="11"/>
      <c r="X927" s="11"/>
      <c r="Y927" s="11"/>
      <c r="Z927" s="11"/>
      <c r="AA927" s="11"/>
    </row>
    <row r="928" ht="15.75" customHeight="1">
      <c r="A928" s="182"/>
      <c r="B928" s="182"/>
      <c r="C928" s="182"/>
      <c r="D928" s="182"/>
      <c r="E928" s="182"/>
      <c r="F928" s="182"/>
      <c r="G928" s="182"/>
      <c r="H928" s="182"/>
      <c r="I928" s="182"/>
      <c r="J928" s="182"/>
      <c r="K928" s="11"/>
      <c r="L928" s="182"/>
      <c r="M928" s="182"/>
      <c r="N928" s="182"/>
      <c r="O928" s="182"/>
      <c r="P928" s="11"/>
      <c r="Q928" s="11"/>
      <c r="R928" s="11"/>
      <c r="S928" s="11"/>
      <c r="T928" s="11"/>
      <c r="U928" s="11"/>
      <c r="V928" s="11"/>
      <c r="W928" s="11"/>
      <c r="X928" s="11"/>
      <c r="Y928" s="11"/>
      <c r="Z928" s="11"/>
      <c r="AA928" s="11"/>
    </row>
    <row r="929" ht="15.75" customHeight="1">
      <c r="A929" s="182"/>
      <c r="B929" s="182"/>
      <c r="C929" s="182"/>
      <c r="D929" s="182"/>
      <c r="E929" s="182"/>
      <c r="F929" s="182"/>
      <c r="G929" s="182"/>
      <c r="H929" s="182"/>
      <c r="I929" s="182"/>
      <c r="J929" s="182"/>
      <c r="K929" s="11"/>
      <c r="L929" s="182"/>
      <c r="M929" s="182"/>
      <c r="N929" s="182"/>
      <c r="O929" s="182"/>
      <c r="P929" s="11"/>
      <c r="Q929" s="11"/>
      <c r="R929" s="11"/>
      <c r="S929" s="11"/>
      <c r="T929" s="11"/>
      <c r="U929" s="11"/>
      <c r="V929" s="11"/>
      <c r="W929" s="11"/>
      <c r="X929" s="11"/>
      <c r="Y929" s="11"/>
      <c r="Z929" s="11"/>
      <c r="AA929" s="11"/>
    </row>
    <row r="930" ht="15.75" customHeight="1">
      <c r="A930" s="182"/>
      <c r="B930" s="182"/>
      <c r="C930" s="182"/>
      <c r="D930" s="182"/>
      <c r="E930" s="182"/>
      <c r="F930" s="182"/>
      <c r="G930" s="182"/>
      <c r="H930" s="182"/>
      <c r="I930" s="182"/>
      <c r="J930" s="182"/>
      <c r="K930" s="11"/>
      <c r="L930" s="182"/>
      <c r="M930" s="182"/>
      <c r="N930" s="182"/>
      <c r="O930" s="182"/>
      <c r="P930" s="11"/>
      <c r="Q930" s="11"/>
      <c r="R930" s="11"/>
      <c r="S930" s="11"/>
      <c r="T930" s="11"/>
      <c r="U930" s="11"/>
      <c r="V930" s="11"/>
      <c r="W930" s="11"/>
      <c r="X930" s="11"/>
      <c r="Y930" s="11"/>
      <c r="Z930" s="11"/>
      <c r="AA930" s="11"/>
    </row>
    <row r="931" ht="15.75" customHeight="1">
      <c r="A931" s="182"/>
      <c r="B931" s="182"/>
      <c r="C931" s="182"/>
      <c r="D931" s="182"/>
      <c r="E931" s="182"/>
      <c r="F931" s="182"/>
      <c r="G931" s="182"/>
      <c r="H931" s="182"/>
      <c r="I931" s="182"/>
      <c r="J931" s="182"/>
      <c r="K931" s="11"/>
      <c r="L931" s="182"/>
      <c r="M931" s="182"/>
      <c r="N931" s="182"/>
      <c r="O931" s="182"/>
      <c r="P931" s="11"/>
      <c r="Q931" s="11"/>
      <c r="R931" s="11"/>
      <c r="S931" s="11"/>
      <c r="T931" s="11"/>
      <c r="U931" s="11"/>
      <c r="V931" s="11"/>
      <c r="W931" s="11"/>
      <c r="X931" s="11"/>
      <c r="Y931" s="11"/>
      <c r="Z931" s="11"/>
      <c r="AA931" s="11"/>
    </row>
    <row r="932" ht="15.75" customHeight="1">
      <c r="A932" s="182"/>
      <c r="B932" s="182"/>
      <c r="C932" s="182"/>
      <c r="D932" s="182"/>
      <c r="E932" s="182"/>
      <c r="F932" s="182"/>
      <c r="G932" s="182"/>
      <c r="H932" s="182"/>
      <c r="I932" s="182"/>
      <c r="J932" s="182"/>
      <c r="K932" s="11"/>
      <c r="L932" s="182"/>
      <c r="M932" s="182"/>
      <c r="N932" s="182"/>
      <c r="O932" s="182"/>
      <c r="P932" s="11"/>
      <c r="Q932" s="11"/>
      <c r="R932" s="11"/>
      <c r="S932" s="11"/>
      <c r="T932" s="11"/>
      <c r="U932" s="11"/>
      <c r="V932" s="11"/>
      <c r="W932" s="11"/>
      <c r="X932" s="11"/>
      <c r="Y932" s="11"/>
      <c r="Z932" s="11"/>
      <c r="AA932" s="11"/>
    </row>
    <row r="933" ht="15.75" customHeight="1">
      <c r="A933" s="182"/>
      <c r="B933" s="182"/>
      <c r="C933" s="182"/>
      <c r="D933" s="182"/>
      <c r="E933" s="182"/>
      <c r="F933" s="182"/>
      <c r="G933" s="182"/>
      <c r="H933" s="182"/>
      <c r="I933" s="182"/>
      <c r="J933" s="182"/>
      <c r="K933" s="11"/>
      <c r="L933" s="182"/>
      <c r="M933" s="182"/>
      <c r="N933" s="182"/>
      <c r="O933" s="182"/>
      <c r="P933" s="11"/>
      <c r="Q933" s="11"/>
      <c r="R933" s="11"/>
      <c r="S933" s="11"/>
      <c r="T933" s="11"/>
      <c r="U933" s="11"/>
      <c r="V933" s="11"/>
      <c r="W933" s="11"/>
      <c r="X933" s="11"/>
      <c r="Y933" s="11"/>
      <c r="Z933" s="11"/>
      <c r="AA933" s="11"/>
    </row>
    <row r="934" ht="15.75" customHeight="1">
      <c r="A934" s="182"/>
      <c r="B934" s="182"/>
      <c r="C934" s="182"/>
      <c r="D934" s="182"/>
      <c r="E934" s="182"/>
      <c r="F934" s="182"/>
      <c r="G934" s="182"/>
      <c r="H934" s="182"/>
      <c r="I934" s="182"/>
      <c r="J934" s="182"/>
      <c r="K934" s="11"/>
      <c r="L934" s="182"/>
      <c r="M934" s="182"/>
      <c r="N934" s="182"/>
      <c r="O934" s="182"/>
      <c r="P934" s="11"/>
      <c r="Q934" s="11"/>
      <c r="R934" s="11"/>
      <c r="S934" s="11"/>
      <c r="T934" s="11"/>
      <c r="U934" s="11"/>
      <c r="V934" s="11"/>
      <c r="W934" s="11"/>
      <c r="X934" s="11"/>
      <c r="Y934" s="11"/>
      <c r="Z934" s="11"/>
      <c r="AA934" s="11"/>
    </row>
    <row r="935" ht="15.75" customHeight="1">
      <c r="A935" s="182"/>
      <c r="B935" s="182"/>
      <c r="C935" s="182"/>
      <c r="D935" s="182"/>
      <c r="E935" s="182"/>
      <c r="F935" s="182"/>
      <c r="G935" s="182"/>
      <c r="H935" s="182"/>
      <c r="I935" s="182"/>
      <c r="J935" s="182"/>
      <c r="K935" s="11"/>
      <c r="L935" s="182"/>
      <c r="M935" s="182"/>
      <c r="N935" s="182"/>
      <c r="O935" s="182"/>
      <c r="P935" s="11"/>
      <c r="Q935" s="11"/>
      <c r="R935" s="11"/>
      <c r="S935" s="11"/>
      <c r="T935" s="11"/>
      <c r="U935" s="11"/>
      <c r="V935" s="11"/>
      <c r="W935" s="11"/>
      <c r="X935" s="11"/>
      <c r="Y935" s="11"/>
      <c r="Z935" s="11"/>
      <c r="AA935" s="11"/>
    </row>
    <row r="936" ht="15.75" customHeight="1">
      <c r="A936" s="182"/>
      <c r="B936" s="182"/>
      <c r="C936" s="182"/>
      <c r="D936" s="182"/>
      <c r="E936" s="182"/>
      <c r="F936" s="182"/>
      <c r="G936" s="182"/>
      <c r="H936" s="182"/>
      <c r="I936" s="182"/>
      <c r="J936" s="182"/>
      <c r="K936" s="11"/>
      <c r="L936" s="182"/>
      <c r="M936" s="182"/>
      <c r="N936" s="182"/>
      <c r="O936" s="182"/>
      <c r="P936" s="11"/>
      <c r="Q936" s="11"/>
      <c r="R936" s="11"/>
      <c r="S936" s="11"/>
      <c r="T936" s="11"/>
      <c r="U936" s="11"/>
      <c r="V936" s="11"/>
      <c r="W936" s="11"/>
      <c r="X936" s="11"/>
      <c r="Y936" s="11"/>
      <c r="Z936" s="11"/>
      <c r="AA936" s="11"/>
    </row>
    <row r="937" ht="15.75" customHeight="1">
      <c r="A937" s="182"/>
      <c r="B937" s="182"/>
      <c r="C937" s="182"/>
      <c r="D937" s="182"/>
      <c r="E937" s="182"/>
      <c r="F937" s="182"/>
      <c r="G937" s="182"/>
      <c r="H937" s="182"/>
      <c r="I937" s="182"/>
      <c r="J937" s="182"/>
      <c r="K937" s="11"/>
      <c r="L937" s="182"/>
      <c r="M937" s="182"/>
      <c r="N937" s="182"/>
      <c r="O937" s="182"/>
      <c r="P937" s="11"/>
      <c r="Q937" s="11"/>
      <c r="R937" s="11"/>
      <c r="S937" s="11"/>
      <c r="T937" s="11"/>
      <c r="U937" s="11"/>
      <c r="V937" s="11"/>
      <c r="W937" s="11"/>
      <c r="X937" s="11"/>
      <c r="Y937" s="11"/>
      <c r="Z937" s="11"/>
      <c r="AA937" s="11"/>
    </row>
    <row r="938" ht="15.75" customHeight="1">
      <c r="A938" s="182"/>
      <c r="B938" s="182"/>
      <c r="C938" s="182"/>
      <c r="D938" s="182"/>
      <c r="E938" s="182"/>
      <c r="F938" s="182"/>
      <c r="G938" s="182"/>
      <c r="H938" s="182"/>
      <c r="I938" s="182"/>
      <c r="J938" s="182"/>
      <c r="K938" s="11"/>
      <c r="L938" s="182"/>
      <c r="M938" s="182"/>
      <c r="N938" s="182"/>
      <c r="O938" s="182"/>
      <c r="P938" s="11"/>
      <c r="Q938" s="11"/>
      <c r="R938" s="11"/>
      <c r="S938" s="11"/>
      <c r="T938" s="11"/>
      <c r="U938" s="11"/>
      <c r="V938" s="11"/>
      <c r="W938" s="11"/>
      <c r="X938" s="11"/>
      <c r="Y938" s="11"/>
      <c r="Z938" s="11"/>
      <c r="AA938" s="11"/>
    </row>
    <row r="939" ht="15.75" customHeight="1">
      <c r="A939" s="182"/>
      <c r="B939" s="182"/>
      <c r="C939" s="182"/>
      <c r="D939" s="182"/>
      <c r="E939" s="182"/>
      <c r="F939" s="182"/>
      <c r="G939" s="182"/>
      <c r="H939" s="182"/>
      <c r="I939" s="182"/>
      <c r="J939" s="182"/>
      <c r="K939" s="11"/>
      <c r="L939" s="182"/>
      <c r="M939" s="182"/>
      <c r="N939" s="182"/>
      <c r="O939" s="182"/>
      <c r="P939" s="11"/>
      <c r="Q939" s="11"/>
      <c r="R939" s="11"/>
      <c r="S939" s="11"/>
      <c r="T939" s="11"/>
      <c r="U939" s="11"/>
      <c r="V939" s="11"/>
      <c r="W939" s="11"/>
      <c r="X939" s="11"/>
      <c r="Y939" s="11"/>
      <c r="Z939" s="11"/>
      <c r="AA939" s="11"/>
    </row>
    <row r="940" ht="15.75" customHeight="1">
      <c r="A940" s="182"/>
      <c r="B940" s="182"/>
      <c r="C940" s="182"/>
      <c r="D940" s="182"/>
      <c r="E940" s="182"/>
      <c r="F940" s="182"/>
      <c r="G940" s="182"/>
      <c r="H940" s="182"/>
      <c r="I940" s="182"/>
      <c r="J940" s="182"/>
      <c r="K940" s="11"/>
      <c r="L940" s="182"/>
      <c r="M940" s="182"/>
      <c r="N940" s="182"/>
      <c r="O940" s="182"/>
      <c r="P940" s="11"/>
      <c r="Q940" s="11"/>
      <c r="R940" s="11"/>
      <c r="S940" s="11"/>
      <c r="T940" s="11"/>
      <c r="U940" s="11"/>
      <c r="V940" s="11"/>
      <c r="W940" s="11"/>
      <c r="X940" s="11"/>
      <c r="Y940" s="11"/>
      <c r="Z940" s="11"/>
      <c r="AA940" s="11"/>
    </row>
    <row r="941" ht="15.75" customHeight="1">
      <c r="A941" s="182"/>
      <c r="B941" s="182"/>
      <c r="C941" s="182"/>
      <c r="D941" s="182"/>
      <c r="E941" s="182"/>
      <c r="F941" s="182"/>
      <c r="G941" s="182"/>
      <c r="H941" s="182"/>
      <c r="I941" s="182"/>
      <c r="J941" s="182"/>
      <c r="K941" s="11"/>
      <c r="L941" s="182"/>
      <c r="M941" s="182"/>
      <c r="N941" s="182"/>
      <c r="O941" s="182"/>
      <c r="P941" s="11"/>
      <c r="Q941" s="11"/>
      <c r="R941" s="11"/>
      <c r="S941" s="11"/>
      <c r="T941" s="11"/>
      <c r="U941" s="11"/>
      <c r="V941" s="11"/>
      <c r="W941" s="11"/>
      <c r="X941" s="11"/>
      <c r="Y941" s="11"/>
      <c r="Z941" s="11"/>
      <c r="AA941" s="11"/>
    </row>
    <row r="942" ht="15.75" customHeight="1">
      <c r="A942" s="182"/>
      <c r="B942" s="182"/>
      <c r="C942" s="182"/>
      <c r="D942" s="182"/>
      <c r="E942" s="182"/>
      <c r="F942" s="182"/>
      <c r="G942" s="182"/>
      <c r="H942" s="182"/>
      <c r="I942" s="182"/>
      <c r="J942" s="182"/>
      <c r="K942" s="11"/>
      <c r="L942" s="182"/>
      <c r="M942" s="182"/>
      <c r="N942" s="182"/>
      <c r="O942" s="182"/>
      <c r="P942" s="11"/>
      <c r="Q942" s="11"/>
      <c r="R942" s="11"/>
      <c r="S942" s="11"/>
      <c r="T942" s="11"/>
      <c r="U942" s="11"/>
      <c r="V942" s="11"/>
      <c r="W942" s="11"/>
      <c r="X942" s="11"/>
      <c r="Y942" s="11"/>
      <c r="Z942" s="11"/>
      <c r="AA942" s="11"/>
    </row>
    <row r="943" ht="15.75" customHeight="1">
      <c r="A943" s="182"/>
      <c r="B943" s="182"/>
      <c r="C943" s="182"/>
      <c r="D943" s="182"/>
      <c r="E943" s="182"/>
      <c r="F943" s="182"/>
      <c r="G943" s="182"/>
      <c r="H943" s="182"/>
      <c r="I943" s="182"/>
      <c r="J943" s="182"/>
      <c r="K943" s="11"/>
      <c r="L943" s="182"/>
      <c r="M943" s="182"/>
      <c r="N943" s="182"/>
      <c r="O943" s="182"/>
      <c r="P943" s="11"/>
      <c r="Q943" s="11"/>
      <c r="R943" s="11"/>
      <c r="S943" s="11"/>
      <c r="T943" s="11"/>
      <c r="U943" s="11"/>
      <c r="V943" s="11"/>
      <c r="W943" s="11"/>
      <c r="X943" s="11"/>
      <c r="Y943" s="11"/>
      <c r="Z943" s="11"/>
      <c r="AA943" s="11"/>
    </row>
    <row r="944" ht="15.75" customHeight="1">
      <c r="A944" s="182"/>
      <c r="B944" s="182"/>
      <c r="C944" s="182"/>
      <c r="D944" s="182"/>
      <c r="E944" s="182"/>
      <c r="F944" s="182"/>
      <c r="G944" s="182"/>
      <c r="H944" s="182"/>
      <c r="I944" s="182"/>
      <c r="J944" s="182"/>
      <c r="K944" s="11"/>
      <c r="L944" s="182"/>
      <c r="M944" s="182"/>
      <c r="N944" s="182"/>
      <c r="O944" s="182"/>
      <c r="P944" s="11"/>
      <c r="Q944" s="11"/>
      <c r="R944" s="11"/>
      <c r="S944" s="11"/>
      <c r="T944" s="11"/>
      <c r="U944" s="11"/>
      <c r="V944" s="11"/>
      <c r="W944" s="11"/>
      <c r="X944" s="11"/>
      <c r="Y944" s="11"/>
      <c r="Z944" s="11"/>
      <c r="AA944" s="11"/>
    </row>
    <row r="945" ht="15.75" customHeight="1">
      <c r="A945" s="182"/>
      <c r="B945" s="182"/>
      <c r="C945" s="182"/>
      <c r="D945" s="182"/>
      <c r="E945" s="182"/>
      <c r="F945" s="182"/>
      <c r="G945" s="182"/>
      <c r="H945" s="182"/>
      <c r="I945" s="182"/>
      <c r="J945" s="182"/>
      <c r="K945" s="11"/>
      <c r="L945" s="182"/>
      <c r="M945" s="182"/>
      <c r="N945" s="182"/>
      <c r="O945" s="182"/>
      <c r="P945" s="11"/>
      <c r="Q945" s="11"/>
      <c r="R945" s="11"/>
      <c r="S945" s="11"/>
      <c r="T945" s="11"/>
      <c r="U945" s="11"/>
      <c r="V945" s="11"/>
      <c r="W945" s="11"/>
      <c r="X945" s="11"/>
      <c r="Y945" s="11"/>
      <c r="Z945" s="11"/>
      <c r="AA945" s="11"/>
    </row>
    <row r="946" ht="15.75" customHeight="1">
      <c r="A946" s="182"/>
      <c r="B946" s="182"/>
      <c r="C946" s="182"/>
      <c r="D946" s="182"/>
      <c r="E946" s="182"/>
      <c r="F946" s="182"/>
      <c r="G946" s="182"/>
      <c r="H946" s="182"/>
      <c r="I946" s="182"/>
      <c r="J946" s="182"/>
      <c r="K946" s="11"/>
      <c r="L946" s="182"/>
      <c r="M946" s="182"/>
      <c r="N946" s="182"/>
      <c r="O946" s="182"/>
      <c r="P946" s="11"/>
      <c r="Q946" s="11"/>
      <c r="R946" s="11"/>
      <c r="S946" s="11"/>
      <c r="T946" s="11"/>
      <c r="U946" s="11"/>
      <c r="V946" s="11"/>
      <c r="W946" s="11"/>
      <c r="X946" s="11"/>
      <c r="Y946" s="11"/>
      <c r="Z946" s="11"/>
      <c r="AA946" s="11"/>
    </row>
    <row r="947" ht="15.75" customHeight="1">
      <c r="A947" s="182"/>
      <c r="B947" s="182"/>
      <c r="C947" s="182"/>
      <c r="D947" s="182"/>
      <c r="E947" s="182"/>
      <c r="F947" s="182"/>
      <c r="G947" s="182"/>
      <c r="H947" s="182"/>
      <c r="I947" s="182"/>
      <c r="J947" s="182"/>
      <c r="K947" s="11"/>
      <c r="L947" s="182"/>
      <c r="M947" s="182"/>
      <c r="N947" s="182"/>
      <c r="O947" s="182"/>
      <c r="P947" s="11"/>
      <c r="Q947" s="11"/>
      <c r="R947" s="11"/>
      <c r="S947" s="11"/>
      <c r="T947" s="11"/>
      <c r="U947" s="11"/>
      <c r="V947" s="11"/>
      <c r="W947" s="11"/>
      <c r="X947" s="11"/>
      <c r="Y947" s="11"/>
      <c r="Z947" s="11"/>
      <c r="AA947" s="11"/>
    </row>
    <row r="948" ht="15.75" customHeight="1">
      <c r="A948" s="182"/>
      <c r="B948" s="182"/>
      <c r="C948" s="182"/>
      <c r="D948" s="182"/>
      <c r="E948" s="182"/>
      <c r="F948" s="182"/>
      <c r="G948" s="182"/>
      <c r="H948" s="182"/>
      <c r="I948" s="182"/>
      <c r="J948" s="182"/>
      <c r="K948" s="11"/>
      <c r="L948" s="182"/>
      <c r="M948" s="182"/>
      <c r="N948" s="182"/>
      <c r="O948" s="182"/>
      <c r="P948" s="11"/>
      <c r="Q948" s="11"/>
      <c r="R948" s="11"/>
      <c r="S948" s="11"/>
      <c r="T948" s="11"/>
      <c r="U948" s="11"/>
      <c r="V948" s="11"/>
      <c r="W948" s="11"/>
      <c r="X948" s="11"/>
      <c r="Y948" s="11"/>
      <c r="Z948" s="11"/>
      <c r="AA948" s="11"/>
    </row>
    <row r="949" ht="15.75" customHeight="1">
      <c r="A949" s="182"/>
      <c r="B949" s="182"/>
      <c r="C949" s="182"/>
      <c r="D949" s="182"/>
      <c r="E949" s="182"/>
      <c r="F949" s="182"/>
      <c r="G949" s="182"/>
      <c r="H949" s="182"/>
      <c r="I949" s="182"/>
      <c r="J949" s="182"/>
      <c r="K949" s="11"/>
      <c r="L949" s="182"/>
      <c r="M949" s="182"/>
      <c r="N949" s="182"/>
      <c r="O949" s="182"/>
      <c r="P949" s="11"/>
      <c r="Q949" s="11"/>
      <c r="R949" s="11"/>
      <c r="S949" s="11"/>
      <c r="T949" s="11"/>
      <c r="U949" s="11"/>
      <c r="V949" s="11"/>
      <c r="W949" s="11"/>
      <c r="X949" s="11"/>
      <c r="Y949" s="11"/>
      <c r="Z949" s="11"/>
      <c r="AA949" s="11"/>
    </row>
    <row r="950" ht="15.75" customHeight="1">
      <c r="A950" s="182"/>
      <c r="B950" s="182"/>
      <c r="C950" s="182"/>
      <c r="D950" s="182"/>
      <c r="E950" s="182"/>
      <c r="F950" s="182"/>
      <c r="G950" s="182"/>
      <c r="H950" s="182"/>
      <c r="I950" s="182"/>
      <c r="J950" s="182"/>
      <c r="K950" s="11"/>
      <c r="L950" s="182"/>
      <c r="M950" s="182"/>
      <c r="N950" s="182"/>
      <c r="O950" s="182"/>
      <c r="P950" s="11"/>
      <c r="Q950" s="11"/>
      <c r="R950" s="11"/>
      <c r="S950" s="11"/>
      <c r="T950" s="11"/>
      <c r="U950" s="11"/>
      <c r="V950" s="11"/>
      <c r="W950" s="11"/>
      <c r="X950" s="11"/>
      <c r="Y950" s="11"/>
      <c r="Z950" s="11"/>
      <c r="AA950" s="11"/>
    </row>
    <row r="951" ht="15.75" customHeight="1">
      <c r="A951" s="182"/>
      <c r="B951" s="182"/>
      <c r="C951" s="182"/>
      <c r="D951" s="182"/>
      <c r="E951" s="182"/>
      <c r="F951" s="182"/>
      <c r="G951" s="182"/>
      <c r="H951" s="182"/>
      <c r="I951" s="182"/>
      <c r="J951" s="182"/>
      <c r="K951" s="11"/>
      <c r="L951" s="182"/>
      <c r="M951" s="182"/>
      <c r="N951" s="182"/>
      <c r="O951" s="182"/>
      <c r="P951" s="11"/>
      <c r="Q951" s="11"/>
      <c r="R951" s="11"/>
      <c r="S951" s="11"/>
      <c r="T951" s="11"/>
      <c r="U951" s="11"/>
      <c r="V951" s="11"/>
      <c r="W951" s="11"/>
      <c r="X951" s="11"/>
      <c r="Y951" s="11"/>
      <c r="Z951" s="11"/>
      <c r="AA951" s="11"/>
    </row>
    <row r="952" ht="15.75" customHeight="1">
      <c r="A952" s="182"/>
      <c r="B952" s="182"/>
      <c r="C952" s="182"/>
      <c r="D952" s="182"/>
      <c r="E952" s="182"/>
      <c r="F952" s="182"/>
      <c r="G952" s="182"/>
      <c r="H952" s="182"/>
      <c r="I952" s="182"/>
      <c r="J952" s="182"/>
      <c r="K952" s="11"/>
      <c r="L952" s="182"/>
      <c r="M952" s="182"/>
      <c r="N952" s="182"/>
      <c r="O952" s="182"/>
      <c r="P952" s="11"/>
      <c r="Q952" s="11"/>
      <c r="R952" s="11"/>
      <c r="S952" s="11"/>
      <c r="T952" s="11"/>
      <c r="U952" s="11"/>
      <c r="V952" s="11"/>
      <c r="W952" s="11"/>
      <c r="X952" s="11"/>
      <c r="Y952" s="11"/>
      <c r="Z952" s="11"/>
      <c r="AA952" s="11"/>
    </row>
    <row r="953" ht="15.75" customHeight="1">
      <c r="A953" s="182"/>
      <c r="B953" s="182"/>
      <c r="C953" s="182"/>
      <c r="D953" s="182"/>
      <c r="E953" s="182"/>
      <c r="F953" s="182"/>
      <c r="G953" s="182"/>
      <c r="H953" s="182"/>
      <c r="I953" s="182"/>
      <c r="J953" s="182"/>
      <c r="K953" s="11"/>
      <c r="L953" s="182"/>
      <c r="M953" s="182"/>
      <c r="N953" s="182"/>
      <c r="O953" s="182"/>
      <c r="P953" s="11"/>
      <c r="Q953" s="11"/>
      <c r="R953" s="11"/>
      <c r="S953" s="11"/>
      <c r="T953" s="11"/>
      <c r="U953" s="11"/>
      <c r="V953" s="11"/>
      <c r="W953" s="11"/>
      <c r="X953" s="11"/>
      <c r="Y953" s="11"/>
      <c r="Z953" s="11"/>
      <c r="AA953" s="11"/>
    </row>
    <row r="954" ht="15.75" customHeight="1">
      <c r="A954" s="182"/>
      <c r="B954" s="182"/>
      <c r="C954" s="182"/>
      <c r="D954" s="182"/>
      <c r="E954" s="182"/>
      <c r="F954" s="182"/>
      <c r="G954" s="182"/>
      <c r="H954" s="182"/>
      <c r="I954" s="182"/>
      <c r="J954" s="182"/>
      <c r="K954" s="11"/>
      <c r="L954" s="182"/>
      <c r="M954" s="182"/>
      <c r="N954" s="182"/>
      <c r="O954" s="182"/>
      <c r="P954" s="11"/>
      <c r="Q954" s="11"/>
      <c r="R954" s="11"/>
      <c r="S954" s="11"/>
      <c r="T954" s="11"/>
      <c r="U954" s="11"/>
      <c r="V954" s="11"/>
      <c r="W954" s="11"/>
      <c r="X954" s="11"/>
      <c r="Y954" s="11"/>
      <c r="Z954" s="11"/>
      <c r="AA954" s="11"/>
    </row>
    <row r="955" ht="15.75" customHeight="1">
      <c r="A955" s="182"/>
      <c r="B955" s="182"/>
      <c r="C955" s="182"/>
      <c r="D955" s="182"/>
      <c r="E955" s="182"/>
      <c r="F955" s="182"/>
      <c r="G955" s="182"/>
      <c r="H955" s="182"/>
      <c r="I955" s="182"/>
      <c r="J955" s="182"/>
      <c r="K955" s="11"/>
      <c r="L955" s="182"/>
      <c r="M955" s="182"/>
      <c r="N955" s="182"/>
      <c r="O955" s="182"/>
      <c r="P955" s="11"/>
      <c r="Q955" s="11"/>
      <c r="R955" s="11"/>
      <c r="S955" s="11"/>
      <c r="T955" s="11"/>
      <c r="U955" s="11"/>
      <c r="V955" s="11"/>
      <c r="W955" s="11"/>
      <c r="X955" s="11"/>
      <c r="Y955" s="11"/>
      <c r="Z955" s="11"/>
      <c r="AA955" s="11"/>
    </row>
    <row r="956" ht="15.75" customHeight="1">
      <c r="A956" s="182"/>
      <c r="B956" s="182"/>
      <c r="C956" s="182"/>
      <c r="D956" s="182"/>
      <c r="E956" s="182"/>
      <c r="F956" s="182"/>
      <c r="G956" s="182"/>
      <c r="H956" s="182"/>
      <c r="I956" s="182"/>
      <c r="J956" s="182"/>
      <c r="K956" s="11"/>
      <c r="L956" s="182"/>
      <c r="M956" s="182"/>
      <c r="N956" s="182"/>
      <c r="O956" s="182"/>
      <c r="P956" s="11"/>
      <c r="Q956" s="11"/>
      <c r="R956" s="11"/>
      <c r="S956" s="11"/>
      <c r="T956" s="11"/>
      <c r="U956" s="11"/>
      <c r="V956" s="11"/>
      <c r="W956" s="11"/>
      <c r="X956" s="11"/>
      <c r="Y956" s="11"/>
      <c r="Z956" s="11"/>
      <c r="AA956" s="11"/>
    </row>
    <row r="957" ht="15.75" customHeight="1">
      <c r="A957" s="182"/>
      <c r="B957" s="182"/>
      <c r="C957" s="182"/>
      <c r="D957" s="182"/>
      <c r="E957" s="182"/>
      <c r="F957" s="182"/>
      <c r="G957" s="182"/>
      <c r="H957" s="182"/>
      <c r="I957" s="182"/>
      <c r="J957" s="182"/>
      <c r="K957" s="11"/>
      <c r="L957" s="182"/>
      <c r="M957" s="182"/>
      <c r="N957" s="182"/>
      <c r="O957" s="182"/>
      <c r="P957" s="11"/>
      <c r="Q957" s="11"/>
      <c r="R957" s="11"/>
      <c r="S957" s="11"/>
      <c r="T957" s="11"/>
      <c r="U957" s="11"/>
      <c r="V957" s="11"/>
      <c r="W957" s="11"/>
      <c r="X957" s="11"/>
      <c r="Y957" s="11"/>
      <c r="Z957" s="11"/>
      <c r="AA957" s="11"/>
    </row>
    <row r="958" ht="15.75" customHeight="1">
      <c r="A958" s="182"/>
      <c r="B958" s="182"/>
      <c r="C958" s="182"/>
      <c r="D958" s="182"/>
      <c r="E958" s="182"/>
      <c r="F958" s="182"/>
      <c r="G958" s="182"/>
      <c r="H958" s="182"/>
      <c r="I958" s="182"/>
      <c r="J958" s="182"/>
      <c r="K958" s="11"/>
      <c r="L958" s="182"/>
      <c r="M958" s="182"/>
      <c r="N958" s="182"/>
      <c r="O958" s="182"/>
      <c r="P958" s="11"/>
      <c r="Q958" s="11"/>
      <c r="R958" s="11"/>
      <c r="S958" s="11"/>
      <c r="T958" s="11"/>
      <c r="U958" s="11"/>
      <c r="V958" s="11"/>
      <c r="W958" s="11"/>
      <c r="X958" s="11"/>
      <c r="Y958" s="11"/>
      <c r="Z958" s="11"/>
      <c r="AA958" s="11"/>
    </row>
    <row r="959" ht="15.75" customHeight="1">
      <c r="A959" s="182"/>
      <c r="B959" s="182"/>
      <c r="C959" s="182"/>
      <c r="D959" s="182"/>
      <c r="E959" s="182"/>
      <c r="F959" s="182"/>
      <c r="G959" s="182"/>
      <c r="H959" s="182"/>
      <c r="I959" s="182"/>
      <c r="J959" s="182"/>
      <c r="K959" s="11"/>
      <c r="L959" s="182"/>
      <c r="M959" s="182"/>
      <c r="N959" s="182"/>
      <c r="O959" s="182"/>
      <c r="P959" s="11"/>
      <c r="Q959" s="11"/>
      <c r="R959" s="11"/>
      <c r="S959" s="11"/>
      <c r="T959" s="11"/>
      <c r="U959" s="11"/>
      <c r="V959" s="11"/>
      <c r="W959" s="11"/>
      <c r="X959" s="11"/>
      <c r="Y959" s="11"/>
      <c r="Z959" s="11"/>
      <c r="AA959" s="11"/>
    </row>
    <row r="960" ht="15.75" customHeight="1">
      <c r="A960" s="182"/>
      <c r="B960" s="182"/>
      <c r="C960" s="182"/>
      <c r="D960" s="182"/>
      <c r="E960" s="182"/>
      <c r="F960" s="182"/>
      <c r="G960" s="182"/>
      <c r="H960" s="182"/>
      <c r="I960" s="182"/>
      <c r="J960" s="182"/>
      <c r="K960" s="11"/>
      <c r="L960" s="182"/>
      <c r="M960" s="182"/>
      <c r="N960" s="182"/>
      <c r="O960" s="182"/>
      <c r="P960" s="11"/>
      <c r="Q960" s="11"/>
      <c r="R960" s="11"/>
      <c r="S960" s="11"/>
      <c r="T960" s="11"/>
      <c r="U960" s="11"/>
      <c r="V960" s="11"/>
      <c r="W960" s="11"/>
      <c r="X960" s="11"/>
      <c r="Y960" s="11"/>
      <c r="Z960" s="11"/>
      <c r="AA960" s="11"/>
    </row>
    <row r="961" ht="15.75" customHeight="1">
      <c r="A961" s="182"/>
      <c r="B961" s="182"/>
      <c r="C961" s="182"/>
      <c r="D961" s="182"/>
      <c r="E961" s="182"/>
      <c r="F961" s="182"/>
      <c r="G961" s="182"/>
      <c r="H961" s="182"/>
      <c r="I961" s="182"/>
      <c r="J961" s="182"/>
      <c r="K961" s="11"/>
      <c r="L961" s="182"/>
      <c r="M961" s="182"/>
      <c r="N961" s="182"/>
      <c r="O961" s="182"/>
      <c r="P961" s="11"/>
      <c r="Q961" s="11"/>
      <c r="R961" s="11"/>
      <c r="S961" s="11"/>
      <c r="T961" s="11"/>
      <c r="U961" s="11"/>
      <c r="V961" s="11"/>
      <c r="W961" s="11"/>
      <c r="X961" s="11"/>
      <c r="Y961" s="11"/>
      <c r="Z961" s="11"/>
      <c r="AA961" s="11"/>
    </row>
    <row r="962" ht="15.75" customHeight="1">
      <c r="A962" s="182"/>
      <c r="B962" s="182"/>
      <c r="C962" s="182"/>
      <c r="D962" s="182"/>
      <c r="E962" s="182"/>
      <c r="F962" s="182"/>
      <c r="G962" s="182"/>
      <c r="H962" s="182"/>
      <c r="I962" s="182"/>
      <c r="J962" s="182"/>
      <c r="K962" s="11"/>
      <c r="L962" s="182"/>
      <c r="M962" s="182"/>
      <c r="N962" s="182"/>
      <c r="O962" s="182"/>
      <c r="P962" s="11"/>
      <c r="Q962" s="11"/>
      <c r="R962" s="11"/>
      <c r="S962" s="11"/>
      <c r="T962" s="11"/>
      <c r="U962" s="11"/>
      <c r="V962" s="11"/>
      <c r="W962" s="11"/>
      <c r="X962" s="11"/>
      <c r="Y962" s="11"/>
      <c r="Z962" s="11"/>
      <c r="AA962" s="11"/>
    </row>
    <row r="963" ht="15.75" customHeight="1">
      <c r="A963" s="182"/>
      <c r="B963" s="182"/>
      <c r="C963" s="182"/>
      <c r="D963" s="182"/>
      <c r="E963" s="182"/>
      <c r="F963" s="182"/>
      <c r="G963" s="182"/>
      <c r="H963" s="182"/>
      <c r="I963" s="182"/>
      <c r="J963" s="182"/>
      <c r="K963" s="11"/>
      <c r="L963" s="182"/>
      <c r="M963" s="182"/>
      <c r="N963" s="182"/>
      <c r="O963" s="182"/>
      <c r="P963" s="11"/>
      <c r="Q963" s="11"/>
      <c r="R963" s="11"/>
      <c r="S963" s="11"/>
      <c r="T963" s="11"/>
      <c r="U963" s="11"/>
      <c r="V963" s="11"/>
      <c r="W963" s="11"/>
      <c r="X963" s="11"/>
      <c r="Y963" s="11"/>
      <c r="Z963" s="11"/>
      <c r="AA963" s="11"/>
    </row>
    <row r="964" ht="15.75" customHeight="1">
      <c r="A964" s="182"/>
      <c r="B964" s="182"/>
      <c r="C964" s="182"/>
      <c r="D964" s="182"/>
      <c r="E964" s="182"/>
      <c r="F964" s="182"/>
      <c r="G964" s="182"/>
      <c r="H964" s="182"/>
      <c r="I964" s="182"/>
      <c r="J964" s="182"/>
      <c r="K964" s="11"/>
      <c r="L964" s="182"/>
      <c r="M964" s="182"/>
      <c r="N964" s="182"/>
      <c r="O964" s="182"/>
      <c r="P964" s="11"/>
      <c r="Q964" s="11"/>
      <c r="R964" s="11"/>
      <c r="S964" s="11"/>
      <c r="T964" s="11"/>
      <c r="U964" s="11"/>
      <c r="V964" s="11"/>
      <c r="W964" s="11"/>
      <c r="X964" s="11"/>
      <c r="Y964" s="11"/>
      <c r="Z964" s="11"/>
      <c r="AA964" s="11"/>
    </row>
    <row r="965" ht="15.75" customHeight="1">
      <c r="A965" s="182"/>
      <c r="B965" s="182"/>
      <c r="C965" s="182"/>
      <c r="D965" s="182"/>
      <c r="E965" s="182"/>
      <c r="F965" s="182"/>
      <c r="G965" s="182"/>
      <c r="H965" s="182"/>
      <c r="I965" s="182"/>
      <c r="J965" s="182"/>
      <c r="K965" s="11"/>
      <c r="L965" s="182"/>
      <c r="M965" s="182"/>
      <c r="N965" s="182"/>
      <c r="O965" s="182"/>
      <c r="P965" s="11"/>
      <c r="Q965" s="11"/>
      <c r="R965" s="11"/>
      <c r="S965" s="11"/>
      <c r="T965" s="11"/>
      <c r="U965" s="11"/>
      <c r="V965" s="11"/>
      <c r="W965" s="11"/>
      <c r="X965" s="11"/>
      <c r="Y965" s="11"/>
      <c r="Z965" s="11"/>
      <c r="AA965" s="11"/>
    </row>
    <row r="966" ht="15.75" customHeight="1">
      <c r="A966" s="182"/>
      <c r="B966" s="182"/>
      <c r="C966" s="182"/>
      <c r="D966" s="182"/>
      <c r="E966" s="182"/>
      <c r="F966" s="182"/>
      <c r="G966" s="182"/>
      <c r="H966" s="182"/>
      <c r="I966" s="182"/>
      <c r="J966" s="182"/>
      <c r="K966" s="11"/>
      <c r="L966" s="182"/>
      <c r="M966" s="182"/>
      <c r="N966" s="182"/>
      <c r="O966" s="182"/>
      <c r="P966" s="11"/>
      <c r="Q966" s="11"/>
      <c r="R966" s="11"/>
      <c r="S966" s="11"/>
      <c r="T966" s="11"/>
      <c r="U966" s="11"/>
      <c r="V966" s="11"/>
      <c r="W966" s="11"/>
      <c r="X966" s="11"/>
      <c r="Y966" s="11"/>
      <c r="Z966" s="11"/>
      <c r="AA966" s="11"/>
    </row>
    <row r="967" ht="15.75" customHeight="1">
      <c r="A967" s="182"/>
      <c r="B967" s="182"/>
      <c r="C967" s="182"/>
      <c r="D967" s="182"/>
      <c r="E967" s="182"/>
      <c r="F967" s="182"/>
      <c r="G967" s="182"/>
      <c r="H967" s="182"/>
      <c r="I967" s="182"/>
      <c r="J967" s="182"/>
      <c r="K967" s="11"/>
      <c r="L967" s="182"/>
      <c r="M967" s="182"/>
      <c r="N967" s="182"/>
      <c r="O967" s="182"/>
      <c r="P967" s="11"/>
      <c r="Q967" s="11"/>
      <c r="R967" s="11"/>
      <c r="S967" s="11"/>
      <c r="T967" s="11"/>
      <c r="U967" s="11"/>
      <c r="V967" s="11"/>
      <c r="W967" s="11"/>
      <c r="X967" s="11"/>
      <c r="Y967" s="11"/>
      <c r="Z967" s="11"/>
      <c r="AA967" s="11"/>
    </row>
    <row r="968" ht="15.75" customHeight="1">
      <c r="A968" s="182"/>
      <c r="B968" s="182"/>
      <c r="C968" s="182"/>
      <c r="D968" s="182"/>
      <c r="E968" s="182"/>
      <c r="F968" s="182"/>
      <c r="G968" s="182"/>
      <c r="H968" s="182"/>
      <c r="I968" s="182"/>
      <c r="J968" s="182"/>
      <c r="K968" s="11"/>
      <c r="L968" s="182"/>
      <c r="M968" s="182"/>
      <c r="N968" s="182"/>
      <c r="O968" s="182"/>
      <c r="P968" s="11"/>
      <c r="Q968" s="11"/>
      <c r="R968" s="11"/>
      <c r="S968" s="11"/>
      <c r="T968" s="11"/>
      <c r="U968" s="11"/>
      <c r="V968" s="11"/>
      <c r="W968" s="11"/>
      <c r="X968" s="11"/>
      <c r="Y968" s="11"/>
      <c r="Z968" s="11"/>
      <c r="AA968" s="11"/>
    </row>
    <row r="969" ht="15.75" customHeight="1">
      <c r="A969" s="182"/>
      <c r="B969" s="182"/>
      <c r="C969" s="182"/>
      <c r="D969" s="182"/>
      <c r="E969" s="182"/>
      <c r="F969" s="182"/>
      <c r="G969" s="182"/>
      <c r="H969" s="182"/>
      <c r="I969" s="182"/>
      <c r="J969" s="182"/>
      <c r="K969" s="11"/>
      <c r="L969" s="182"/>
      <c r="M969" s="182"/>
      <c r="N969" s="182"/>
      <c r="O969" s="182"/>
      <c r="P969" s="11"/>
      <c r="Q969" s="11"/>
      <c r="R969" s="11"/>
      <c r="S969" s="11"/>
      <c r="T969" s="11"/>
      <c r="U969" s="11"/>
      <c r="V969" s="11"/>
      <c r="W969" s="11"/>
      <c r="X969" s="11"/>
      <c r="Y969" s="11"/>
      <c r="Z969" s="11"/>
      <c r="AA969" s="11"/>
    </row>
    <row r="970" ht="15.75" customHeight="1">
      <c r="A970" s="182"/>
      <c r="B970" s="182"/>
      <c r="C970" s="182"/>
      <c r="D970" s="182"/>
      <c r="E970" s="182"/>
      <c r="F970" s="182"/>
      <c r="G970" s="182"/>
      <c r="H970" s="182"/>
      <c r="I970" s="182"/>
      <c r="J970" s="182"/>
      <c r="K970" s="11"/>
      <c r="L970" s="182"/>
      <c r="M970" s="182"/>
      <c r="N970" s="182"/>
      <c r="O970" s="182"/>
      <c r="P970" s="11"/>
      <c r="Q970" s="11"/>
      <c r="R970" s="11"/>
      <c r="S970" s="11"/>
      <c r="T970" s="11"/>
      <c r="U970" s="11"/>
      <c r="V970" s="11"/>
      <c r="W970" s="11"/>
      <c r="X970" s="11"/>
      <c r="Y970" s="11"/>
      <c r="Z970" s="11"/>
      <c r="AA970" s="11"/>
    </row>
    <row r="971" ht="15.75" customHeight="1">
      <c r="A971" s="182"/>
      <c r="B971" s="182"/>
      <c r="C971" s="182"/>
      <c r="D971" s="182"/>
      <c r="E971" s="182"/>
      <c r="F971" s="182"/>
      <c r="G971" s="182"/>
      <c r="H971" s="182"/>
      <c r="I971" s="182"/>
      <c r="J971" s="182"/>
      <c r="K971" s="11"/>
      <c r="L971" s="182"/>
      <c r="M971" s="182"/>
      <c r="N971" s="182"/>
      <c r="O971" s="182"/>
      <c r="P971" s="11"/>
      <c r="Q971" s="11"/>
      <c r="R971" s="11"/>
      <c r="S971" s="11"/>
      <c r="T971" s="11"/>
      <c r="U971" s="11"/>
      <c r="V971" s="11"/>
      <c r="W971" s="11"/>
      <c r="X971" s="11"/>
      <c r="Y971" s="11"/>
      <c r="Z971" s="11"/>
      <c r="AA971" s="11"/>
    </row>
    <row r="972" ht="15.75" customHeight="1">
      <c r="A972" s="182"/>
      <c r="B972" s="182"/>
      <c r="C972" s="182"/>
      <c r="D972" s="182"/>
      <c r="E972" s="182"/>
      <c r="F972" s="182"/>
      <c r="G972" s="182"/>
      <c r="H972" s="182"/>
      <c r="I972" s="182"/>
      <c r="J972" s="182"/>
      <c r="K972" s="11"/>
      <c r="L972" s="182"/>
      <c r="M972" s="182"/>
      <c r="N972" s="182"/>
      <c r="O972" s="182"/>
      <c r="P972" s="11"/>
      <c r="Q972" s="11"/>
      <c r="R972" s="11"/>
      <c r="S972" s="11"/>
      <c r="T972" s="11"/>
      <c r="U972" s="11"/>
      <c r="V972" s="11"/>
      <c r="W972" s="11"/>
      <c r="X972" s="11"/>
      <c r="Y972" s="11"/>
      <c r="Z972" s="11"/>
      <c r="AA972" s="11"/>
    </row>
    <row r="973" ht="15.75" customHeight="1">
      <c r="A973" s="182"/>
      <c r="B973" s="182"/>
      <c r="C973" s="182"/>
      <c r="D973" s="182"/>
      <c r="E973" s="182"/>
      <c r="F973" s="182"/>
      <c r="G973" s="182"/>
      <c r="H973" s="182"/>
      <c r="I973" s="182"/>
      <c r="J973" s="182"/>
      <c r="K973" s="11"/>
      <c r="L973" s="182"/>
      <c r="M973" s="182"/>
      <c r="N973" s="182"/>
      <c r="O973" s="182"/>
      <c r="P973" s="11"/>
      <c r="Q973" s="11"/>
      <c r="R973" s="11"/>
      <c r="S973" s="11"/>
      <c r="T973" s="11"/>
      <c r="U973" s="11"/>
      <c r="V973" s="11"/>
      <c r="W973" s="11"/>
      <c r="X973" s="11"/>
      <c r="Y973" s="11"/>
      <c r="Z973" s="11"/>
      <c r="AA973" s="11"/>
    </row>
    <row r="974" ht="15.75" customHeight="1">
      <c r="A974" s="182"/>
      <c r="B974" s="182"/>
      <c r="C974" s="182"/>
      <c r="D974" s="182"/>
      <c r="E974" s="182"/>
      <c r="F974" s="182"/>
      <c r="G974" s="182"/>
      <c r="H974" s="182"/>
      <c r="I974" s="182"/>
      <c r="J974" s="182"/>
      <c r="K974" s="11"/>
      <c r="L974" s="182"/>
      <c r="M974" s="182"/>
      <c r="N974" s="182"/>
      <c r="O974" s="182"/>
      <c r="P974" s="11"/>
      <c r="Q974" s="11"/>
      <c r="R974" s="11"/>
      <c r="S974" s="11"/>
      <c r="T974" s="11"/>
      <c r="U974" s="11"/>
      <c r="V974" s="11"/>
      <c r="W974" s="11"/>
      <c r="X974" s="11"/>
      <c r="Y974" s="11"/>
      <c r="Z974" s="11"/>
      <c r="AA974" s="11"/>
    </row>
    <row r="975" ht="15.75" customHeight="1">
      <c r="A975" s="182"/>
      <c r="B975" s="182"/>
      <c r="C975" s="182"/>
      <c r="D975" s="182"/>
      <c r="E975" s="182"/>
      <c r="F975" s="182"/>
      <c r="G975" s="182"/>
      <c r="H975" s="182"/>
      <c r="I975" s="182"/>
      <c r="J975" s="182"/>
      <c r="K975" s="11"/>
      <c r="L975" s="182"/>
      <c r="M975" s="182"/>
      <c r="N975" s="182"/>
      <c r="O975" s="182"/>
      <c r="P975" s="11"/>
      <c r="Q975" s="11"/>
      <c r="R975" s="11"/>
      <c r="S975" s="11"/>
      <c r="T975" s="11"/>
      <c r="U975" s="11"/>
      <c r="V975" s="11"/>
      <c r="W975" s="11"/>
      <c r="X975" s="11"/>
      <c r="Y975" s="11"/>
      <c r="Z975" s="11"/>
      <c r="AA975" s="11"/>
    </row>
    <row r="976" ht="15.75" customHeight="1">
      <c r="A976" s="182"/>
      <c r="B976" s="182"/>
      <c r="C976" s="182"/>
      <c r="D976" s="182"/>
      <c r="E976" s="182"/>
      <c r="F976" s="182"/>
      <c r="G976" s="182"/>
      <c r="H976" s="182"/>
      <c r="I976" s="182"/>
      <c r="J976" s="182"/>
      <c r="K976" s="11"/>
      <c r="L976" s="182"/>
      <c r="M976" s="182"/>
      <c r="N976" s="182"/>
      <c r="O976" s="182"/>
      <c r="P976" s="11"/>
      <c r="Q976" s="11"/>
      <c r="R976" s="11"/>
      <c r="S976" s="11"/>
      <c r="T976" s="11"/>
      <c r="U976" s="11"/>
      <c r="V976" s="11"/>
      <c r="W976" s="11"/>
      <c r="X976" s="11"/>
      <c r="Y976" s="11"/>
      <c r="Z976" s="11"/>
      <c r="AA976" s="11"/>
    </row>
    <row r="977" ht="15.75" customHeight="1">
      <c r="A977" s="182"/>
      <c r="B977" s="182"/>
      <c r="C977" s="182"/>
      <c r="D977" s="182"/>
      <c r="E977" s="182"/>
      <c r="F977" s="182"/>
      <c r="G977" s="182"/>
      <c r="H977" s="182"/>
      <c r="I977" s="182"/>
      <c r="J977" s="182"/>
      <c r="K977" s="11"/>
      <c r="L977" s="182"/>
      <c r="M977" s="182"/>
      <c r="N977" s="182"/>
      <c r="O977" s="182"/>
      <c r="P977" s="11"/>
      <c r="Q977" s="11"/>
      <c r="R977" s="11"/>
      <c r="S977" s="11"/>
      <c r="T977" s="11"/>
      <c r="U977" s="11"/>
      <c r="V977" s="11"/>
      <c r="W977" s="11"/>
      <c r="X977" s="11"/>
      <c r="Y977" s="11"/>
      <c r="Z977" s="11"/>
      <c r="AA977" s="11"/>
    </row>
    <row r="978" ht="15.75" customHeight="1">
      <c r="A978" s="182"/>
      <c r="B978" s="182"/>
      <c r="C978" s="182"/>
      <c r="D978" s="182"/>
      <c r="E978" s="182"/>
      <c r="F978" s="182"/>
      <c r="G978" s="182"/>
      <c r="H978" s="182"/>
      <c r="I978" s="182"/>
      <c r="J978" s="182"/>
      <c r="K978" s="11"/>
      <c r="L978" s="182"/>
      <c r="M978" s="182"/>
      <c r="N978" s="182"/>
      <c r="O978" s="182"/>
      <c r="P978" s="11"/>
      <c r="Q978" s="11"/>
      <c r="R978" s="11"/>
      <c r="S978" s="11"/>
      <c r="T978" s="11"/>
      <c r="U978" s="11"/>
      <c r="V978" s="11"/>
      <c r="W978" s="11"/>
      <c r="X978" s="11"/>
      <c r="Y978" s="11"/>
      <c r="Z978" s="11"/>
      <c r="AA978" s="11"/>
    </row>
    <row r="979" ht="15.75" customHeight="1">
      <c r="A979" s="182"/>
      <c r="B979" s="182"/>
      <c r="C979" s="182"/>
      <c r="D979" s="182"/>
      <c r="E979" s="182"/>
      <c r="F979" s="182"/>
      <c r="G979" s="182"/>
      <c r="H979" s="182"/>
      <c r="I979" s="182"/>
      <c r="J979" s="182"/>
      <c r="K979" s="11"/>
      <c r="L979" s="182"/>
      <c r="M979" s="182"/>
      <c r="N979" s="182"/>
      <c r="O979" s="182"/>
      <c r="P979" s="11"/>
      <c r="Q979" s="11"/>
      <c r="R979" s="11"/>
      <c r="S979" s="11"/>
      <c r="T979" s="11"/>
      <c r="U979" s="11"/>
      <c r="V979" s="11"/>
      <c r="W979" s="11"/>
      <c r="X979" s="11"/>
      <c r="Y979" s="11"/>
      <c r="Z979" s="11"/>
      <c r="AA979" s="11"/>
    </row>
    <row r="980" ht="15.75" customHeight="1">
      <c r="A980" s="182"/>
      <c r="B980" s="182"/>
      <c r="C980" s="182"/>
      <c r="D980" s="182"/>
      <c r="E980" s="182"/>
      <c r="F980" s="182"/>
      <c r="G980" s="182"/>
      <c r="H980" s="182"/>
      <c r="I980" s="182"/>
      <c r="J980" s="182"/>
      <c r="K980" s="11"/>
      <c r="L980" s="182"/>
      <c r="M980" s="182"/>
      <c r="N980" s="182"/>
      <c r="O980" s="182"/>
      <c r="P980" s="11"/>
      <c r="Q980" s="11"/>
      <c r="R980" s="11"/>
      <c r="S980" s="11"/>
      <c r="T980" s="11"/>
      <c r="U980" s="11"/>
      <c r="V980" s="11"/>
      <c r="W980" s="11"/>
      <c r="X980" s="11"/>
      <c r="Y980" s="11"/>
      <c r="Z980" s="11"/>
      <c r="AA980" s="11"/>
    </row>
    <row r="981" ht="15.75" customHeight="1">
      <c r="A981" s="182"/>
      <c r="B981" s="182"/>
      <c r="C981" s="182"/>
      <c r="D981" s="182"/>
      <c r="E981" s="182"/>
      <c r="F981" s="182"/>
      <c r="G981" s="182"/>
      <c r="H981" s="182"/>
      <c r="I981" s="182"/>
      <c r="J981" s="182"/>
      <c r="K981" s="11"/>
      <c r="L981" s="182"/>
      <c r="M981" s="182"/>
      <c r="N981" s="182"/>
      <c r="O981" s="182"/>
      <c r="P981" s="11"/>
      <c r="Q981" s="11"/>
      <c r="R981" s="11"/>
      <c r="S981" s="11"/>
      <c r="T981" s="11"/>
      <c r="U981" s="11"/>
      <c r="V981" s="11"/>
      <c r="W981" s="11"/>
      <c r="X981" s="11"/>
      <c r="Y981" s="11"/>
      <c r="Z981" s="11"/>
      <c r="AA981" s="11"/>
    </row>
    <row r="982" ht="15.75" customHeight="1">
      <c r="A982" s="182"/>
      <c r="B982" s="182"/>
      <c r="C982" s="182"/>
      <c r="D982" s="182"/>
      <c r="E982" s="182"/>
      <c r="F982" s="182"/>
      <c r="G982" s="182"/>
      <c r="H982" s="182"/>
      <c r="I982" s="182"/>
      <c r="J982" s="182"/>
      <c r="K982" s="11"/>
      <c r="L982" s="182"/>
      <c r="M982" s="182"/>
      <c r="N982" s="182"/>
      <c r="O982" s="182"/>
      <c r="P982" s="11"/>
      <c r="Q982" s="11"/>
      <c r="R982" s="11"/>
      <c r="S982" s="11"/>
      <c r="T982" s="11"/>
      <c r="U982" s="11"/>
      <c r="V982" s="11"/>
      <c r="W982" s="11"/>
      <c r="X982" s="11"/>
      <c r="Y982" s="11"/>
      <c r="Z982" s="11"/>
      <c r="AA982" s="11"/>
    </row>
    <row r="983" ht="15.75" customHeight="1">
      <c r="A983" s="182"/>
      <c r="B983" s="182"/>
      <c r="C983" s="182"/>
      <c r="D983" s="182"/>
      <c r="E983" s="182"/>
      <c r="F983" s="182"/>
      <c r="G983" s="182"/>
      <c r="H983" s="182"/>
      <c r="I983" s="182"/>
      <c r="J983" s="182"/>
      <c r="K983" s="11"/>
      <c r="L983" s="182"/>
      <c r="M983" s="182"/>
      <c r="N983" s="182"/>
      <c r="O983" s="182"/>
      <c r="P983" s="11"/>
      <c r="Q983" s="11"/>
      <c r="R983" s="11"/>
      <c r="S983" s="11"/>
      <c r="T983" s="11"/>
      <c r="U983" s="11"/>
      <c r="V983" s="11"/>
      <c r="W983" s="11"/>
      <c r="X983" s="11"/>
      <c r="Y983" s="11"/>
      <c r="Z983" s="11"/>
      <c r="AA983" s="11"/>
    </row>
    <row r="984" ht="15.75" customHeight="1">
      <c r="A984" s="182"/>
      <c r="B984" s="182"/>
      <c r="C984" s="182"/>
      <c r="D984" s="182"/>
      <c r="E984" s="182"/>
      <c r="F984" s="182"/>
      <c r="G984" s="182"/>
      <c r="H984" s="182"/>
      <c r="I984" s="182"/>
      <c r="J984" s="182"/>
      <c r="K984" s="11"/>
      <c r="L984" s="182"/>
      <c r="M984" s="182"/>
      <c r="N984" s="182"/>
      <c r="O984" s="182"/>
      <c r="P984" s="11"/>
      <c r="Q984" s="11"/>
      <c r="R984" s="11"/>
      <c r="S984" s="11"/>
      <c r="T984" s="11"/>
      <c r="U984" s="11"/>
      <c r="V984" s="11"/>
      <c r="W984" s="11"/>
      <c r="X984" s="11"/>
      <c r="Y984" s="11"/>
      <c r="Z984" s="11"/>
      <c r="AA984" s="11"/>
    </row>
    <row r="985" ht="15.75" customHeight="1">
      <c r="A985" s="182"/>
      <c r="B985" s="182"/>
      <c r="C985" s="182"/>
      <c r="D985" s="182"/>
      <c r="E985" s="182"/>
      <c r="F985" s="182"/>
      <c r="G985" s="182"/>
      <c r="H985" s="182"/>
      <c r="I985" s="182"/>
      <c r="J985" s="182"/>
      <c r="K985" s="11"/>
      <c r="L985" s="182"/>
      <c r="M985" s="182"/>
      <c r="N985" s="182"/>
      <c r="O985" s="182"/>
      <c r="P985" s="11"/>
      <c r="Q985" s="11"/>
      <c r="R985" s="11"/>
      <c r="S985" s="11"/>
      <c r="T985" s="11"/>
      <c r="U985" s="11"/>
      <c r="V985" s="11"/>
      <c r="W985" s="11"/>
      <c r="X985" s="11"/>
      <c r="Y985" s="11"/>
      <c r="Z985" s="11"/>
      <c r="AA985" s="11"/>
    </row>
    <row r="986" ht="15.75" customHeight="1">
      <c r="A986" s="182"/>
      <c r="B986" s="182"/>
      <c r="C986" s="182"/>
      <c r="D986" s="182"/>
      <c r="E986" s="182"/>
      <c r="F986" s="182"/>
      <c r="G986" s="182"/>
      <c r="H986" s="182"/>
      <c r="I986" s="182"/>
      <c r="J986" s="182"/>
      <c r="K986" s="11"/>
      <c r="L986" s="182"/>
      <c r="M986" s="182"/>
      <c r="N986" s="182"/>
      <c r="O986" s="182"/>
      <c r="P986" s="11"/>
      <c r="Q986" s="11"/>
      <c r="R986" s="11"/>
      <c r="S986" s="11"/>
      <c r="T986" s="11"/>
      <c r="U986" s="11"/>
      <c r="V986" s="11"/>
      <c r="W986" s="11"/>
      <c r="X986" s="11"/>
      <c r="Y986" s="11"/>
      <c r="Z986" s="11"/>
      <c r="AA986" s="11"/>
    </row>
    <row r="987" ht="15.75" customHeight="1">
      <c r="A987" s="182"/>
      <c r="B987" s="182"/>
      <c r="C987" s="182"/>
      <c r="D987" s="182"/>
      <c r="E987" s="182"/>
      <c r="F987" s="182"/>
      <c r="G987" s="182"/>
      <c r="H987" s="182"/>
      <c r="I987" s="182"/>
      <c r="J987" s="182"/>
      <c r="K987" s="11"/>
      <c r="L987" s="182"/>
      <c r="M987" s="182"/>
      <c r="N987" s="182"/>
      <c r="O987" s="182"/>
      <c r="P987" s="11"/>
      <c r="Q987" s="11"/>
      <c r="R987" s="11"/>
      <c r="S987" s="11"/>
      <c r="T987" s="11"/>
      <c r="U987" s="11"/>
      <c r="V987" s="11"/>
      <c r="W987" s="11"/>
      <c r="X987" s="11"/>
      <c r="Y987" s="11"/>
      <c r="Z987" s="11"/>
      <c r="AA987" s="11"/>
    </row>
    <row r="988" ht="15.75" customHeight="1">
      <c r="A988" s="182"/>
      <c r="B988" s="182"/>
      <c r="C988" s="182"/>
      <c r="D988" s="182"/>
      <c r="E988" s="182"/>
      <c r="F988" s="182"/>
      <c r="G988" s="182"/>
      <c r="H988" s="182"/>
      <c r="I988" s="182"/>
      <c r="J988" s="182"/>
      <c r="K988" s="11"/>
      <c r="L988" s="182"/>
      <c r="M988" s="182"/>
      <c r="N988" s="182"/>
      <c r="O988" s="182"/>
      <c r="P988" s="11"/>
      <c r="Q988" s="11"/>
      <c r="R988" s="11"/>
      <c r="S988" s="11"/>
      <c r="T988" s="11"/>
      <c r="U988" s="11"/>
      <c r="V988" s="11"/>
      <c r="W988" s="11"/>
      <c r="X988" s="11"/>
      <c r="Y988" s="11"/>
      <c r="Z988" s="11"/>
      <c r="AA988" s="11"/>
    </row>
    <row r="989" ht="15.75" customHeight="1">
      <c r="A989" s="182"/>
      <c r="B989" s="182"/>
      <c r="C989" s="182"/>
      <c r="D989" s="182"/>
      <c r="E989" s="182"/>
      <c r="F989" s="182"/>
      <c r="G989" s="182"/>
      <c r="H989" s="182"/>
      <c r="I989" s="182"/>
      <c r="J989" s="182"/>
      <c r="K989" s="11"/>
      <c r="L989" s="182"/>
      <c r="M989" s="182"/>
      <c r="N989" s="182"/>
      <c r="O989" s="182"/>
      <c r="P989" s="11"/>
      <c r="Q989" s="11"/>
      <c r="R989" s="11"/>
      <c r="S989" s="11"/>
      <c r="T989" s="11"/>
      <c r="U989" s="11"/>
      <c r="V989" s="11"/>
      <c r="W989" s="11"/>
      <c r="X989" s="11"/>
      <c r="Y989" s="11"/>
      <c r="Z989" s="11"/>
      <c r="AA989" s="11"/>
    </row>
    <row r="990" ht="15.75" customHeight="1">
      <c r="A990" s="182"/>
      <c r="B990" s="182"/>
      <c r="C990" s="182"/>
      <c r="D990" s="182"/>
      <c r="E990" s="182"/>
      <c r="F990" s="182"/>
      <c r="G990" s="182"/>
      <c r="H990" s="182"/>
      <c r="I990" s="182"/>
      <c r="J990" s="182"/>
      <c r="K990" s="11"/>
      <c r="L990" s="182"/>
      <c r="M990" s="182"/>
      <c r="N990" s="182"/>
      <c r="O990" s="182"/>
      <c r="P990" s="11"/>
      <c r="Q990" s="11"/>
      <c r="R990" s="11"/>
      <c r="S990" s="11"/>
      <c r="T990" s="11"/>
      <c r="U990" s="11"/>
      <c r="V990" s="11"/>
      <c r="W990" s="11"/>
      <c r="X990" s="11"/>
      <c r="Y990" s="11"/>
      <c r="Z990" s="11"/>
      <c r="AA990" s="11"/>
    </row>
    <row r="991" ht="15.75" customHeight="1">
      <c r="A991" s="182"/>
      <c r="B991" s="182"/>
      <c r="C991" s="182"/>
      <c r="D991" s="182"/>
      <c r="E991" s="182"/>
      <c r="F991" s="182"/>
      <c r="G991" s="182"/>
      <c r="H991" s="182"/>
      <c r="I991" s="182"/>
      <c r="J991" s="182"/>
      <c r="K991" s="11"/>
      <c r="L991" s="182"/>
      <c r="M991" s="182"/>
      <c r="N991" s="182"/>
      <c r="O991" s="182"/>
      <c r="P991" s="11"/>
      <c r="Q991" s="11"/>
      <c r="R991" s="11"/>
      <c r="S991" s="11"/>
      <c r="T991" s="11"/>
      <c r="U991" s="11"/>
      <c r="V991" s="11"/>
      <c r="W991" s="11"/>
      <c r="X991" s="11"/>
      <c r="Y991" s="11"/>
      <c r="Z991" s="11"/>
      <c r="AA991" s="11"/>
    </row>
    <row r="992" ht="15.75" customHeight="1">
      <c r="A992" s="182"/>
      <c r="B992" s="182"/>
      <c r="C992" s="182"/>
      <c r="D992" s="182"/>
      <c r="E992" s="182"/>
      <c r="F992" s="182"/>
      <c r="G992" s="182"/>
      <c r="H992" s="182"/>
      <c r="I992" s="182"/>
      <c r="J992" s="182"/>
      <c r="K992" s="11"/>
      <c r="L992" s="182"/>
      <c r="M992" s="182"/>
      <c r="N992" s="182"/>
      <c r="O992" s="182"/>
      <c r="P992" s="11"/>
      <c r="Q992" s="11"/>
      <c r="R992" s="11"/>
      <c r="S992" s="11"/>
      <c r="T992" s="11"/>
      <c r="U992" s="11"/>
      <c r="V992" s="11"/>
      <c r="W992" s="11"/>
      <c r="X992" s="11"/>
      <c r="Y992" s="11"/>
      <c r="Z992" s="11"/>
      <c r="AA992" s="11"/>
    </row>
    <row r="993" ht="15.75" customHeight="1">
      <c r="A993" s="182"/>
      <c r="B993" s="182"/>
      <c r="C993" s="182"/>
      <c r="D993" s="182"/>
      <c r="E993" s="182"/>
      <c r="F993" s="182"/>
      <c r="G993" s="182"/>
      <c r="H993" s="182"/>
      <c r="I993" s="182"/>
      <c r="J993" s="182"/>
      <c r="K993" s="11"/>
      <c r="L993" s="182"/>
      <c r="M993" s="182"/>
      <c r="N993" s="182"/>
      <c r="O993" s="182"/>
      <c r="P993" s="11"/>
      <c r="Q993" s="11"/>
      <c r="R993" s="11"/>
      <c r="S993" s="11"/>
      <c r="T993" s="11"/>
      <c r="U993" s="11"/>
      <c r="V993" s="11"/>
      <c r="W993" s="11"/>
      <c r="X993" s="11"/>
      <c r="Y993" s="11"/>
      <c r="Z993" s="11"/>
      <c r="AA993" s="11"/>
    </row>
    <row r="994" ht="15.75" customHeight="1">
      <c r="A994" s="182"/>
      <c r="B994" s="182"/>
      <c r="C994" s="182"/>
      <c r="D994" s="182"/>
      <c r="E994" s="182"/>
      <c r="F994" s="182"/>
      <c r="G994" s="182"/>
      <c r="H994" s="182"/>
      <c r="I994" s="182"/>
      <c r="J994" s="182"/>
      <c r="K994" s="11"/>
      <c r="L994" s="182"/>
      <c r="M994" s="182"/>
      <c r="N994" s="182"/>
      <c r="O994" s="182"/>
      <c r="P994" s="11"/>
      <c r="Q994" s="11"/>
      <c r="R994" s="11"/>
      <c r="S994" s="11"/>
      <c r="T994" s="11"/>
      <c r="U994" s="11"/>
      <c r="V994" s="11"/>
      <c r="W994" s="11"/>
      <c r="X994" s="11"/>
      <c r="Y994" s="11"/>
      <c r="Z994" s="11"/>
      <c r="AA994" s="11"/>
    </row>
    <row r="995" ht="15.75" customHeight="1">
      <c r="A995" s="182"/>
      <c r="B995" s="182"/>
      <c r="C995" s="182"/>
      <c r="D995" s="182"/>
      <c r="E995" s="182"/>
      <c r="F995" s="182"/>
      <c r="G995" s="182"/>
      <c r="H995" s="182"/>
      <c r="I995" s="182"/>
      <c r="J995" s="182"/>
      <c r="K995" s="11"/>
      <c r="L995" s="182"/>
      <c r="M995" s="182"/>
      <c r="N995" s="182"/>
      <c r="O995" s="182"/>
      <c r="P995" s="11"/>
      <c r="Q995" s="11"/>
      <c r="R995" s="11"/>
      <c r="S995" s="11"/>
      <c r="T995" s="11"/>
      <c r="U995" s="11"/>
      <c r="V995" s="11"/>
      <c r="W995" s="11"/>
      <c r="X995" s="11"/>
      <c r="Y995" s="11"/>
      <c r="Z995" s="11"/>
      <c r="AA995" s="11"/>
    </row>
    <row r="996" ht="15.75" customHeight="1">
      <c r="A996" s="182"/>
      <c r="B996" s="182"/>
      <c r="C996" s="182"/>
      <c r="D996" s="182"/>
      <c r="E996" s="182"/>
      <c r="F996" s="182"/>
      <c r="G996" s="182"/>
      <c r="H996" s="182"/>
      <c r="I996" s="182"/>
      <c r="J996" s="182"/>
      <c r="K996" s="11"/>
      <c r="L996" s="182"/>
      <c r="M996" s="182"/>
      <c r="N996" s="182"/>
      <c r="O996" s="182"/>
      <c r="P996" s="11"/>
      <c r="Q996" s="11"/>
      <c r="R996" s="11"/>
      <c r="S996" s="11"/>
      <c r="T996" s="11"/>
      <c r="U996" s="11"/>
      <c r="V996" s="11"/>
      <c r="W996" s="11"/>
      <c r="X996" s="11"/>
      <c r="Y996" s="11"/>
      <c r="Z996" s="11"/>
      <c r="AA996" s="11"/>
    </row>
    <row r="997" ht="15.75" customHeight="1">
      <c r="A997" s="182"/>
      <c r="B997" s="182"/>
      <c r="C997" s="182"/>
      <c r="D997" s="182"/>
      <c r="E997" s="182"/>
      <c r="F997" s="182"/>
      <c r="G997" s="182"/>
      <c r="H997" s="182"/>
      <c r="I997" s="182"/>
      <c r="J997" s="182"/>
      <c r="K997" s="11"/>
      <c r="L997" s="182"/>
      <c r="M997" s="182"/>
      <c r="N997" s="182"/>
      <c r="O997" s="182"/>
      <c r="P997" s="11"/>
      <c r="Q997" s="11"/>
      <c r="R997" s="11"/>
      <c r="S997" s="11"/>
      <c r="T997" s="11"/>
      <c r="U997" s="11"/>
      <c r="V997" s="11"/>
      <c r="W997" s="11"/>
      <c r="X997" s="11"/>
      <c r="Y997" s="11"/>
      <c r="Z997" s="11"/>
      <c r="AA997" s="11"/>
    </row>
    <row r="998" ht="15.75" customHeight="1">
      <c r="A998" s="182"/>
      <c r="B998" s="182"/>
      <c r="C998" s="182"/>
      <c r="D998" s="182"/>
      <c r="E998" s="182"/>
      <c r="F998" s="182"/>
      <c r="G998" s="182"/>
      <c r="H998" s="182"/>
      <c r="I998" s="182"/>
      <c r="J998" s="182"/>
      <c r="K998" s="11"/>
      <c r="L998" s="182"/>
      <c r="M998" s="182"/>
      <c r="N998" s="182"/>
      <c r="O998" s="182"/>
      <c r="P998" s="11"/>
      <c r="Q998" s="11"/>
      <c r="R998" s="11"/>
      <c r="S998" s="11"/>
      <c r="T998" s="11"/>
      <c r="U998" s="11"/>
      <c r="V998" s="11"/>
      <c r="W998" s="11"/>
      <c r="X998" s="11"/>
      <c r="Y998" s="11"/>
      <c r="Z998" s="11"/>
      <c r="AA998" s="11"/>
    </row>
    <row r="999" ht="15.75" customHeight="1">
      <c r="A999" s="182"/>
      <c r="B999" s="182"/>
      <c r="C999" s="182"/>
      <c r="D999" s="182"/>
      <c r="E999" s="182"/>
      <c r="F999" s="182"/>
      <c r="G999" s="182"/>
      <c r="H999" s="182"/>
      <c r="I999" s="182"/>
      <c r="J999" s="182"/>
      <c r="K999" s="11"/>
      <c r="L999" s="182"/>
      <c r="M999" s="182"/>
      <c r="N999" s="182"/>
      <c r="O999" s="182"/>
      <c r="P999" s="11"/>
      <c r="Q999" s="11"/>
      <c r="R999" s="11"/>
      <c r="S999" s="11"/>
      <c r="T999" s="11"/>
      <c r="U999" s="11"/>
      <c r="V999" s="11"/>
      <c r="W999" s="11"/>
      <c r="X999" s="11"/>
      <c r="Y999" s="11"/>
      <c r="Z999" s="11"/>
      <c r="AA999" s="11"/>
    </row>
    <row r="1000" ht="15.75" customHeight="1">
      <c r="A1000" s="182"/>
      <c r="B1000" s="182"/>
      <c r="C1000" s="182"/>
      <c r="D1000" s="182"/>
      <c r="E1000" s="182"/>
      <c r="F1000" s="182"/>
      <c r="G1000" s="182"/>
      <c r="H1000" s="182"/>
      <c r="I1000" s="182"/>
      <c r="J1000" s="182"/>
      <c r="K1000" s="11"/>
      <c r="L1000" s="182"/>
      <c r="M1000" s="182"/>
      <c r="N1000" s="182"/>
      <c r="O1000" s="182"/>
      <c r="P1000" s="11"/>
      <c r="Q1000" s="11"/>
      <c r="R1000" s="11"/>
      <c r="S1000" s="11"/>
      <c r="T1000" s="11"/>
      <c r="U1000" s="11"/>
      <c r="V1000" s="11"/>
      <c r="W1000" s="11"/>
      <c r="X1000" s="11"/>
      <c r="Y1000" s="11"/>
      <c r="Z1000" s="11"/>
      <c r="AA1000" s="11"/>
    </row>
    <row r="1001" ht="15.75" customHeight="1">
      <c r="A1001" s="737">
        <f t="shared" ref="A1001:A1442" si="379">A1000+$Q$15</f>
        <v>0</v>
      </c>
      <c r="B1001" s="737">
        <f>A1001/'Orbit Info'!$G$10</f>
        <v>0</v>
      </c>
      <c r="C1001" s="737" t="str">
        <f t="shared" ref="C1001:C1884" si="380">$Q$7</f>
        <v>Housekeeping and events only</v>
      </c>
      <c r="D1001" s="737">
        <f t="shared" ref="D1001:D1884" si="381">IF(OR(AND(A1001&gt;=$X$3,A1001&lt;=$Y$3),AND(A1001&gt;=$X$4,A1001&lt;=$Y$4),AND(A1001&gt;=$X$5,A1001&lt;=$Y$5),AND(A1001&gt;=$X$6,A1001&lt;=$Y$6),AND(A1001&gt;=$X$7,A1001&lt;=$Y$7),AND(A1001&gt;=$X$8,A1001&lt;=$Y$8),AND(A1001&gt;=$X$9,A1001&lt;=$Y$9),AND(A1001&gt;=$X$10,A1001&lt;=$Y$10),AND(A1001&gt;=$X$11,A1001&lt;=$Y$11),AND(A1001&gt;=$X$12,A1001&lt;=$Y$12),AND(A1001&gt;=$X$13,A1001&lt;=$Y$13),AND(A1001&gt;=$X$14,A1001&lt;=$Y$14),AND(A1001&gt;=$X$15,A1001&lt;=$Y$15),AND(A1001&gt;=$X$16,A1001&lt;=$Y$16),AND(A1001&gt;=$X$17,A1001&lt;=$Y$17),AND(A1001&gt;=$X$18,A1001&lt;=$Y$18),AND(A1001&gt;=$X$19,A1001&lt;=$Y$19),AND(A1001&gt;=$X$20,A1001&lt;=$Y$20),AND(A1001&gt;=$X$21,A1001&lt;=$Y$21),AND(A1001&gt;=$X$22,A1001&lt;=$Y$22),AND(A1001&gt;=$X$23,A1001&lt;=$Y$23),AND(A1001&gt;=$X$24,A1001&lt;=$Y$24),AND(A1001&gt;=$X$25,A1001&lt;=$Y$25),AND(A1001&gt;=$X$26,A1001&lt;=$Y$26),AND(A1001&gt;=$X$27,A1001&lt;=$Y$27),AND(A1001&gt;=$X$28,A1001&lt;=$Y$28),AND(A1001&gt;=$X$29,A1001&lt;=$Y$29),AND(A1001&gt;=$X$30,A1001&lt;=$Y$30),AND(A1001&gt;=$X$31,A1001&lt;=$Y$31),AND(A1001&gt;=$X$32,A1001&lt;=$Y$32)),1,0)</f>
        <v>1</v>
      </c>
      <c r="E1001" s="737" t="str">
        <f t="shared" ref="E1001:E1884" si="382">D1001*($Q$7+($Q$7/2))</f>
        <v>#VALUE!</v>
      </c>
      <c r="F1001" s="737">
        <v>1.0</v>
      </c>
      <c r="G1001" s="737" t="str">
        <f t="shared" ref="G1001:G1884" si="383">D1001*($Q$7+($Q$7/2))</f>
        <v>#VALUE!</v>
      </c>
      <c r="H1001" s="737" t="str">
        <f>MIN($Q$11/('Orbit Info'!G$10),$Q$8*60)</f>
        <v>#VALUE!</v>
      </c>
      <c r="I1001" s="737" t="str">
        <f>IF(D1001=1,$Q$12/'Data DownlinkStorage Budget'!$M$3,0)</f>
        <v>#VALUE!</v>
      </c>
      <c r="J1001" s="737" t="str">
        <f t="shared" ref="J1001:J1442" si="384">MIN($C1001,MAX(0,J1000+H1001-I1001))</f>
        <v>#VALUE!</v>
      </c>
      <c r="K1001" s="11"/>
      <c r="L1001" s="737" t="str">
        <f t="shared" ref="L1001:L1884" si="385">$Q$9</f>
        <v>FOUND product plus housekeeping</v>
      </c>
      <c r="M1001" s="737" t="str">
        <f>MIN($Q$18,$Q$10*60)-IF(D1001=1,$Q$17/'Data DownlinkStorage Budget'!$M$3,0)</f>
        <v>#VALUE!</v>
      </c>
      <c r="N1001" s="182"/>
      <c r="O1001" s="737" t="str">
        <f t="shared" ref="O1001:O1442" si="386">MIN($L1001,MAX(0,O1000+M1001))</f>
        <v>#VALUE!</v>
      </c>
      <c r="P1001" s="11"/>
      <c r="Q1001" s="11"/>
      <c r="R1001" s="11"/>
      <c r="S1001" s="11"/>
      <c r="T1001" s="11"/>
      <c r="U1001" s="11"/>
      <c r="V1001" s="11"/>
      <c r="W1001" s="11"/>
      <c r="X1001" s="11"/>
      <c r="Y1001" s="11"/>
      <c r="Z1001" s="11"/>
      <c r="AA1001" s="11"/>
    </row>
    <row r="1002" ht="15.75" customHeight="1">
      <c r="A1002" s="737">
        <f t="shared" si="379"/>
        <v>0</v>
      </c>
      <c r="B1002" s="737">
        <f>A1002/'Orbit Info'!$G$10</f>
        <v>0</v>
      </c>
      <c r="C1002" s="737" t="str">
        <f t="shared" si="380"/>
        <v>Housekeeping and events only</v>
      </c>
      <c r="D1002" s="737">
        <f t="shared" si="381"/>
        <v>1</v>
      </c>
      <c r="E1002" s="737" t="str">
        <f t="shared" si="382"/>
        <v>#VALUE!</v>
      </c>
      <c r="F1002" s="737">
        <v>1.0</v>
      </c>
      <c r="G1002" s="737" t="str">
        <f t="shared" si="383"/>
        <v>#VALUE!</v>
      </c>
      <c r="H1002" s="737" t="str">
        <f>MIN($Q$11/('Orbit Info'!G$10),$Q$8*60)</f>
        <v>#VALUE!</v>
      </c>
      <c r="I1002" s="737" t="str">
        <f>IF(D1002=1,$Q$12/'Data DownlinkStorage Budget'!$M$3,0)</f>
        <v>#VALUE!</v>
      </c>
      <c r="J1002" s="737" t="str">
        <f t="shared" si="384"/>
        <v>#VALUE!</v>
      </c>
      <c r="K1002" s="11"/>
      <c r="L1002" s="737" t="str">
        <f t="shared" si="385"/>
        <v>FOUND product plus housekeeping</v>
      </c>
      <c r="M1002" s="737" t="str">
        <f>MIN($Q$18,$Q$10*60)-IF(D1002=1,$Q$17/'Data DownlinkStorage Budget'!$M$3,0)</f>
        <v>#VALUE!</v>
      </c>
      <c r="N1002" s="182"/>
      <c r="O1002" s="737" t="str">
        <f t="shared" si="386"/>
        <v>#VALUE!</v>
      </c>
      <c r="P1002" s="11"/>
      <c r="Q1002" s="11"/>
      <c r="R1002" s="11"/>
      <c r="S1002" s="11"/>
      <c r="T1002" s="11"/>
      <c r="U1002" s="11"/>
      <c r="V1002" s="11"/>
      <c r="W1002" s="11"/>
      <c r="X1002" s="11"/>
      <c r="Y1002" s="11"/>
      <c r="Z1002" s="11"/>
      <c r="AA1002" s="11"/>
    </row>
    <row r="1003" ht="15.75" customHeight="1">
      <c r="A1003" s="737">
        <f t="shared" si="379"/>
        <v>0</v>
      </c>
      <c r="B1003" s="737">
        <f>A1003/'Orbit Info'!$G$10</f>
        <v>0</v>
      </c>
      <c r="C1003" s="737" t="str">
        <f t="shared" si="380"/>
        <v>Housekeeping and events only</v>
      </c>
      <c r="D1003" s="737">
        <f t="shared" si="381"/>
        <v>1</v>
      </c>
      <c r="E1003" s="737" t="str">
        <f t="shared" si="382"/>
        <v>#VALUE!</v>
      </c>
      <c r="F1003" s="737">
        <v>1.0</v>
      </c>
      <c r="G1003" s="737" t="str">
        <f t="shared" si="383"/>
        <v>#VALUE!</v>
      </c>
      <c r="H1003" s="737" t="str">
        <f>MIN($Q$11/('Orbit Info'!G$10),$Q$8*60)</f>
        <v>#VALUE!</v>
      </c>
      <c r="I1003" s="737" t="str">
        <f>IF(D1003=1,$Q$12/'Data DownlinkStorage Budget'!$M$3,0)</f>
        <v>#VALUE!</v>
      </c>
      <c r="J1003" s="737" t="str">
        <f t="shared" si="384"/>
        <v>#VALUE!</v>
      </c>
      <c r="K1003" s="11"/>
      <c r="L1003" s="737" t="str">
        <f t="shared" si="385"/>
        <v>FOUND product plus housekeeping</v>
      </c>
      <c r="M1003" s="737" t="str">
        <f>MIN($Q$18,$Q$10*60)-IF(D1003=1,$Q$17/'Data DownlinkStorage Budget'!$M$3,0)</f>
        <v>#VALUE!</v>
      </c>
      <c r="N1003" s="182"/>
      <c r="O1003" s="737" t="str">
        <f t="shared" si="386"/>
        <v>#VALUE!</v>
      </c>
      <c r="P1003" s="11"/>
      <c r="Q1003" s="11"/>
      <c r="R1003" s="11"/>
      <c r="S1003" s="11"/>
      <c r="T1003" s="11"/>
      <c r="U1003" s="11"/>
      <c r="V1003" s="11"/>
      <c r="W1003" s="11"/>
      <c r="X1003" s="11"/>
      <c r="Y1003" s="11"/>
      <c r="Z1003" s="11"/>
      <c r="AA1003" s="11"/>
    </row>
    <row r="1004" ht="15.75" customHeight="1">
      <c r="A1004" s="737">
        <f t="shared" si="379"/>
        <v>0</v>
      </c>
      <c r="B1004" s="737">
        <f>A1004/'Orbit Info'!$G$10</f>
        <v>0</v>
      </c>
      <c r="C1004" s="737" t="str">
        <f t="shared" si="380"/>
        <v>Housekeeping and events only</v>
      </c>
      <c r="D1004" s="737">
        <f t="shared" si="381"/>
        <v>1</v>
      </c>
      <c r="E1004" s="737" t="str">
        <f t="shared" si="382"/>
        <v>#VALUE!</v>
      </c>
      <c r="F1004" s="737">
        <v>1.0</v>
      </c>
      <c r="G1004" s="737" t="str">
        <f t="shared" si="383"/>
        <v>#VALUE!</v>
      </c>
      <c r="H1004" s="737" t="str">
        <f>MIN($Q$11/('Orbit Info'!G$10),$Q$8*60)</f>
        <v>#VALUE!</v>
      </c>
      <c r="I1004" s="737" t="str">
        <f>IF(D1004=1,$Q$12/'Data DownlinkStorage Budget'!$M$3,0)</f>
        <v>#VALUE!</v>
      </c>
      <c r="J1004" s="737" t="str">
        <f t="shared" si="384"/>
        <v>#VALUE!</v>
      </c>
      <c r="K1004" s="11"/>
      <c r="L1004" s="737" t="str">
        <f t="shared" si="385"/>
        <v>FOUND product plus housekeeping</v>
      </c>
      <c r="M1004" s="737" t="str">
        <f>MIN($Q$18,$Q$10*60)-IF(D1004=1,$Q$17/'Data DownlinkStorage Budget'!$M$3,0)</f>
        <v>#VALUE!</v>
      </c>
      <c r="N1004" s="182"/>
      <c r="O1004" s="737" t="str">
        <f t="shared" si="386"/>
        <v>#VALUE!</v>
      </c>
      <c r="P1004" s="11"/>
      <c r="Q1004" s="11"/>
      <c r="R1004" s="11"/>
      <c r="S1004" s="11"/>
      <c r="T1004" s="11"/>
      <c r="U1004" s="11"/>
      <c r="V1004" s="11"/>
      <c r="W1004" s="11"/>
      <c r="X1004" s="11"/>
      <c r="Y1004" s="11"/>
      <c r="Z1004" s="11"/>
      <c r="AA1004" s="11"/>
    </row>
    <row r="1005" ht="15.75" customHeight="1">
      <c r="A1005" s="737">
        <f t="shared" si="379"/>
        <v>0</v>
      </c>
      <c r="B1005" s="737">
        <f>A1005/'Orbit Info'!$G$10</f>
        <v>0</v>
      </c>
      <c r="C1005" s="737" t="str">
        <f t="shared" si="380"/>
        <v>Housekeeping and events only</v>
      </c>
      <c r="D1005" s="737">
        <f t="shared" si="381"/>
        <v>1</v>
      </c>
      <c r="E1005" s="737" t="str">
        <f t="shared" si="382"/>
        <v>#VALUE!</v>
      </c>
      <c r="F1005" s="737">
        <v>1.0</v>
      </c>
      <c r="G1005" s="737" t="str">
        <f t="shared" si="383"/>
        <v>#VALUE!</v>
      </c>
      <c r="H1005" s="737" t="str">
        <f>MIN($Q$11/('Orbit Info'!G$10),$Q$8*60)</f>
        <v>#VALUE!</v>
      </c>
      <c r="I1005" s="737" t="str">
        <f>IF(D1005=1,$Q$12/'Data DownlinkStorage Budget'!$M$3,0)</f>
        <v>#VALUE!</v>
      </c>
      <c r="J1005" s="737" t="str">
        <f t="shared" si="384"/>
        <v>#VALUE!</v>
      </c>
      <c r="K1005" s="11"/>
      <c r="L1005" s="737" t="str">
        <f t="shared" si="385"/>
        <v>FOUND product plus housekeeping</v>
      </c>
      <c r="M1005" s="737" t="str">
        <f>MIN($Q$18,$Q$10*60)-IF(D1005=1,$Q$17/'Data DownlinkStorage Budget'!$M$3,0)</f>
        <v>#VALUE!</v>
      </c>
      <c r="N1005" s="182"/>
      <c r="O1005" s="737" t="str">
        <f t="shared" si="386"/>
        <v>#VALUE!</v>
      </c>
      <c r="P1005" s="11"/>
      <c r="Q1005" s="11"/>
      <c r="R1005" s="11"/>
      <c r="S1005" s="11"/>
      <c r="T1005" s="11"/>
      <c r="U1005" s="11"/>
      <c r="V1005" s="11"/>
      <c r="W1005" s="11"/>
      <c r="X1005" s="11"/>
      <c r="Y1005" s="11"/>
      <c r="Z1005" s="11"/>
      <c r="AA1005" s="11"/>
    </row>
    <row r="1006" ht="15.75" customHeight="1">
      <c r="A1006" s="737">
        <f t="shared" si="379"/>
        <v>0</v>
      </c>
      <c r="B1006" s="737">
        <f>A1006/'Orbit Info'!$G$10</f>
        <v>0</v>
      </c>
      <c r="C1006" s="737" t="str">
        <f t="shared" si="380"/>
        <v>Housekeeping and events only</v>
      </c>
      <c r="D1006" s="737">
        <f t="shared" si="381"/>
        <v>1</v>
      </c>
      <c r="E1006" s="737" t="str">
        <f t="shared" si="382"/>
        <v>#VALUE!</v>
      </c>
      <c r="F1006" s="737">
        <v>1.0</v>
      </c>
      <c r="G1006" s="737" t="str">
        <f t="shared" si="383"/>
        <v>#VALUE!</v>
      </c>
      <c r="H1006" s="737" t="str">
        <f>MIN($Q$11/('Orbit Info'!G$10),$Q$8*60)</f>
        <v>#VALUE!</v>
      </c>
      <c r="I1006" s="737" t="str">
        <f>IF(D1006=1,$Q$12/'Data DownlinkStorage Budget'!$M$3,0)</f>
        <v>#VALUE!</v>
      </c>
      <c r="J1006" s="737" t="str">
        <f t="shared" si="384"/>
        <v>#VALUE!</v>
      </c>
      <c r="K1006" s="11"/>
      <c r="L1006" s="737" t="str">
        <f t="shared" si="385"/>
        <v>FOUND product plus housekeeping</v>
      </c>
      <c r="M1006" s="737" t="str">
        <f>MIN($Q$18,$Q$10*60)-IF(D1006=1,$Q$17/'Data DownlinkStorage Budget'!$M$3,0)</f>
        <v>#VALUE!</v>
      </c>
      <c r="N1006" s="182"/>
      <c r="O1006" s="737" t="str">
        <f t="shared" si="386"/>
        <v>#VALUE!</v>
      </c>
      <c r="P1006" s="11"/>
      <c r="Q1006" s="11"/>
      <c r="R1006" s="11"/>
      <c r="S1006" s="11"/>
      <c r="T1006" s="11"/>
      <c r="U1006" s="11"/>
      <c r="V1006" s="11"/>
      <c r="W1006" s="11"/>
      <c r="X1006" s="11"/>
      <c r="Y1006" s="11"/>
      <c r="Z1006" s="11"/>
      <c r="AA1006" s="11"/>
    </row>
    <row r="1007" ht="15.75" customHeight="1">
      <c r="A1007" s="737">
        <f t="shared" si="379"/>
        <v>0</v>
      </c>
      <c r="B1007" s="737">
        <f>A1007/'Orbit Info'!$G$10</f>
        <v>0</v>
      </c>
      <c r="C1007" s="737" t="str">
        <f t="shared" si="380"/>
        <v>Housekeeping and events only</v>
      </c>
      <c r="D1007" s="737">
        <f t="shared" si="381"/>
        <v>1</v>
      </c>
      <c r="E1007" s="737" t="str">
        <f t="shared" si="382"/>
        <v>#VALUE!</v>
      </c>
      <c r="F1007" s="737">
        <v>1.0</v>
      </c>
      <c r="G1007" s="737" t="str">
        <f t="shared" si="383"/>
        <v>#VALUE!</v>
      </c>
      <c r="H1007" s="737" t="str">
        <f>MIN($Q$11/('Orbit Info'!G$10),$Q$8*60)</f>
        <v>#VALUE!</v>
      </c>
      <c r="I1007" s="737" t="str">
        <f>IF(D1007=1,$Q$12/'Data DownlinkStorage Budget'!$M$3,0)</f>
        <v>#VALUE!</v>
      </c>
      <c r="J1007" s="737" t="str">
        <f t="shared" si="384"/>
        <v>#VALUE!</v>
      </c>
      <c r="K1007" s="11"/>
      <c r="L1007" s="737" t="str">
        <f t="shared" si="385"/>
        <v>FOUND product plus housekeeping</v>
      </c>
      <c r="M1007" s="737" t="str">
        <f>MIN($Q$18,$Q$10*60)-IF(D1007=1,$Q$17/'Data DownlinkStorage Budget'!$M$3,0)</f>
        <v>#VALUE!</v>
      </c>
      <c r="N1007" s="182"/>
      <c r="O1007" s="737" t="str">
        <f t="shared" si="386"/>
        <v>#VALUE!</v>
      </c>
      <c r="P1007" s="11"/>
      <c r="Q1007" s="11"/>
      <c r="R1007" s="11"/>
      <c r="S1007" s="11"/>
      <c r="T1007" s="11"/>
      <c r="U1007" s="11"/>
      <c r="V1007" s="11"/>
      <c r="W1007" s="11"/>
      <c r="X1007" s="11"/>
      <c r="Y1007" s="11"/>
      <c r="Z1007" s="11"/>
      <c r="AA1007" s="11"/>
    </row>
    <row r="1008" ht="15.75" customHeight="1">
      <c r="A1008" s="737">
        <f t="shared" si="379"/>
        <v>0</v>
      </c>
      <c r="B1008" s="737">
        <f>A1008/'Orbit Info'!$G$10</f>
        <v>0</v>
      </c>
      <c r="C1008" s="737" t="str">
        <f t="shared" si="380"/>
        <v>Housekeeping and events only</v>
      </c>
      <c r="D1008" s="737">
        <f t="shared" si="381"/>
        <v>1</v>
      </c>
      <c r="E1008" s="737" t="str">
        <f t="shared" si="382"/>
        <v>#VALUE!</v>
      </c>
      <c r="F1008" s="737">
        <v>1.0</v>
      </c>
      <c r="G1008" s="737" t="str">
        <f t="shared" si="383"/>
        <v>#VALUE!</v>
      </c>
      <c r="H1008" s="737" t="str">
        <f>MIN($Q$11/('Orbit Info'!G$10),$Q$8*60)</f>
        <v>#VALUE!</v>
      </c>
      <c r="I1008" s="737" t="str">
        <f>IF(D1008=1,$Q$12/'Data DownlinkStorage Budget'!$M$3,0)</f>
        <v>#VALUE!</v>
      </c>
      <c r="J1008" s="737" t="str">
        <f t="shared" si="384"/>
        <v>#VALUE!</v>
      </c>
      <c r="K1008" s="11"/>
      <c r="L1008" s="737" t="str">
        <f t="shared" si="385"/>
        <v>FOUND product plus housekeeping</v>
      </c>
      <c r="M1008" s="737" t="str">
        <f>MIN($Q$18,$Q$10*60)-IF(D1008=1,$Q$17/'Data DownlinkStorage Budget'!$M$3,0)</f>
        <v>#VALUE!</v>
      </c>
      <c r="N1008" s="182"/>
      <c r="O1008" s="737" t="str">
        <f t="shared" si="386"/>
        <v>#VALUE!</v>
      </c>
      <c r="P1008" s="11"/>
      <c r="Q1008" s="11"/>
      <c r="R1008" s="11"/>
      <c r="S1008" s="11"/>
      <c r="T1008" s="11"/>
      <c r="U1008" s="11"/>
      <c r="V1008" s="11"/>
      <c r="W1008" s="11"/>
      <c r="X1008" s="11"/>
      <c r="Y1008" s="11"/>
      <c r="Z1008" s="11"/>
      <c r="AA1008" s="11"/>
    </row>
    <row r="1009" ht="15.75" customHeight="1">
      <c r="A1009" s="737">
        <f t="shared" si="379"/>
        <v>0</v>
      </c>
      <c r="B1009" s="737">
        <f>A1009/'Orbit Info'!$G$10</f>
        <v>0</v>
      </c>
      <c r="C1009" s="737" t="str">
        <f t="shared" si="380"/>
        <v>Housekeeping and events only</v>
      </c>
      <c r="D1009" s="737">
        <f t="shared" si="381"/>
        <v>1</v>
      </c>
      <c r="E1009" s="737" t="str">
        <f t="shared" si="382"/>
        <v>#VALUE!</v>
      </c>
      <c r="F1009" s="737">
        <v>1.0</v>
      </c>
      <c r="G1009" s="737" t="str">
        <f t="shared" si="383"/>
        <v>#VALUE!</v>
      </c>
      <c r="H1009" s="737" t="str">
        <f>MIN($Q$11/('Orbit Info'!G$10),$Q$8*60)</f>
        <v>#VALUE!</v>
      </c>
      <c r="I1009" s="737" t="str">
        <f>IF(D1009=1,$Q$12/'Data DownlinkStorage Budget'!$M$3,0)</f>
        <v>#VALUE!</v>
      </c>
      <c r="J1009" s="737" t="str">
        <f t="shared" si="384"/>
        <v>#VALUE!</v>
      </c>
      <c r="K1009" s="11"/>
      <c r="L1009" s="737" t="str">
        <f t="shared" si="385"/>
        <v>FOUND product plus housekeeping</v>
      </c>
      <c r="M1009" s="737" t="str">
        <f>MIN($Q$18,$Q$10*60)-IF(D1009=1,$Q$17/'Data DownlinkStorage Budget'!$M$3,0)</f>
        <v>#VALUE!</v>
      </c>
      <c r="N1009" s="182"/>
      <c r="O1009" s="737" t="str">
        <f t="shared" si="386"/>
        <v>#VALUE!</v>
      </c>
      <c r="P1009" s="11"/>
      <c r="Q1009" s="11"/>
      <c r="R1009" s="11"/>
      <c r="S1009" s="11"/>
      <c r="T1009" s="11"/>
      <c r="U1009" s="11"/>
      <c r="V1009" s="11"/>
      <c r="W1009" s="11"/>
      <c r="X1009" s="11"/>
      <c r="Y1009" s="11"/>
      <c r="Z1009" s="11"/>
      <c r="AA1009" s="11"/>
    </row>
    <row r="1010" ht="15.75" customHeight="1">
      <c r="A1010" s="737">
        <f t="shared" si="379"/>
        <v>0</v>
      </c>
      <c r="B1010" s="737">
        <f>A1010/'Orbit Info'!$G$10</f>
        <v>0</v>
      </c>
      <c r="C1010" s="737" t="str">
        <f t="shared" si="380"/>
        <v>Housekeeping and events only</v>
      </c>
      <c r="D1010" s="737">
        <f t="shared" si="381"/>
        <v>1</v>
      </c>
      <c r="E1010" s="737" t="str">
        <f t="shared" si="382"/>
        <v>#VALUE!</v>
      </c>
      <c r="F1010" s="737">
        <v>1.0</v>
      </c>
      <c r="G1010" s="737" t="str">
        <f t="shared" si="383"/>
        <v>#VALUE!</v>
      </c>
      <c r="H1010" s="737" t="str">
        <f>MIN($Q$11/('Orbit Info'!G$10),$Q$8*60)</f>
        <v>#VALUE!</v>
      </c>
      <c r="I1010" s="737" t="str">
        <f>IF(D1010=1,$Q$12/'Data DownlinkStorage Budget'!$M$3,0)</f>
        <v>#VALUE!</v>
      </c>
      <c r="J1010" s="737" t="str">
        <f t="shared" si="384"/>
        <v>#VALUE!</v>
      </c>
      <c r="K1010" s="11"/>
      <c r="L1010" s="737" t="str">
        <f t="shared" si="385"/>
        <v>FOUND product plus housekeeping</v>
      </c>
      <c r="M1010" s="737" t="str">
        <f>MIN($Q$18,$Q$10*60)-IF(D1010=1,$Q$17/'Data DownlinkStorage Budget'!$M$3,0)</f>
        <v>#VALUE!</v>
      </c>
      <c r="N1010" s="182"/>
      <c r="O1010" s="737" t="str">
        <f t="shared" si="386"/>
        <v>#VALUE!</v>
      </c>
      <c r="P1010" s="11"/>
      <c r="Q1010" s="11"/>
      <c r="R1010" s="11"/>
      <c r="S1010" s="11"/>
      <c r="T1010" s="11"/>
      <c r="U1010" s="11"/>
      <c r="V1010" s="11"/>
      <c r="W1010" s="11"/>
      <c r="X1010" s="11"/>
      <c r="Y1010" s="11"/>
      <c r="Z1010" s="11"/>
      <c r="AA1010" s="11"/>
    </row>
    <row r="1011" ht="15.75" customHeight="1">
      <c r="A1011" s="737">
        <f t="shared" si="379"/>
        <v>0</v>
      </c>
      <c r="B1011" s="737">
        <f>A1011/'Orbit Info'!$G$10</f>
        <v>0</v>
      </c>
      <c r="C1011" s="737" t="str">
        <f t="shared" si="380"/>
        <v>Housekeeping and events only</v>
      </c>
      <c r="D1011" s="737">
        <f t="shared" si="381"/>
        <v>1</v>
      </c>
      <c r="E1011" s="737" t="str">
        <f t="shared" si="382"/>
        <v>#VALUE!</v>
      </c>
      <c r="F1011" s="737">
        <v>1.0</v>
      </c>
      <c r="G1011" s="737" t="str">
        <f t="shared" si="383"/>
        <v>#VALUE!</v>
      </c>
      <c r="H1011" s="737" t="str">
        <f>MIN($Q$11/('Orbit Info'!G$10),$Q$8*60)</f>
        <v>#VALUE!</v>
      </c>
      <c r="I1011" s="737" t="str">
        <f>IF(D1011=1,$Q$12/'Data DownlinkStorage Budget'!$M$3,0)</f>
        <v>#VALUE!</v>
      </c>
      <c r="J1011" s="737" t="str">
        <f t="shared" si="384"/>
        <v>#VALUE!</v>
      </c>
      <c r="K1011" s="11"/>
      <c r="L1011" s="737" t="str">
        <f t="shared" si="385"/>
        <v>FOUND product plus housekeeping</v>
      </c>
      <c r="M1011" s="737" t="str">
        <f>MIN($Q$18,$Q$10*60)-IF(D1011=1,$Q$17/'Data DownlinkStorage Budget'!$M$3,0)</f>
        <v>#VALUE!</v>
      </c>
      <c r="N1011" s="182"/>
      <c r="O1011" s="737" t="str">
        <f t="shared" si="386"/>
        <v>#VALUE!</v>
      </c>
      <c r="P1011" s="11"/>
      <c r="Q1011" s="11"/>
      <c r="R1011" s="11"/>
      <c r="S1011" s="11"/>
      <c r="T1011" s="11"/>
      <c r="U1011" s="11"/>
      <c r="V1011" s="11"/>
      <c r="W1011" s="11"/>
      <c r="X1011" s="11"/>
      <c r="Y1011" s="11"/>
      <c r="Z1011" s="11"/>
      <c r="AA1011" s="11"/>
    </row>
    <row r="1012" ht="15.75" customHeight="1">
      <c r="A1012" s="737">
        <f t="shared" si="379"/>
        <v>0</v>
      </c>
      <c r="B1012" s="737">
        <f>A1012/'Orbit Info'!$G$10</f>
        <v>0</v>
      </c>
      <c r="C1012" s="737" t="str">
        <f t="shared" si="380"/>
        <v>Housekeeping and events only</v>
      </c>
      <c r="D1012" s="737">
        <f t="shared" si="381"/>
        <v>1</v>
      </c>
      <c r="E1012" s="737" t="str">
        <f t="shared" si="382"/>
        <v>#VALUE!</v>
      </c>
      <c r="F1012" s="737">
        <v>1.0</v>
      </c>
      <c r="G1012" s="737" t="str">
        <f t="shared" si="383"/>
        <v>#VALUE!</v>
      </c>
      <c r="H1012" s="737" t="str">
        <f>MIN($Q$11/('Orbit Info'!G$10),$Q$8*60)</f>
        <v>#VALUE!</v>
      </c>
      <c r="I1012" s="737" t="str">
        <f>IF(D1012=1,$Q$12/'Data DownlinkStorage Budget'!$M$3,0)</f>
        <v>#VALUE!</v>
      </c>
      <c r="J1012" s="737" t="str">
        <f t="shared" si="384"/>
        <v>#VALUE!</v>
      </c>
      <c r="K1012" s="11"/>
      <c r="L1012" s="737" t="str">
        <f t="shared" si="385"/>
        <v>FOUND product plus housekeeping</v>
      </c>
      <c r="M1012" s="737" t="str">
        <f>MIN($Q$18,$Q$10*60)-IF(D1012=1,$Q$17/'Data DownlinkStorage Budget'!$M$3,0)</f>
        <v>#VALUE!</v>
      </c>
      <c r="N1012" s="182"/>
      <c r="O1012" s="737" t="str">
        <f t="shared" si="386"/>
        <v>#VALUE!</v>
      </c>
      <c r="P1012" s="11"/>
      <c r="Q1012" s="11"/>
      <c r="R1012" s="11"/>
      <c r="S1012" s="11"/>
      <c r="T1012" s="11"/>
      <c r="U1012" s="11"/>
      <c r="V1012" s="11"/>
      <c r="W1012" s="11"/>
      <c r="X1012" s="11"/>
      <c r="Y1012" s="11"/>
      <c r="Z1012" s="11"/>
      <c r="AA1012" s="11"/>
    </row>
    <row r="1013" ht="15.75" customHeight="1">
      <c r="A1013" s="737">
        <f t="shared" si="379"/>
        <v>0</v>
      </c>
      <c r="B1013" s="737">
        <f>A1013/'Orbit Info'!$G$10</f>
        <v>0</v>
      </c>
      <c r="C1013" s="737" t="str">
        <f t="shared" si="380"/>
        <v>Housekeeping and events only</v>
      </c>
      <c r="D1013" s="737">
        <f t="shared" si="381"/>
        <v>1</v>
      </c>
      <c r="E1013" s="737" t="str">
        <f t="shared" si="382"/>
        <v>#VALUE!</v>
      </c>
      <c r="F1013" s="737">
        <v>1.0</v>
      </c>
      <c r="G1013" s="737" t="str">
        <f t="shared" si="383"/>
        <v>#VALUE!</v>
      </c>
      <c r="H1013" s="737" t="str">
        <f>MIN($Q$11/('Orbit Info'!G$10),$Q$8*60)</f>
        <v>#VALUE!</v>
      </c>
      <c r="I1013" s="737" t="str">
        <f>IF(D1013=1,$Q$12/'Data DownlinkStorage Budget'!$M$3,0)</f>
        <v>#VALUE!</v>
      </c>
      <c r="J1013" s="737" t="str">
        <f t="shared" si="384"/>
        <v>#VALUE!</v>
      </c>
      <c r="K1013" s="11"/>
      <c r="L1013" s="737" t="str">
        <f t="shared" si="385"/>
        <v>FOUND product plus housekeeping</v>
      </c>
      <c r="M1013" s="737" t="str">
        <f>MIN($Q$18,$Q$10*60)-IF(D1013=1,$Q$17/'Data DownlinkStorage Budget'!$M$3,0)</f>
        <v>#VALUE!</v>
      </c>
      <c r="N1013" s="182"/>
      <c r="O1013" s="737" t="str">
        <f t="shared" si="386"/>
        <v>#VALUE!</v>
      </c>
      <c r="P1013" s="11"/>
      <c r="Q1013" s="11"/>
      <c r="R1013" s="11"/>
      <c r="S1013" s="11"/>
      <c r="T1013" s="11"/>
      <c r="U1013" s="11"/>
      <c r="V1013" s="11"/>
      <c r="W1013" s="11"/>
      <c r="X1013" s="11"/>
      <c r="Y1013" s="11"/>
      <c r="Z1013" s="11"/>
      <c r="AA1013" s="11"/>
    </row>
    <row r="1014" ht="15.75" customHeight="1">
      <c r="A1014" s="737">
        <f t="shared" si="379"/>
        <v>0</v>
      </c>
      <c r="B1014" s="737">
        <f>A1014/'Orbit Info'!$G$10</f>
        <v>0</v>
      </c>
      <c r="C1014" s="737" t="str">
        <f t="shared" si="380"/>
        <v>Housekeeping and events only</v>
      </c>
      <c r="D1014" s="737">
        <f t="shared" si="381"/>
        <v>1</v>
      </c>
      <c r="E1014" s="737" t="str">
        <f t="shared" si="382"/>
        <v>#VALUE!</v>
      </c>
      <c r="F1014" s="737">
        <v>1.0</v>
      </c>
      <c r="G1014" s="737" t="str">
        <f t="shared" si="383"/>
        <v>#VALUE!</v>
      </c>
      <c r="H1014" s="737" t="str">
        <f>MIN($Q$11/('Orbit Info'!G$10),$Q$8*60)</f>
        <v>#VALUE!</v>
      </c>
      <c r="I1014" s="737" t="str">
        <f>IF(D1014=1,$Q$12/'Data DownlinkStorage Budget'!$M$3,0)</f>
        <v>#VALUE!</v>
      </c>
      <c r="J1014" s="737" t="str">
        <f t="shared" si="384"/>
        <v>#VALUE!</v>
      </c>
      <c r="K1014" s="11"/>
      <c r="L1014" s="737" t="str">
        <f t="shared" si="385"/>
        <v>FOUND product plus housekeeping</v>
      </c>
      <c r="M1014" s="737" t="str">
        <f>MIN($Q$18,$Q$10*60)-IF(D1014=1,$Q$17/'Data DownlinkStorage Budget'!$M$3,0)</f>
        <v>#VALUE!</v>
      </c>
      <c r="N1014" s="182"/>
      <c r="O1014" s="737" t="str">
        <f t="shared" si="386"/>
        <v>#VALUE!</v>
      </c>
      <c r="P1014" s="11"/>
      <c r="Q1014" s="11"/>
      <c r="R1014" s="11"/>
      <c r="S1014" s="11"/>
      <c r="T1014" s="11"/>
      <c r="U1014" s="11"/>
      <c r="V1014" s="11"/>
      <c r="W1014" s="11"/>
      <c r="X1014" s="11"/>
      <c r="Y1014" s="11"/>
      <c r="Z1014" s="11"/>
      <c r="AA1014" s="11"/>
    </row>
    <row r="1015" ht="15.75" customHeight="1">
      <c r="A1015" s="737">
        <f t="shared" si="379"/>
        <v>0</v>
      </c>
      <c r="B1015" s="737">
        <f>A1015/'Orbit Info'!$G$10</f>
        <v>0</v>
      </c>
      <c r="C1015" s="737" t="str">
        <f t="shared" si="380"/>
        <v>Housekeeping and events only</v>
      </c>
      <c r="D1015" s="737">
        <f t="shared" si="381"/>
        <v>1</v>
      </c>
      <c r="E1015" s="737" t="str">
        <f t="shared" si="382"/>
        <v>#VALUE!</v>
      </c>
      <c r="F1015" s="737">
        <v>1.0</v>
      </c>
      <c r="G1015" s="737" t="str">
        <f t="shared" si="383"/>
        <v>#VALUE!</v>
      </c>
      <c r="H1015" s="737" t="str">
        <f>MIN($Q$11/('Orbit Info'!G$10),$Q$8*60)</f>
        <v>#VALUE!</v>
      </c>
      <c r="I1015" s="737" t="str">
        <f>IF(D1015=1,$Q$12/'Data DownlinkStorage Budget'!$M$3,0)</f>
        <v>#VALUE!</v>
      </c>
      <c r="J1015" s="737" t="str">
        <f t="shared" si="384"/>
        <v>#VALUE!</v>
      </c>
      <c r="K1015" s="11"/>
      <c r="L1015" s="737" t="str">
        <f t="shared" si="385"/>
        <v>FOUND product plus housekeeping</v>
      </c>
      <c r="M1015" s="737" t="str">
        <f>MIN($Q$18,$Q$10*60)-IF(D1015=1,$Q$17/'Data DownlinkStorage Budget'!$M$3,0)</f>
        <v>#VALUE!</v>
      </c>
      <c r="N1015" s="182"/>
      <c r="O1015" s="737" t="str">
        <f t="shared" si="386"/>
        <v>#VALUE!</v>
      </c>
      <c r="P1015" s="11"/>
      <c r="Q1015" s="11"/>
      <c r="R1015" s="11"/>
      <c r="S1015" s="11"/>
      <c r="T1015" s="11"/>
      <c r="U1015" s="11"/>
      <c r="V1015" s="11"/>
      <c r="W1015" s="11"/>
      <c r="X1015" s="11"/>
      <c r="Y1015" s="11"/>
      <c r="Z1015" s="11"/>
      <c r="AA1015" s="11"/>
    </row>
    <row r="1016" ht="15.75" customHeight="1">
      <c r="A1016" s="737">
        <f t="shared" si="379"/>
        <v>0</v>
      </c>
      <c r="B1016" s="737">
        <f>A1016/'Orbit Info'!$G$10</f>
        <v>0</v>
      </c>
      <c r="C1016" s="737" t="str">
        <f t="shared" si="380"/>
        <v>Housekeeping and events only</v>
      </c>
      <c r="D1016" s="737">
        <f t="shared" si="381"/>
        <v>1</v>
      </c>
      <c r="E1016" s="737" t="str">
        <f t="shared" si="382"/>
        <v>#VALUE!</v>
      </c>
      <c r="F1016" s="737">
        <v>1.0</v>
      </c>
      <c r="G1016" s="737" t="str">
        <f t="shared" si="383"/>
        <v>#VALUE!</v>
      </c>
      <c r="H1016" s="737" t="str">
        <f>MIN($Q$11/('Orbit Info'!G$10),$Q$8*60)</f>
        <v>#VALUE!</v>
      </c>
      <c r="I1016" s="737" t="str">
        <f>IF(D1016=1,$Q$12/'Data DownlinkStorage Budget'!$M$3,0)</f>
        <v>#VALUE!</v>
      </c>
      <c r="J1016" s="737" t="str">
        <f t="shared" si="384"/>
        <v>#VALUE!</v>
      </c>
      <c r="K1016" s="11"/>
      <c r="L1016" s="737" t="str">
        <f t="shared" si="385"/>
        <v>FOUND product plus housekeeping</v>
      </c>
      <c r="M1016" s="737" t="str">
        <f>MIN($Q$18,$Q$10*60)-IF(D1016=1,$Q$17/'Data DownlinkStorage Budget'!$M$3,0)</f>
        <v>#VALUE!</v>
      </c>
      <c r="N1016" s="182"/>
      <c r="O1016" s="737" t="str">
        <f t="shared" si="386"/>
        <v>#VALUE!</v>
      </c>
      <c r="P1016" s="11"/>
      <c r="Q1016" s="11"/>
      <c r="R1016" s="11"/>
      <c r="S1016" s="11"/>
      <c r="T1016" s="11"/>
      <c r="U1016" s="11"/>
      <c r="V1016" s="11"/>
      <c r="W1016" s="11"/>
      <c r="X1016" s="11"/>
      <c r="Y1016" s="11"/>
      <c r="Z1016" s="11"/>
      <c r="AA1016" s="11"/>
    </row>
    <row r="1017" ht="15.75" customHeight="1">
      <c r="A1017" s="737">
        <f t="shared" si="379"/>
        <v>0</v>
      </c>
      <c r="B1017" s="737">
        <f>A1017/'Orbit Info'!$G$10</f>
        <v>0</v>
      </c>
      <c r="C1017" s="737" t="str">
        <f t="shared" si="380"/>
        <v>Housekeeping and events only</v>
      </c>
      <c r="D1017" s="737">
        <f t="shared" si="381"/>
        <v>1</v>
      </c>
      <c r="E1017" s="737" t="str">
        <f t="shared" si="382"/>
        <v>#VALUE!</v>
      </c>
      <c r="F1017" s="737">
        <v>1.0</v>
      </c>
      <c r="G1017" s="737" t="str">
        <f t="shared" si="383"/>
        <v>#VALUE!</v>
      </c>
      <c r="H1017" s="737" t="str">
        <f>MIN($Q$11/('Orbit Info'!G$10),$Q$8*60)</f>
        <v>#VALUE!</v>
      </c>
      <c r="I1017" s="737" t="str">
        <f>IF(D1017=1,$Q$12/'Data DownlinkStorage Budget'!$M$3,0)</f>
        <v>#VALUE!</v>
      </c>
      <c r="J1017" s="737" t="str">
        <f t="shared" si="384"/>
        <v>#VALUE!</v>
      </c>
      <c r="K1017" s="11"/>
      <c r="L1017" s="737" t="str">
        <f t="shared" si="385"/>
        <v>FOUND product plus housekeeping</v>
      </c>
      <c r="M1017" s="737" t="str">
        <f>MIN($Q$18,$Q$10*60)-IF(D1017=1,$Q$17/'Data DownlinkStorage Budget'!$M$3,0)</f>
        <v>#VALUE!</v>
      </c>
      <c r="N1017" s="182"/>
      <c r="O1017" s="737" t="str">
        <f t="shared" si="386"/>
        <v>#VALUE!</v>
      </c>
      <c r="P1017" s="11"/>
      <c r="Q1017" s="11"/>
      <c r="R1017" s="11"/>
      <c r="S1017" s="11"/>
      <c r="T1017" s="11"/>
      <c r="U1017" s="11"/>
      <c r="V1017" s="11"/>
      <c r="W1017" s="11"/>
      <c r="X1017" s="11"/>
      <c r="Y1017" s="11"/>
      <c r="Z1017" s="11"/>
      <c r="AA1017" s="11"/>
    </row>
    <row r="1018" ht="15.75" customHeight="1">
      <c r="A1018" s="737">
        <f t="shared" si="379"/>
        <v>0</v>
      </c>
      <c r="B1018" s="737">
        <f>A1018/'Orbit Info'!$G$10</f>
        <v>0</v>
      </c>
      <c r="C1018" s="737" t="str">
        <f t="shared" si="380"/>
        <v>Housekeeping and events only</v>
      </c>
      <c r="D1018" s="737">
        <f t="shared" si="381"/>
        <v>1</v>
      </c>
      <c r="E1018" s="737" t="str">
        <f t="shared" si="382"/>
        <v>#VALUE!</v>
      </c>
      <c r="F1018" s="737">
        <v>1.0</v>
      </c>
      <c r="G1018" s="737" t="str">
        <f t="shared" si="383"/>
        <v>#VALUE!</v>
      </c>
      <c r="H1018" s="737" t="str">
        <f>MIN($Q$11/('Orbit Info'!G$10),$Q$8*60)</f>
        <v>#VALUE!</v>
      </c>
      <c r="I1018" s="737" t="str">
        <f>IF(D1018=1,$Q$12/'Data DownlinkStorage Budget'!$M$3,0)</f>
        <v>#VALUE!</v>
      </c>
      <c r="J1018" s="737" t="str">
        <f t="shared" si="384"/>
        <v>#VALUE!</v>
      </c>
      <c r="K1018" s="11"/>
      <c r="L1018" s="737" t="str">
        <f t="shared" si="385"/>
        <v>FOUND product plus housekeeping</v>
      </c>
      <c r="M1018" s="737" t="str">
        <f>MIN($Q$18,$Q$10*60)-IF(D1018=1,$Q$17/'Data DownlinkStorage Budget'!$M$3,0)</f>
        <v>#VALUE!</v>
      </c>
      <c r="N1018" s="182"/>
      <c r="O1018" s="737" t="str">
        <f t="shared" si="386"/>
        <v>#VALUE!</v>
      </c>
      <c r="P1018" s="11"/>
      <c r="Q1018" s="11"/>
      <c r="R1018" s="11"/>
      <c r="S1018" s="11"/>
      <c r="T1018" s="11"/>
      <c r="U1018" s="11"/>
      <c r="V1018" s="11"/>
      <c r="W1018" s="11"/>
      <c r="X1018" s="11"/>
      <c r="Y1018" s="11"/>
      <c r="Z1018" s="11"/>
      <c r="AA1018" s="11"/>
    </row>
    <row r="1019" ht="15.75" customHeight="1">
      <c r="A1019" s="737">
        <f t="shared" si="379"/>
        <v>0</v>
      </c>
      <c r="B1019" s="737">
        <f>A1019/'Orbit Info'!$G$10</f>
        <v>0</v>
      </c>
      <c r="C1019" s="737" t="str">
        <f t="shared" si="380"/>
        <v>Housekeeping and events only</v>
      </c>
      <c r="D1019" s="737">
        <f t="shared" si="381"/>
        <v>1</v>
      </c>
      <c r="E1019" s="737" t="str">
        <f t="shared" si="382"/>
        <v>#VALUE!</v>
      </c>
      <c r="F1019" s="737">
        <v>1.0</v>
      </c>
      <c r="G1019" s="737" t="str">
        <f t="shared" si="383"/>
        <v>#VALUE!</v>
      </c>
      <c r="H1019" s="737" t="str">
        <f>MIN($Q$11/('Orbit Info'!G$10),$Q$8*60)</f>
        <v>#VALUE!</v>
      </c>
      <c r="I1019" s="737" t="str">
        <f>IF(D1019=1,$Q$12/'Data DownlinkStorage Budget'!$M$3,0)</f>
        <v>#VALUE!</v>
      </c>
      <c r="J1019" s="737" t="str">
        <f t="shared" si="384"/>
        <v>#VALUE!</v>
      </c>
      <c r="K1019" s="11"/>
      <c r="L1019" s="737" t="str">
        <f t="shared" si="385"/>
        <v>FOUND product plus housekeeping</v>
      </c>
      <c r="M1019" s="737" t="str">
        <f>MIN($Q$18,$Q$10*60)-IF(D1019=1,$Q$17/'Data DownlinkStorage Budget'!$M$3,0)</f>
        <v>#VALUE!</v>
      </c>
      <c r="N1019" s="182"/>
      <c r="O1019" s="737" t="str">
        <f t="shared" si="386"/>
        <v>#VALUE!</v>
      </c>
      <c r="P1019" s="11"/>
      <c r="Q1019" s="11"/>
      <c r="R1019" s="11"/>
      <c r="S1019" s="11"/>
      <c r="T1019" s="11"/>
      <c r="U1019" s="11"/>
      <c r="V1019" s="11"/>
      <c r="W1019" s="11"/>
      <c r="X1019" s="11"/>
      <c r="Y1019" s="11"/>
      <c r="Z1019" s="11"/>
      <c r="AA1019" s="11"/>
    </row>
    <row r="1020" ht="15.75" customHeight="1">
      <c r="A1020" s="737">
        <f t="shared" si="379"/>
        <v>0</v>
      </c>
      <c r="B1020" s="737">
        <f>A1020/'Orbit Info'!$G$10</f>
        <v>0</v>
      </c>
      <c r="C1020" s="737" t="str">
        <f t="shared" si="380"/>
        <v>Housekeeping and events only</v>
      </c>
      <c r="D1020" s="737">
        <f t="shared" si="381"/>
        <v>1</v>
      </c>
      <c r="E1020" s="737" t="str">
        <f t="shared" si="382"/>
        <v>#VALUE!</v>
      </c>
      <c r="F1020" s="737">
        <v>1.0</v>
      </c>
      <c r="G1020" s="737" t="str">
        <f t="shared" si="383"/>
        <v>#VALUE!</v>
      </c>
      <c r="H1020" s="737" t="str">
        <f>MIN($Q$11/('Orbit Info'!G$10),$Q$8*60)</f>
        <v>#VALUE!</v>
      </c>
      <c r="I1020" s="737" t="str">
        <f>IF(D1020=1,$Q$12/'Data DownlinkStorage Budget'!$M$3,0)</f>
        <v>#VALUE!</v>
      </c>
      <c r="J1020" s="737" t="str">
        <f t="shared" si="384"/>
        <v>#VALUE!</v>
      </c>
      <c r="K1020" s="11"/>
      <c r="L1020" s="737" t="str">
        <f t="shared" si="385"/>
        <v>FOUND product plus housekeeping</v>
      </c>
      <c r="M1020" s="737" t="str">
        <f>MIN($Q$18,$Q$10*60)-IF(D1020=1,$Q$17/'Data DownlinkStorage Budget'!$M$3,0)</f>
        <v>#VALUE!</v>
      </c>
      <c r="N1020" s="182"/>
      <c r="O1020" s="737" t="str">
        <f t="shared" si="386"/>
        <v>#VALUE!</v>
      </c>
      <c r="P1020" s="11"/>
      <c r="Q1020" s="11"/>
      <c r="R1020" s="11"/>
      <c r="S1020" s="11"/>
      <c r="T1020" s="11"/>
      <c r="U1020" s="11"/>
      <c r="V1020" s="11"/>
      <c r="W1020" s="11"/>
      <c r="X1020" s="11"/>
      <c r="Y1020" s="11"/>
      <c r="Z1020" s="11"/>
      <c r="AA1020" s="11"/>
    </row>
    <row r="1021" ht="15.75" customHeight="1">
      <c r="A1021" s="737">
        <f t="shared" si="379"/>
        <v>0</v>
      </c>
      <c r="B1021" s="737">
        <f>A1021/'Orbit Info'!$G$10</f>
        <v>0</v>
      </c>
      <c r="C1021" s="737" t="str">
        <f t="shared" si="380"/>
        <v>Housekeeping and events only</v>
      </c>
      <c r="D1021" s="737">
        <f t="shared" si="381"/>
        <v>1</v>
      </c>
      <c r="E1021" s="737" t="str">
        <f t="shared" si="382"/>
        <v>#VALUE!</v>
      </c>
      <c r="F1021" s="737">
        <v>1.0</v>
      </c>
      <c r="G1021" s="737" t="str">
        <f t="shared" si="383"/>
        <v>#VALUE!</v>
      </c>
      <c r="H1021" s="737" t="str">
        <f>MIN($Q$11/('Orbit Info'!G$10),$Q$8*60)</f>
        <v>#VALUE!</v>
      </c>
      <c r="I1021" s="737" t="str">
        <f>IF(D1021=1,$Q$12/'Data DownlinkStorage Budget'!$M$3,0)</f>
        <v>#VALUE!</v>
      </c>
      <c r="J1021" s="737" t="str">
        <f t="shared" si="384"/>
        <v>#VALUE!</v>
      </c>
      <c r="K1021" s="11"/>
      <c r="L1021" s="737" t="str">
        <f t="shared" si="385"/>
        <v>FOUND product plus housekeeping</v>
      </c>
      <c r="M1021" s="737" t="str">
        <f>MIN($Q$18,$Q$10*60)-IF(D1021=1,$Q$17/'Data DownlinkStorage Budget'!$M$3,0)</f>
        <v>#VALUE!</v>
      </c>
      <c r="N1021" s="182"/>
      <c r="O1021" s="737" t="str">
        <f t="shared" si="386"/>
        <v>#VALUE!</v>
      </c>
      <c r="P1021" s="11"/>
      <c r="Q1021" s="11"/>
      <c r="R1021" s="11"/>
      <c r="S1021" s="11"/>
      <c r="T1021" s="11"/>
      <c r="U1021" s="11"/>
      <c r="V1021" s="11"/>
      <c r="W1021" s="11"/>
      <c r="X1021" s="11"/>
      <c r="Y1021" s="11"/>
      <c r="Z1021" s="11"/>
      <c r="AA1021" s="11"/>
    </row>
    <row r="1022" ht="15.75" customHeight="1">
      <c r="A1022" s="737">
        <f t="shared" si="379"/>
        <v>0</v>
      </c>
      <c r="B1022" s="737">
        <f>A1022/'Orbit Info'!$G$10</f>
        <v>0</v>
      </c>
      <c r="C1022" s="737" t="str">
        <f t="shared" si="380"/>
        <v>Housekeeping and events only</v>
      </c>
      <c r="D1022" s="737">
        <f t="shared" si="381"/>
        <v>1</v>
      </c>
      <c r="E1022" s="737" t="str">
        <f t="shared" si="382"/>
        <v>#VALUE!</v>
      </c>
      <c r="F1022" s="737">
        <v>1.0</v>
      </c>
      <c r="G1022" s="737" t="str">
        <f t="shared" si="383"/>
        <v>#VALUE!</v>
      </c>
      <c r="H1022" s="737" t="str">
        <f>MIN($Q$11/('Orbit Info'!G$10),$Q$8*60)</f>
        <v>#VALUE!</v>
      </c>
      <c r="I1022" s="737" t="str">
        <f>IF(D1022=1,$Q$12/'Data DownlinkStorage Budget'!$M$3,0)</f>
        <v>#VALUE!</v>
      </c>
      <c r="J1022" s="737" t="str">
        <f t="shared" si="384"/>
        <v>#VALUE!</v>
      </c>
      <c r="K1022" s="11"/>
      <c r="L1022" s="737" t="str">
        <f t="shared" si="385"/>
        <v>FOUND product plus housekeeping</v>
      </c>
      <c r="M1022" s="737" t="str">
        <f>MIN($Q$18,$Q$10*60)-IF(D1022=1,$Q$17/'Data DownlinkStorage Budget'!$M$3,0)</f>
        <v>#VALUE!</v>
      </c>
      <c r="N1022" s="182"/>
      <c r="O1022" s="737" t="str">
        <f t="shared" si="386"/>
        <v>#VALUE!</v>
      </c>
      <c r="P1022" s="11"/>
      <c r="Q1022" s="11"/>
      <c r="R1022" s="11"/>
      <c r="S1022" s="11"/>
      <c r="T1022" s="11"/>
      <c r="U1022" s="11"/>
      <c r="V1022" s="11"/>
      <c r="W1022" s="11"/>
      <c r="X1022" s="11"/>
      <c r="Y1022" s="11"/>
      <c r="Z1022" s="11"/>
      <c r="AA1022" s="11"/>
    </row>
    <row r="1023" ht="15.75" customHeight="1">
      <c r="A1023" s="737">
        <f t="shared" si="379"/>
        <v>0</v>
      </c>
      <c r="B1023" s="737">
        <f>A1023/'Orbit Info'!$G$10</f>
        <v>0</v>
      </c>
      <c r="C1023" s="737" t="str">
        <f t="shared" si="380"/>
        <v>Housekeeping and events only</v>
      </c>
      <c r="D1023" s="737">
        <f t="shared" si="381"/>
        <v>1</v>
      </c>
      <c r="E1023" s="737" t="str">
        <f t="shared" si="382"/>
        <v>#VALUE!</v>
      </c>
      <c r="F1023" s="737">
        <v>1.0</v>
      </c>
      <c r="G1023" s="737" t="str">
        <f t="shared" si="383"/>
        <v>#VALUE!</v>
      </c>
      <c r="H1023" s="737" t="str">
        <f>MIN($Q$11/('Orbit Info'!G$10),$Q$8*60)</f>
        <v>#VALUE!</v>
      </c>
      <c r="I1023" s="737" t="str">
        <f>IF(D1023=1,$Q$12/'Data DownlinkStorage Budget'!$M$3,0)</f>
        <v>#VALUE!</v>
      </c>
      <c r="J1023" s="737" t="str">
        <f t="shared" si="384"/>
        <v>#VALUE!</v>
      </c>
      <c r="K1023" s="11"/>
      <c r="L1023" s="737" t="str">
        <f t="shared" si="385"/>
        <v>FOUND product plus housekeeping</v>
      </c>
      <c r="M1023" s="737" t="str">
        <f>MIN($Q$18,$Q$10*60)-IF(D1023=1,$Q$17/'Data DownlinkStorage Budget'!$M$3,0)</f>
        <v>#VALUE!</v>
      </c>
      <c r="N1023" s="182"/>
      <c r="O1023" s="737" t="str">
        <f t="shared" si="386"/>
        <v>#VALUE!</v>
      </c>
      <c r="P1023" s="11"/>
      <c r="Q1023" s="11"/>
      <c r="R1023" s="11"/>
      <c r="S1023" s="11"/>
      <c r="T1023" s="11"/>
      <c r="U1023" s="11"/>
      <c r="V1023" s="11"/>
      <c r="W1023" s="11"/>
      <c r="X1023" s="11"/>
      <c r="Y1023" s="11"/>
      <c r="Z1023" s="11"/>
      <c r="AA1023" s="11"/>
    </row>
    <row r="1024" ht="15.75" customHeight="1">
      <c r="A1024" s="737">
        <f t="shared" si="379"/>
        <v>0</v>
      </c>
      <c r="B1024" s="737">
        <f>A1024/'Orbit Info'!$G$10</f>
        <v>0</v>
      </c>
      <c r="C1024" s="737" t="str">
        <f t="shared" si="380"/>
        <v>Housekeeping and events only</v>
      </c>
      <c r="D1024" s="737">
        <f t="shared" si="381"/>
        <v>1</v>
      </c>
      <c r="E1024" s="737" t="str">
        <f t="shared" si="382"/>
        <v>#VALUE!</v>
      </c>
      <c r="F1024" s="737">
        <v>1.0</v>
      </c>
      <c r="G1024" s="737" t="str">
        <f t="shared" si="383"/>
        <v>#VALUE!</v>
      </c>
      <c r="H1024" s="737" t="str">
        <f>MIN($Q$11/('Orbit Info'!G$10),$Q$8*60)</f>
        <v>#VALUE!</v>
      </c>
      <c r="I1024" s="737" t="str">
        <f>IF(D1024=1,$Q$12/'Data DownlinkStorage Budget'!$M$3,0)</f>
        <v>#VALUE!</v>
      </c>
      <c r="J1024" s="737" t="str">
        <f t="shared" si="384"/>
        <v>#VALUE!</v>
      </c>
      <c r="K1024" s="11"/>
      <c r="L1024" s="737" t="str">
        <f t="shared" si="385"/>
        <v>FOUND product plus housekeeping</v>
      </c>
      <c r="M1024" s="737" t="str">
        <f>MIN($Q$18,$Q$10*60)-IF(D1024=1,$Q$17/'Data DownlinkStorage Budget'!$M$3,0)</f>
        <v>#VALUE!</v>
      </c>
      <c r="N1024" s="182"/>
      <c r="O1024" s="737" t="str">
        <f t="shared" si="386"/>
        <v>#VALUE!</v>
      </c>
      <c r="P1024" s="11"/>
      <c r="Q1024" s="11"/>
      <c r="R1024" s="11"/>
      <c r="S1024" s="11"/>
      <c r="T1024" s="11"/>
      <c r="U1024" s="11"/>
      <c r="V1024" s="11"/>
      <c r="W1024" s="11"/>
      <c r="X1024" s="11"/>
      <c r="Y1024" s="11"/>
      <c r="Z1024" s="11"/>
      <c r="AA1024" s="11"/>
    </row>
    <row r="1025" ht="15.75" customHeight="1">
      <c r="A1025" s="737">
        <f t="shared" si="379"/>
        <v>0</v>
      </c>
      <c r="B1025" s="737">
        <f>A1025/'Orbit Info'!$G$10</f>
        <v>0</v>
      </c>
      <c r="C1025" s="737" t="str">
        <f t="shared" si="380"/>
        <v>Housekeeping and events only</v>
      </c>
      <c r="D1025" s="737">
        <f t="shared" si="381"/>
        <v>1</v>
      </c>
      <c r="E1025" s="737" t="str">
        <f t="shared" si="382"/>
        <v>#VALUE!</v>
      </c>
      <c r="F1025" s="737">
        <v>1.0</v>
      </c>
      <c r="G1025" s="737" t="str">
        <f t="shared" si="383"/>
        <v>#VALUE!</v>
      </c>
      <c r="H1025" s="737" t="str">
        <f>MIN($Q$11/('Orbit Info'!G$10),$Q$8*60)</f>
        <v>#VALUE!</v>
      </c>
      <c r="I1025" s="737" t="str">
        <f>IF(D1025=1,$Q$12/'Data DownlinkStorage Budget'!$M$3,0)</f>
        <v>#VALUE!</v>
      </c>
      <c r="J1025" s="737" t="str">
        <f t="shared" si="384"/>
        <v>#VALUE!</v>
      </c>
      <c r="K1025" s="11"/>
      <c r="L1025" s="737" t="str">
        <f t="shared" si="385"/>
        <v>FOUND product plus housekeeping</v>
      </c>
      <c r="M1025" s="737" t="str">
        <f>MIN($Q$18,$Q$10*60)-IF(D1025=1,$Q$17/'Data DownlinkStorage Budget'!$M$3,0)</f>
        <v>#VALUE!</v>
      </c>
      <c r="N1025" s="182"/>
      <c r="O1025" s="737" t="str">
        <f t="shared" si="386"/>
        <v>#VALUE!</v>
      </c>
      <c r="P1025" s="11"/>
      <c r="Q1025" s="11"/>
      <c r="R1025" s="11"/>
      <c r="S1025" s="11"/>
      <c r="T1025" s="11"/>
      <c r="U1025" s="11"/>
      <c r="V1025" s="11"/>
      <c r="W1025" s="11"/>
      <c r="X1025" s="11"/>
      <c r="Y1025" s="11"/>
      <c r="Z1025" s="11"/>
      <c r="AA1025" s="11"/>
    </row>
    <row r="1026" ht="15.75" customHeight="1">
      <c r="A1026" s="737">
        <f t="shared" si="379"/>
        <v>0</v>
      </c>
      <c r="B1026" s="737">
        <f>A1026/'Orbit Info'!$G$10</f>
        <v>0</v>
      </c>
      <c r="C1026" s="737" t="str">
        <f t="shared" si="380"/>
        <v>Housekeeping and events only</v>
      </c>
      <c r="D1026" s="737">
        <f t="shared" si="381"/>
        <v>1</v>
      </c>
      <c r="E1026" s="737" t="str">
        <f t="shared" si="382"/>
        <v>#VALUE!</v>
      </c>
      <c r="F1026" s="737">
        <v>1.0</v>
      </c>
      <c r="G1026" s="737" t="str">
        <f t="shared" si="383"/>
        <v>#VALUE!</v>
      </c>
      <c r="H1026" s="737" t="str">
        <f>MIN($Q$11/('Orbit Info'!G$10),$Q$8*60)</f>
        <v>#VALUE!</v>
      </c>
      <c r="I1026" s="737" t="str">
        <f>IF(D1026=1,$Q$12/'Data DownlinkStorage Budget'!$M$3,0)</f>
        <v>#VALUE!</v>
      </c>
      <c r="J1026" s="737" t="str">
        <f t="shared" si="384"/>
        <v>#VALUE!</v>
      </c>
      <c r="K1026" s="11"/>
      <c r="L1026" s="737" t="str">
        <f t="shared" si="385"/>
        <v>FOUND product plus housekeeping</v>
      </c>
      <c r="M1026" s="737" t="str">
        <f>MIN($Q$18,$Q$10*60)-IF(D1026=1,$Q$17/'Data DownlinkStorage Budget'!$M$3,0)</f>
        <v>#VALUE!</v>
      </c>
      <c r="N1026" s="182"/>
      <c r="O1026" s="737" t="str">
        <f t="shared" si="386"/>
        <v>#VALUE!</v>
      </c>
      <c r="P1026" s="11"/>
      <c r="Q1026" s="11"/>
      <c r="R1026" s="11"/>
      <c r="S1026" s="11"/>
      <c r="T1026" s="11"/>
      <c r="U1026" s="11"/>
      <c r="V1026" s="11"/>
      <c r="W1026" s="11"/>
      <c r="X1026" s="11"/>
      <c r="Y1026" s="11"/>
      <c r="Z1026" s="11"/>
      <c r="AA1026" s="11"/>
    </row>
    <row r="1027" ht="15.75" customHeight="1">
      <c r="A1027" s="737">
        <f t="shared" si="379"/>
        <v>0</v>
      </c>
      <c r="B1027" s="737">
        <f>A1027/'Orbit Info'!$G$10</f>
        <v>0</v>
      </c>
      <c r="C1027" s="737" t="str">
        <f t="shared" si="380"/>
        <v>Housekeeping and events only</v>
      </c>
      <c r="D1027" s="737">
        <f t="shared" si="381"/>
        <v>1</v>
      </c>
      <c r="E1027" s="737" t="str">
        <f t="shared" si="382"/>
        <v>#VALUE!</v>
      </c>
      <c r="F1027" s="737">
        <v>1.0</v>
      </c>
      <c r="G1027" s="737" t="str">
        <f t="shared" si="383"/>
        <v>#VALUE!</v>
      </c>
      <c r="H1027" s="737" t="str">
        <f>MIN($Q$11/('Orbit Info'!G$10),$Q$8*60)</f>
        <v>#VALUE!</v>
      </c>
      <c r="I1027" s="737" t="str">
        <f>IF(D1027=1,$Q$12/'Data DownlinkStorage Budget'!$M$3,0)</f>
        <v>#VALUE!</v>
      </c>
      <c r="J1027" s="737" t="str">
        <f t="shared" si="384"/>
        <v>#VALUE!</v>
      </c>
      <c r="K1027" s="11"/>
      <c r="L1027" s="737" t="str">
        <f t="shared" si="385"/>
        <v>FOUND product plus housekeeping</v>
      </c>
      <c r="M1027" s="737" t="str">
        <f>MIN($Q$18,$Q$10*60)-IF(D1027=1,$Q$17/'Data DownlinkStorage Budget'!$M$3,0)</f>
        <v>#VALUE!</v>
      </c>
      <c r="N1027" s="182"/>
      <c r="O1027" s="737" t="str">
        <f t="shared" si="386"/>
        <v>#VALUE!</v>
      </c>
      <c r="P1027" s="11"/>
      <c r="Q1027" s="11"/>
      <c r="R1027" s="11"/>
      <c r="S1027" s="11"/>
      <c r="T1027" s="11"/>
      <c r="U1027" s="11"/>
      <c r="V1027" s="11"/>
      <c r="W1027" s="11"/>
      <c r="X1027" s="11"/>
      <c r="Y1027" s="11"/>
      <c r="Z1027" s="11"/>
      <c r="AA1027" s="11"/>
    </row>
    <row r="1028" ht="15.75" customHeight="1">
      <c r="A1028" s="737">
        <f t="shared" si="379"/>
        <v>0</v>
      </c>
      <c r="B1028" s="737">
        <f>A1028/'Orbit Info'!$G$10</f>
        <v>0</v>
      </c>
      <c r="C1028" s="737" t="str">
        <f t="shared" si="380"/>
        <v>Housekeeping and events only</v>
      </c>
      <c r="D1028" s="737">
        <f t="shared" si="381"/>
        <v>1</v>
      </c>
      <c r="E1028" s="737" t="str">
        <f t="shared" si="382"/>
        <v>#VALUE!</v>
      </c>
      <c r="F1028" s="737">
        <v>1.0</v>
      </c>
      <c r="G1028" s="737" t="str">
        <f t="shared" si="383"/>
        <v>#VALUE!</v>
      </c>
      <c r="H1028" s="737" t="str">
        <f>MIN($Q$11/('Orbit Info'!G$10),$Q$8*60)</f>
        <v>#VALUE!</v>
      </c>
      <c r="I1028" s="737" t="str">
        <f>IF(D1028=1,$Q$12/'Data DownlinkStorage Budget'!$M$3,0)</f>
        <v>#VALUE!</v>
      </c>
      <c r="J1028" s="737" t="str">
        <f t="shared" si="384"/>
        <v>#VALUE!</v>
      </c>
      <c r="K1028" s="11"/>
      <c r="L1028" s="737" t="str">
        <f t="shared" si="385"/>
        <v>FOUND product plus housekeeping</v>
      </c>
      <c r="M1028" s="737" t="str">
        <f>MIN($Q$18,$Q$10*60)-IF(D1028=1,$Q$17/'Data DownlinkStorage Budget'!$M$3,0)</f>
        <v>#VALUE!</v>
      </c>
      <c r="N1028" s="182"/>
      <c r="O1028" s="737" t="str">
        <f t="shared" si="386"/>
        <v>#VALUE!</v>
      </c>
      <c r="P1028" s="11"/>
      <c r="Q1028" s="11"/>
      <c r="R1028" s="11"/>
      <c r="S1028" s="11"/>
      <c r="T1028" s="11"/>
      <c r="U1028" s="11"/>
      <c r="V1028" s="11"/>
      <c r="W1028" s="11"/>
      <c r="X1028" s="11"/>
      <c r="Y1028" s="11"/>
      <c r="Z1028" s="11"/>
      <c r="AA1028" s="11"/>
    </row>
    <row r="1029" ht="15.75" customHeight="1">
      <c r="A1029" s="737">
        <f t="shared" si="379"/>
        <v>0</v>
      </c>
      <c r="B1029" s="737">
        <f>A1029/'Orbit Info'!$G$10</f>
        <v>0</v>
      </c>
      <c r="C1029" s="737" t="str">
        <f t="shared" si="380"/>
        <v>Housekeeping and events only</v>
      </c>
      <c r="D1029" s="737">
        <f t="shared" si="381"/>
        <v>1</v>
      </c>
      <c r="E1029" s="737" t="str">
        <f t="shared" si="382"/>
        <v>#VALUE!</v>
      </c>
      <c r="F1029" s="737">
        <v>1.0</v>
      </c>
      <c r="G1029" s="737" t="str">
        <f t="shared" si="383"/>
        <v>#VALUE!</v>
      </c>
      <c r="H1029" s="737" t="str">
        <f>MIN($Q$11/('Orbit Info'!G$10),$Q$8*60)</f>
        <v>#VALUE!</v>
      </c>
      <c r="I1029" s="737" t="str">
        <f>IF(D1029=1,$Q$12/'Data DownlinkStorage Budget'!$M$3,0)</f>
        <v>#VALUE!</v>
      </c>
      <c r="J1029" s="737" t="str">
        <f t="shared" si="384"/>
        <v>#VALUE!</v>
      </c>
      <c r="K1029" s="11"/>
      <c r="L1029" s="737" t="str">
        <f t="shared" si="385"/>
        <v>FOUND product plus housekeeping</v>
      </c>
      <c r="M1029" s="737" t="str">
        <f>MIN($Q$18,$Q$10*60)-IF(D1029=1,$Q$17/'Data DownlinkStorage Budget'!$M$3,0)</f>
        <v>#VALUE!</v>
      </c>
      <c r="N1029" s="182"/>
      <c r="O1029" s="737" t="str">
        <f t="shared" si="386"/>
        <v>#VALUE!</v>
      </c>
      <c r="P1029" s="11"/>
      <c r="Q1029" s="11"/>
      <c r="R1029" s="11"/>
      <c r="S1029" s="11"/>
      <c r="T1029" s="11"/>
      <c r="U1029" s="11"/>
      <c r="V1029" s="11"/>
      <c r="W1029" s="11"/>
      <c r="X1029" s="11"/>
      <c r="Y1029" s="11"/>
      <c r="Z1029" s="11"/>
      <c r="AA1029" s="11"/>
    </row>
    <row r="1030" ht="15.75" customHeight="1">
      <c r="A1030" s="737">
        <f t="shared" si="379"/>
        <v>0</v>
      </c>
      <c r="B1030" s="737">
        <f>A1030/'Orbit Info'!$G$10</f>
        <v>0</v>
      </c>
      <c r="C1030" s="737" t="str">
        <f t="shared" si="380"/>
        <v>Housekeeping and events only</v>
      </c>
      <c r="D1030" s="737">
        <f t="shared" si="381"/>
        <v>1</v>
      </c>
      <c r="E1030" s="737" t="str">
        <f t="shared" si="382"/>
        <v>#VALUE!</v>
      </c>
      <c r="F1030" s="737">
        <v>1.0</v>
      </c>
      <c r="G1030" s="737" t="str">
        <f t="shared" si="383"/>
        <v>#VALUE!</v>
      </c>
      <c r="H1030" s="737" t="str">
        <f>MIN($Q$11/('Orbit Info'!G$10),$Q$8*60)</f>
        <v>#VALUE!</v>
      </c>
      <c r="I1030" s="737" t="str">
        <f>IF(D1030=1,$Q$12/'Data DownlinkStorage Budget'!$M$3,0)</f>
        <v>#VALUE!</v>
      </c>
      <c r="J1030" s="737" t="str">
        <f t="shared" si="384"/>
        <v>#VALUE!</v>
      </c>
      <c r="K1030" s="11"/>
      <c r="L1030" s="737" t="str">
        <f t="shared" si="385"/>
        <v>FOUND product plus housekeeping</v>
      </c>
      <c r="M1030" s="737" t="str">
        <f>MIN($Q$18,$Q$10*60)-IF(D1030=1,$Q$17/'Data DownlinkStorage Budget'!$M$3,0)</f>
        <v>#VALUE!</v>
      </c>
      <c r="N1030" s="182"/>
      <c r="O1030" s="737" t="str">
        <f t="shared" si="386"/>
        <v>#VALUE!</v>
      </c>
      <c r="P1030" s="11"/>
      <c r="Q1030" s="11"/>
      <c r="R1030" s="11"/>
      <c r="S1030" s="11"/>
      <c r="T1030" s="11"/>
      <c r="U1030" s="11"/>
      <c r="V1030" s="11"/>
      <c r="W1030" s="11"/>
      <c r="X1030" s="11"/>
      <c r="Y1030" s="11"/>
      <c r="Z1030" s="11"/>
      <c r="AA1030" s="11"/>
    </row>
    <row r="1031" ht="15.75" customHeight="1">
      <c r="A1031" s="737">
        <f t="shared" si="379"/>
        <v>0</v>
      </c>
      <c r="B1031" s="737">
        <f>A1031/'Orbit Info'!$G$10</f>
        <v>0</v>
      </c>
      <c r="C1031" s="737" t="str">
        <f t="shared" si="380"/>
        <v>Housekeeping and events only</v>
      </c>
      <c r="D1031" s="737">
        <f t="shared" si="381"/>
        <v>1</v>
      </c>
      <c r="E1031" s="737" t="str">
        <f t="shared" si="382"/>
        <v>#VALUE!</v>
      </c>
      <c r="F1031" s="737">
        <v>1.0</v>
      </c>
      <c r="G1031" s="737" t="str">
        <f t="shared" si="383"/>
        <v>#VALUE!</v>
      </c>
      <c r="H1031" s="737" t="str">
        <f>MIN($Q$11/('Orbit Info'!G$10),$Q$8*60)</f>
        <v>#VALUE!</v>
      </c>
      <c r="I1031" s="737" t="str">
        <f>IF(D1031=1,$Q$12/'Data DownlinkStorage Budget'!$M$3,0)</f>
        <v>#VALUE!</v>
      </c>
      <c r="J1031" s="737" t="str">
        <f t="shared" si="384"/>
        <v>#VALUE!</v>
      </c>
      <c r="K1031" s="11"/>
      <c r="L1031" s="737" t="str">
        <f t="shared" si="385"/>
        <v>FOUND product plus housekeeping</v>
      </c>
      <c r="M1031" s="737" t="str">
        <f>MIN($Q$18,$Q$10*60)-IF(D1031=1,$Q$17/'Data DownlinkStorage Budget'!$M$3,0)</f>
        <v>#VALUE!</v>
      </c>
      <c r="N1031" s="182"/>
      <c r="O1031" s="737" t="str">
        <f t="shared" si="386"/>
        <v>#VALUE!</v>
      </c>
      <c r="P1031" s="11"/>
      <c r="Q1031" s="11"/>
      <c r="R1031" s="11"/>
      <c r="S1031" s="11"/>
      <c r="T1031" s="11"/>
      <c r="U1031" s="11"/>
      <c r="V1031" s="11"/>
      <c r="W1031" s="11"/>
      <c r="X1031" s="11"/>
      <c r="Y1031" s="11"/>
      <c r="Z1031" s="11"/>
      <c r="AA1031" s="11"/>
    </row>
    <row r="1032" ht="15.75" customHeight="1">
      <c r="A1032" s="737">
        <f t="shared" si="379"/>
        <v>0</v>
      </c>
      <c r="B1032" s="737">
        <f>A1032/'Orbit Info'!$G$10</f>
        <v>0</v>
      </c>
      <c r="C1032" s="737" t="str">
        <f t="shared" si="380"/>
        <v>Housekeeping and events only</v>
      </c>
      <c r="D1032" s="737">
        <f t="shared" si="381"/>
        <v>1</v>
      </c>
      <c r="E1032" s="737" t="str">
        <f t="shared" si="382"/>
        <v>#VALUE!</v>
      </c>
      <c r="F1032" s="737">
        <v>1.0</v>
      </c>
      <c r="G1032" s="737" t="str">
        <f t="shared" si="383"/>
        <v>#VALUE!</v>
      </c>
      <c r="H1032" s="737" t="str">
        <f>MIN($Q$11/('Orbit Info'!G$10),$Q$8*60)</f>
        <v>#VALUE!</v>
      </c>
      <c r="I1032" s="737" t="str">
        <f>IF(D1032=1,$Q$12/'Data DownlinkStorage Budget'!$M$3,0)</f>
        <v>#VALUE!</v>
      </c>
      <c r="J1032" s="737" t="str">
        <f t="shared" si="384"/>
        <v>#VALUE!</v>
      </c>
      <c r="K1032" s="11"/>
      <c r="L1032" s="737" t="str">
        <f t="shared" si="385"/>
        <v>FOUND product plus housekeeping</v>
      </c>
      <c r="M1032" s="737" t="str">
        <f>MIN($Q$18,$Q$10*60)-IF(D1032=1,$Q$17/'Data DownlinkStorage Budget'!$M$3,0)</f>
        <v>#VALUE!</v>
      </c>
      <c r="N1032" s="182"/>
      <c r="O1032" s="737" t="str">
        <f t="shared" si="386"/>
        <v>#VALUE!</v>
      </c>
      <c r="P1032" s="11"/>
      <c r="Q1032" s="11"/>
      <c r="R1032" s="11"/>
      <c r="S1032" s="11"/>
      <c r="T1032" s="11"/>
      <c r="U1032" s="11"/>
      <c r="V1032" s="11"/>
      <c r="W1032" s="11"/>
      <c r="X1032" s="11"/>
      <c r="Y1032" s="11"/>
      <c r="Z1032" s="11"/>
      <c r="AA1032" s="11"/>
    </row>
    <row r="1033" ht="15.75" customHeight="1">
      <c r="A1033" s="737">
        <f t="shared" si="379"/>
        <v>0</v>
      </c>
      <c r="B1033" s="737">
        <f>A1033/'Orbit Info'!$G$10</f>
        <v>0</v>
      </c>
      <c r="C1033" s="737" t="str">
        <f t="shared" si="380"/>
        <v>Housekeeping and events only</v>
      </c>
      <c r="D1033" s="737">
        <f t="shared" si="381"/>
        <v>1</v>
      </c>
      <c r="E1033" s="737" t="str">
        <f t="shared" si="382"/>
        <v>#VALUE!</v>
      </c>
      <c r="F1033" s="737">
        <v>1.0</v>
      </c>
      <c r="G1033" s="737" t="str">
        <f t="shared" si="383"/>
        <v>#VALUE!</v>
      </c>
      <c r="H1033" s="737" t="str">
        <f>MIN($Q$11/('Orbit Info'!G$10),$Q$8*60)</f>
        <v>#VALUE!</v>
      </c>
      <c r="I1033" s="737" t="str">
        <f>IF(D1033=1,$Q$12/'Data DownlinkStorage Budget'!$M$3,0)</f>
        <v>#VALUE!</v>
      </c>
      <c r="J1033" s="737" t="str">
        <f t="shared" si="384"/>
        <v>#VALUE!</v>
      </c>
      <c r="K1033" s="11"/>
      <c r="L1033" s="737" t="str">
        <f t="shared" si="385"/>
        <v>FOUND product plus housekeeping</v>
      </c>
      <c r="M1033" s="737" t="str">
        <f>MIN($Q$18,$Q$10*60)-IF(D1033=1,$Q$17/'Data DownlinkStorage Budget'!$M$3,0)</f>
        <v>#VALUE!</v>
      </c>
      <c r="N1033" s="182"/>
      <c r="O1033" s="737" t="str">
        <f t="shared" si="386"/>
        <v>#VALUE!</v>
      </c>
      <c r="P1033" s="11"/>
      <c r="Q1033" s="11"/>
      <c r="R1033" s="11"/>
      <c r="S1033" s="11"/>
      <c r="T1033" s="11"/>
      <c r="U1033" s="11"/>
      <c r="V1033" s="11"/>
      <c r="W1033" s="11"/>
      <c r="X1033" s="11"/>
      <c r="Y1033" s="11"/>
      <c r="Z1033" s="11"/>
      <c r="AA1033" s="11"/>
    </row>
    <row r="1034" ht="15.75" customHeight="1">
      <c r="A1034" s="737">
        <f t="shared" si="379"/>
        <v>0</v>
      </c>
      <c r="B1034" s="737">
        <f>A1034/'Orbit Info'!$G$10</f>
        <v>0</v>
      </c>
      <c r="C1034" s="737" t="str">
        <f t="shared" si="380"/>
        <v>Housekeeping and events only</v>
      </c>
      <c r="D1034" s="737">
        <f t="shared" si="381"/>
        <v>1</v>
      </c>
      <c r="E1034" s="737" t="str">
        <f t="shared" si="382"/>
        <v>#VALUE!</v>
      </c>
      <c r="F1034" s="737">
        <v>1.0</v>
      </c>
      <c r="G1034" s="737" t="str">
        <f t="shared" si="383"/>
        <v>#VALUE!</v>
      </c>
      <c r="H1034" s="737" t="str">
        <f>MIN($Q$11/('Orbit Info'!G$10),$Q$8*60)</f>
        <v>#VALUE!</v>
      </c>
      <c r="I1034" s="737" t="str">
        <f>IF(D1034=1,$Q$12/'Data DownlinkStorage Budget'!$M$3,0)</f>
        <v>#VALUE!</v>
      </c>
      <c r="J1034" s="737" t="str">
        <f t="shared" si="384"/>
        <v>#VALUE!</v>
      </c>
      <c r="K1034" s="11"/>
      <c r="L1034" s="737" t="str">
        <f t="shared" si="385"/>
        <v>FOUND product plus housekeeping</v>
      </c>
      <c r="M1034" s="737" t="str">
        <f>MIN($Q$18,$Q$10*60)-IF(D1034=1,$Q$17/'Data DownlinkStorage Budget'!$M$3,0)</f>
        <v>#VALUE!</v>
      </c>
      <c r="N1034" s="182"/>
      <c r="O1034" s="737" t="str">
        <f t="shared" si="386"/>
        <v>#VALUE!</v>
      </c>
      <c r="P1034" s="11"/>
      <c r="Q1034" s="11"/>
      <c r="R1034" s="11"/>
      <c r="S1034" s="11"/>
      <c r="T1034" s="11"/>
      <c r="U1034" s="11"/>
      <c r="V1034" s="11"/>
      <c r="W1034" s="11"/>
      <c r="X1034" s="11"/>
      <c r="Y1034" s="11"/>
      <c r="Z1034" s="11"/>
      <c r="AA1034" s="11"/>
    </row>
    <row r="1035" ht="15.75" customHeight="1">
      <c r="A1035" s="737">
        <f t="shared" si="379"/>
        <v>0</v>
      </c>
      <c r="B1035" s="737">
        <f>A1035/'Orbit Info'!$G$10</f>
        <v>0</v>
      </c>
      <c r="C1035" s="737" t="str">
        <f t="shared" si="380"/>
        <v>Housekeeping and events only</v>
      </c>
      <c r="D1035" s="737">
        <f t="shared" si="381"/>
        <v>1</v>
      </c>
      <c r="E1035" s="737" t="str">
        <f t="shared" si="382"/>
        <v>#VALUE!</v>
      </c>
      <c r="F1035" s="737">
        <v>1.0</v>
      </c>
      <c r="G1035" s="737" t="str">
        <f t="shared" si="383"/>
        <v>#VALUE!</v>
      </c>
      <c r="H1035" s="737" t="str">
        <f>MIN($Q$11/('Orbit Info'!G$10),$Q$8*60)</f>
        <v>#VALUE!</v>
      </c>
      <c r="I1035" s="737" t="str">
        <f>IF(D1035=1,$Q$12/'Data DownlinkStorage Budget'!$M$3,0)</f>
        <v>#VALUE!</v>
      </c>
      <c r="J1035" s="737" t="str">
        <f t="shared" si="384"/>
        <v>#VALUE!</v>
      </c>
      <c r="K1035" s="11"/>
      <c r="L1035" s="737" t="str">
        <f t="shared" si="385"/>
        <v>FOUND product plus housekeeping</v>
      </c>
      <c r="M1035" s="737" t="str">
        <f>MIN($Q$18,$Q$10*60)-IF(D1035=1,$Q$17/'Data DownlinkStorage Budget'!$M$3,0)</f>
        <v>#VALUE!</v>
      </c>
      <c r="N1035" s="182"/>
      <c r="O1035" s="737" t="str">
        <f t="shared" si="386"/>
        <v>#VALUE!</v>
      </c>
      <c r="P1035" s="11"/>
      <c r="Q1035" s="11"/>
      <c r="R1035" s="11"/>
      <c r="S1035" s="11"/>
      <c r="T1035" s="11"/>
      <c r="U1035" s="11"/>
      <c r="V1035" s="11"/>
      <c r="W1035" s="11"/>
      <c r="X1035" s="11"/>
      <c r="Y1035" s="11"/>
      <c r="Z1035" s="11"/>
      <c r="AA1035" s="11"/>
    </row>
    <row r="1036" ht="15.75" customHeight="1">
      <c r="A1036" s="737">
        <f t="shared" si="379"/>
        <v>0</v>
      </c>
      <c r="B1036" s="737">
        <f>A1036/'Orbit Info'!$G$10</f>
        <v>0</v>
      </c>
      <c r="C1036" s="737" t="str">
        <f t="shared" si="380"/>
        <v>Housekeeping and events only</v>
      </c>
      <c r="D1036" s="737">
        <f t="shared" si="381"/>
        <v>1</v>
      </c>
      <c r="E1036" s="737" t="str">
        <f t="shared" si="382"/>
        <v>#VALUE!</v>
      </c>
      <c r="F1036" s="737">
        <v>1.0</v>
      </c>
      <c r="G1036" s="737" t="str">
        <f t="shared" si="383"/>
        <v>#VALUE!</v>
      </c>
      <c r="H1036" s="737" t="str">
        <f>MIN($Q$11/('Orbit Info'!G$10),$Q$8*60)</f>
        <v>#VALUE!</v>
      </c>
      <c r="I1036" s="737" t="str">
        <f>IF(D1036=1,$Q$12/'Data DownlinkStorage Budget'!$M$3,0)</f>
        <v>#VALUE!</v>
      </c>
      <c r="J1036" s="737" t="str">
        <f t="shared" si="384"/>
        <v>#VALUE!</v>
      </c>
      <c r="K1036" s="11"/>
      <c r="L1036" s="737" t="str">
        <f t="shared" si="385"/>
        <v>FOUND product plus housekeeping</v>
      </c>
      <c r="M1036" s="737" t="str">
        <f>MIN($Q$18,$Q$10*60)-IF(D1036=1,$Q$17/'Data DownlinkStorage Budget'!$M$3,0)</f>
        <v>#VALUE!</v>
      </c>
      <c r="N1036" s="182"/>
      <c r="O1036" s="737" t="str">
        <f t="shared" si="386"/>
        <v>#VALUE!</v>
      </c>
      <c r="P1036" s="11"/>
      <c r="Q1036" s="11"/>
      <c r="R1036" s="11"/>
      <c r="S1036" s="11"/>
      <c r="T1036" s="11"/>
      <c r="U1036" s="11"/>
      <c r="V1036" s="11"/>
      <c r="W1036" s="11"/>
      <c r="X1036" s="11"/>
      <c r="Y1036" s="11"/>
      <c r="Z1036" s="11"/>
      <c r="AA1036" s="11"/>
    </row>
    <row r="1037" ht="15.75" customHeight="1">
      <c r="A1037" s="737">
        <f t="shared" si="379"/>
        <v>0</v>
      </c>
      <c r="B1037" s="737">
        <f>A1037/'Orbit Info'!$G$10</f>
        <v>0</v>
      </c>
      <c r="C1037" s="737" t="str">
        <f t="shared" si="380"/>
        <v>Housekeeping and events only</v>
      </c>
      <c r="D1037" s="737">
        <f t="shared" si="381"/>
        <v>1</v>
      </c>
      <c r="E1037" s="737" t="str">
        <f t="shared" si="382"/>
        <v>#VALUE!</v>
      </c>
      <c r="F1037" s="737">
        <v>1.0</v>
      </c>
      <c r="G1037" s="737" t="str">
        <f t="shared" si="383"/>
        <v>#VALUE!</v>
      </c>
      <c r="H1037" s="737" t="str">
        <f>MIN($Q$11/('Orbit Info'!G$10),$Q$8*60)</f>
        <v>#VALUE!</v>
      </c>
      <c r="I1037" s="737" t="str">
        <f>IF(D1037=1,$Q$12/'Data DownlinkStorage Budget'!$M$3,0)</f>
        <v>#VALUE!</v>
      </c>
      <c r="J1037" s="737" t="str">
        <f t="shared" si="384"/>
        <v>#VALUE!</v>
      </c>
      <c r="K1037" s="11"/>
      <c r="L1037" s="737" t="str">
        <f t="shared" si="385"/>
        <v>FOUND product plus housekeeping</v>
      </c>
      <c r="M1037" s="737" t="str">
        <f>MIN($Q$18,$Q$10*60)-IF(D1037=1,$Q$17/'Data DownlinkStorage Budget'!$M$3,0)</f>
        <v>#VALUE!</v>
      </c>
      <c r="N1037" s="182"/>
      <c r="O1037" s="737" t="str">
        <f t="shared" si="386"/>
        <v>#VALUE!</v>
      </c>
      <c r="P1037" s="11"/>
      <c r="Q1037" s="11"/>
      <c r="R1037" s="11"/>
      <c r="S1037" s="11"/>
      <c r="T1037" s="11"/>
      <c r="U1037" s="11"/>
      <c r="V1037" s="11"/>
      <c r="W1037" s="11"/>
      <c r="X1037" s="11"/>
      <c r="Y1037" s="11"/>
      <c r="Z1037" s="11"/>
      <c r="AA1037" s="11"/>
    </row>
    <row r="1038" ht="15.75" customHeight="1">
      <c r="A1038" s="737">
        <f t="shared" si="379"/>
        <v>0</v>
      </c>
      <c r="B1038" s="737">
        <f>A1038/'Orbit Info'!$G$10</f>
        <v>0</v>
      </c>
      <c r="C1038" s="737" t="str">
        <f t="shared" si="380"/>
        <v>Housekeeping and events only</v>
      </c>
      <c r="D1038" s="737">
        <f t="shared" si="381"/>
        <v>1</v>
      </c>
      <c r="E1038" s="737" t="str">
        <f t="shared" si="382"/>
        <v>#VALUE!</v>
      </c>
      <c r="F1038" s="737">
        <v>1.0</v>
      </c>
      <c r="G1038" s="737" t="str">
        <f t="shared" si="383"/>
        <v>#VALUE!</v>
      </c>
      <c r="H1038" s="737" t="str">
        <f>MIN($Q$11/('Orbit Info'!G$10),$Q$8*60)</f>
        <v>#VALUE!</v>
      </c>
      <c r="I1038" s="737" t="str">
        <f>IF(D1038=1,$Q$12/'Data DownlinkStorage Budget'!$M$3,0)</f>
        <v>#VALUE!</v>
      </c>
      <c r="J1038" s="737" t="str">
        <f t="shared" si="384"/>
        <v>#VALUE!</v>
      </c>
      <c r="K1038" s="11"/>
      <c r="L1038" s="737" t="str">
        <f t="shared" si="385"/>
        <v>FOUND product plus housekeeping</v>
      </c>
      <c r="M1038" s="737" t="str">
        <f>MIN($Q$18,$Q$10*60)-IF(D1038=1,$Q$17/'Data DownlinkStorage Budget'!$M$3,0)</f>
        <v>#VALUE!</v>
      </c>
      <c r="N1038" s="182"/>
      <c r="O1038" s="737" t="str">
        <f t="shared" si="386"/>
        <v>#VALUE!</v>
      </c>
      <c r="P1038" s="11"/>
      <c r="Q1038" s="11"/>
      <c r="R1038" s="11"/>
      <c r="S1038" s="11"/>
      <c r="T1038" s="11"/>
      <c r="U1038" s="11"/>
      <c r="V1038" s="11"/>
      <c r="W1038" s="11"/>
      <c r="X1038" s="11"/>
      <c r="Y1038" s="11"/>
      <c r="Z1038" s="11"/>
      <c r="AA1038" s="11"/>
    </row>
    <row r="1039" ht="15.75" customHeight="1">
      <c r="A1039" s="737">
        <f t="shared" si="379"/>
        <v>0</v>
      </c>
      <c r="B1039" s="737">
        <f>A1039/'Orbit Info'!$G$10</f>
        <v>0</v>
      </c>
      <c r="C1039" s="737" t="str">
        <f t="shared" si="380"/>
        <v>Housekeeping and events only</v>
      </c>
      <c r="D1039" s="737">
        <f t="shared" si="381"/>
        <v>1</v>
      </c>
      <c r="E1039" s="737" t="str">
        <f t="shared" si="382"/>
        <v>#VALUE!</v>
      </c>
      <c r="F1039" s="737">
        <v>1.0</v>
      </c>
      <c r="G1039" s="737" t="str">
        <f t="shared" si="383"/>
        <v>#VALUE!</v>
      </c>
      <c r="H1039" s="737" t="str">
        <f>MIN($Q$11/('Orbit Info'!G$10),$Q$8*60)</f>
        <v>#VALUE!</v>
      </c>
      <c r="I1039" s="737" t="str">
        <f>IF(D1039=1,$Q$12/'Data DownlinkStorage Budget'!$M$3,0)</f>
        <v>#VALUE!</v>
      </c>
      <c r="J1039" s="737" t="str">
        <f t="shared" si="384"/>
        <v>#VALUE!</v>
      </c>
      <c r="K1039" s="11"/>
      <c r="L1039" s="737" t="str">
        <f t="shared" si="385"/>
        <v>FOUND product plus housekeeping</v>
      </c>
      <c r="M1039" s="737" t="str">
        <f>MIN($Q$18,$Q$10*60)-IF(D1039=1,$Q$17/'Data DownlinkStorage Budget'!$M$3,0)</f>
        <v>#VALUE!</v>
      </c>
      <c r="N1039" s="182"/>
      <c r="O1039" s="737" t="str">
        <f t="shared" si="386"/>
        <v>#VALUE!</v>
      </c>
      <c r="P1039" s="11"/>
      <c r="Q1039" s="11"/>
      <c r="R1039" s="11"/>
      <c r="S1039" s="11"/>
      <c r="T1039" s="11"/>
      <c r="U1039" s="11"/>
      <c r="V1039" s="11"/>
      <c r="W1039" s="11"/>
      <c r="X1039" s="11"/>
      <c r="Y1039" s="11"/>
      <c r="Z1039" s="11"/>
      <c r="AA1039" s="11"/>
    </row>
    <row r="1040" ht="15.75" customHeight="1">
      <c r="A1040" s="737">
        <f t="shared" si="379"/>
        <v>0</v>
      </c>
      <c r="B1040" s="737">
        <f>A1040/'Orbit Info'!$G$10</f>
        <v>0</v>
      </c>
      <c r="C1040" s="737" t="str">
        <f t="shared" si="380"/>
        <v>Housekeeping and events only</v>
      </c>
      <c r="D1040" s="737">
        <f t="shared" si="381"/>
        <v>1</v>
      </c>
      <c r="E1040" s="737" t="str">
        <f t="shared" si="382"/>
        <v>#VALUE!</v>
      </c>
      <c r="F1040" s="737">
        <v>1.0</v>
      </c>
      <c r="G1040" s="737" t="str">
        <f t="shared" si="383"/>
        <v>#VALUE!</v>
      </c>
      <c r="H1040" s="737" t="str">
        <f>MIN($Q$11/('Orbit Info'!G$10),$Q$8*60)</f>
        <v>#VALUE!</v>
      </c>
      <c r="I1040" s="737" t="str">
        <f>IF(D1040=1,$Q$12/'Data DownlinkStorage Budget'!$M$3,0)</f>
        <v>#VALUE!</v>
      </c>
      <c r="J1040" s="737" t="str">
        <f t="shared" si="384"/>
        <v>#VALUE!</v>
      </c>
      <c r="K1040" s="11"/>
      <c r="L1040" s="737" t="str">
        <f t="shared" si="385"/>
        <v>FOUND product plus housekeeping</v>
      </c>
      <c r="M1040" s="737" t="str">
        <f>MIN($Q$18,$Q$10*60)-IF(D1040=1,$Q$17/'Data DownlinkStorage Budget'!$M$3,0)</f>
        <v>#VALUE!</v>
      </c>
      <c r="N1040" s="182"/>
      <c r="O1040" s="737" t="str">
        <f t="shared" si="386"/>
        <v>#VALUE!</v>
      </c>
      <c r="P1040" s="11"/>
      <c r="Q1040" s="11"/>
      <c r="R1040" s="11"/>
      <c r="S1040" s="11"/>
      <c r="T1040" s="11"/>
      <c r="U1040" s="11"/>
      <c r="V1040" s="11"/>
      <c r="W1040" s="11"/>
      <c r="X1040" s="11"/>
      <c r="Y1040" s="11"/>
      <c r="Z1040" s="11"/>
      <c r="AA1040" s="11"/>
    </row>
    <row r="1041" ht="15.75" customHeight="1">
      <c r="A1041" s="737">
        <f t="shared" si="379"/>
        <v>0</v>
      </c>
      <c r="B1041" s="737">
        <f>A1041/'Orbit Info'!$G$10</f>
        <v>0</v>
      </c>
      <c r="C1041" s="737" t="str">
        <f t="shared" si="380"/>
        <v>Housekeeping and events only</v>
      </c>
      <c r="D1041" s="737">
        <f t="shared" si="381"/>
        <v>1</v>
      </c>
      <c r="E1041" s="737" t="str">
        <f t="shared" si="382"/>
        <v>#VALUE!</v>
      </c>
      <c r="F1041" s="737">
        <v>1.0</v>
      </c>
      <c r="G1041" s="737" t="str">
        <f t="shared" si="383"/>
        <v>#VALUE!</v>
      </c>
      <c r="H1041" s="737" t="str">
        <f>MIN($Q$11/('Orbit Info'!G$10),$Q$8*60)</f>
        <v>#VALUE!</v>
      </c>
      <c r="I1041" s="737" t="str">
        <f>IF(D1041=1,$Q$12/'Data DownlinkStorage Budget'!$M$3,0)</f>
        <v>#VALUE!</v>
      </c>
      <c r="J1041" s="737" t="str">
        <f t="shared" si="384"/>
        <v>#VALUE!</v>
      </c>
      <c r="K1041" s="11"/>
      <c r="L1041" s="737" t="str">
        <f t="shared" si="385"/>
        <v>FOUND product plus housekeeping</v>
      </c>
      <c r="M1041" s="737" t="str">
        <f>MIN($Q$18,$Q$10*60)-IF(D1041=1,$Q$17/'Data DownlinkStorage Budget'!$M$3,0)</f>
        <v>#VALUE!</v>
      </c>
      <c r="N1041" s="182"/>
      <c r="O1041" s="737" t="str">
        <f t="shared" si="386"/>
        <v>#VALUE!</v>
      </c>
      <c r="P1041" s="11"/>
      <c r="Q1041" s="11"/>
      <c r="R1041" s="11"/>
      <c r="S1041" s="11"/>
      <c r="T1041" s="11"/>
      <c r="U1041" s="11"/>
      <c r="V1041" s="11"/>
      <c r="W1041" s="11"/>
      <c r="X1041" s="11"/>
      <c r="Y1041" s="11"/>
      <c r="Z1041" s="11"/>
      <c r="AA1041" s="11"/>
    </row>
    <row r="1042" ht="15.75" customHeight="1">
      <c r="A1042" s="737">
        <f t="shared" si="379"/>
        <v>0</v>
      </c>
      <c r="B1042" s="737">
        <f>A1042/'Orbit Info'!$G$10</f>
        <v>0</v>
      </c>
      <c r="C1042" s="737" t="str">
        <f t="shared" si="380"/>
        <v>Housekeeping and events only</v>
      </c>
      <c r="D1042" s="737">
        <f t="shared" si="381"/>
        <v>1</v>
      </c>
      <c r="E1042" s="737" t="str">
        <f t="shared" si="382"/>
        <v>#VALUE!</v>
      </c>
      <c r="F1042" s="737">
        <v>1.0</v>
      </c>
      <c r="G1042" s="737" t="str">
        <f t="shared" si="383"/>
        <v>#VALUE!</v>
      </c>
      <c r="H1042" s="737" t="str">
        <f>MIN($Q$11/('Orbit Info'!G$10),$Q$8*60)</f>
        <v>#VALUE!</v>
      </c>
      <c r="I1042" s="737" t="str">
        <f>IF(D1042=1,$Q$12/'Data DownlinkStorage Budget'!$M$3,0)</f>
        <v>#VALUE!</v>
      </c>
      <c r="J1042" s="737" t="str">
        <f t="shared" si="384"/>
        <v>#VALUE!</v>
      </c>
      <c r="K1042" s="11"/>
      <c r="L1042" s="737" t="str">
        <f t="shared" si="385"/>
        <v>FOUND product plus housekeeping</v>
      </c>
      <c r="M1042" s="737" t="str">
        <f>MIN($Q$18,$Q$10*60)-IF(D1042=1,$Q$17/'Data DownlinkStorage Budget'!$M$3,0)</f>
        <v>#VALUE!</v>
      </c>
      <c r="N1042" s="182"/>
      <c r="O1042" s="737" t="str">
        <f t="shared" si="386"/>
        <v>#VALUE!</v>
      </c>
      <c r="P1042" s="11"/>
      <c r="Q1042" s="11"/>
      <c r="R1042" s="11"/>
      <c r="S1042" s="11"/>
      <c r="T1042" s="11"/>
      <c r="U1042" s="11"/>
      <c r="V1042" s="11"/>
      <c r="W1042" s="11"/>
      <c r="X1042" s="11"/>
      <c r="Y1042" s="11"/>
      <c r="Z1042" s="11"/>
      <c r="AA1042" s="11"/>
    </row>
    <row r="1043" ht="15.75" customHeight="1">
      <c r="A1043" s="737">
        <f t="shared" si="379"/>
        <v>0</v>
      </c>
      <c r="B1043" s="737">
        <f>A1043/'Orbit Info'!$G$10</f>
        <v>0</v>
      </c>
      <c r="C1043" s="737" t="str">
        <f t="shared" si="380"/>
        <v>Housekeeping and events only</v>
      </c>
      <c r="D1043" s="737">
        <f t="shared" si="381"/>
        <v>1</v>
      </c>
      <c r="E1043" s="737" t="str">
        <f t="shared" si="382"/>
        <v>#VALUE!</v>
      </c>
      <c r="F1043" s="737">
        <v>1.0</v>
      </c>
      <c r="G1043" s="737" t="str">
        <f t="shared" si="383"/>
        <v>#VALUE!</v>
      </c>
      <c r="H1043" s="737" t="str">
        <f>MIN($Q$11/('Orbit Info'!G$10),$Q$8*60)</f>
        <v>#VALUE!</v>
      </c>
      <c r="I1043" s="737" t="str">
        <f>IF(D1043=1,$Q$12/'Data DownlinkStorage Budget'!$M$3,0)</f>
        <v>#VALUE!</v>
      </c>
      <c r="J1043" s="737" t="str">
        <f t="shared" si="384"/>
        <v>#VALUE!</v>
      </c>
      <c r="K1043" s="11"/>
      <c r="L1043" s="737" t="str">
        <f t="shared" si="385"/>
        <v>FOUND product plus housekeeping</v>
      </c>
      <c r="M1043" s="737" t="str">
        <f>MIN($Q$18,$Q$10*60)-IF(D1043=1,$Q$17/'Data DownlinkStorage Budget'!$M$3,0)</f>
        <v>#VALUE!</v>
      </c>
      <c r="N1043" s="182"/>
      <c r="O1043" s="737" t="str">
        <f t="shared" si="386"/>
        <v>#VALUE!</v>
      </c>
      <c r="P1043" s="11"/>
      <c r="Q1043" s="11"/>
      <c r="R1043" s="11"/>
      <c r="S1043" s="11"/>
      <c r="T1043" s="11"/>
      <c r="U1043" s="11"/>
      <c r="V1043" s="11"/>
      <c r="W1043" s="11"/>
      <c r="X1043" s="11"/>
      <c r="Y1043" s="11"/>
      <c r="Z1043" s="11"/>
      <c r="AA1043" s="11"/>
    </row>
    <row r="1044" ht="15.75" customHeight="1">
      <c r="A1044" s="737">
        <f t="shared" si="379"/>
        <v>0</v>
      </c>
      <c r="B1044" s="737">
        <f>A1044/'Orbit Info'!$G$10</f>
        <v>0</v>
      </c>
      <c r="C1044" s="737" t="str">
        <f t="shared" si="380"/>
        <v>Housekeeping and events only</v>
      </c>
      <c r="D1044" s="737">
        <f t="shared" si="381"/>
        <v>1</v>
      </c>
      <c r="E1044" s="737" t="str">
        <f t="shared" si="382"/>
        <v>#VALUE!</v>
      </c>
      <c r="F1044" s="737">
        <v>1.0</v>
      </c>
      <c r="G1044" s="737" t="str">
        <f t="shared" si="383"/>
        <v>#VALUE!</v>
      </c>
      <c r="H1044" s="737" t="str">
        <f>MIN($Q$11/('Orbit Info'!G$10),$Q$8*60)</f>
        <v>#VALUE!</v>
      </c>
      <c r="I1044" s="737" t="str">
        <f>IF(D1044=1,$Q$12/'Data DownlinkStorage Budget'!$M$3,0)</f>
        <v>#VALUE!</v>
      </c>
      <c r="J1044" s="737" t="str">
        <f t="shared" si="384"/>
        <v>#VALUE!</v>
      </c>
      <c r="K1044" s="11"/>
      <c r="L1044" s="737" t="str">
        <f t="shared" si="385"/>
        <v>FOUND product plus housekeeping</v>
      </c>
      <c r="M1044" s="737" t="str">
        <f>MIN($Q$18,$Q$10*60)-IF(D1044=1,$Q$17/'Data DownlinkStorage Budget'!$M$3,0)</f>
        <v>#VALUE!</v>
      </c>
      <c r="N1044" s="182"/>
      <c r="O1044" s="737" t="str">
        <f t="shared" si="386"/>
        <v>#VALUE!</v>
      </c>
      <c r="P1044" s="11"/>
      <c r="Q1044" s="11"/>
      <c r="R1044" s="11"/>
      <c r="S1044" s="11"/>
      <c r="T1044" s="11"/>
      <c r="U1044" s="11"/>
      <c r="V1044" s="11"/>
      <c r="W1044" s="11"/>
      <c r="X1044" s="11"/>
      <c r="Y1044" s="11"/>
      <c r="Z1044" s="11"/>
      <c r="AA1044" s="11"/>
    </row>
    <row r="1045" ht="15.75" customHeight="1">
      <c r="A1045" s="737">
        <f t="shared" si="379"/>
        <v>0</v>
      </c>
      <c r="B1045" s="737">
        <f>A1045/'Orbit Info'!$G$10</f>
        <v>0</v>
      </c>
      <c r="C1045" s="737" t="str">
        <f t="shared" si="380"/>
        <v>Housekeeping and events only</v>
      </c>
      <c r="D1045" s="737">
        <f t="shared" si="381"/>
        <v>1</v>
      </c>
      <c r="E1045" s="737" t="str">
        <f t="shared" si="382"/>
        <v>#VALUE!</v>
      </c>
      <c r="F1045" s="737">
        <v>1.0</v>
      </c>
      <c r="G1045" s="737" t="str">
        <f t="shared" si="383"/>
        <v>#VALUE!</v>
      </c>
      <c r="H1045" s="737" t="str">
        <f>MIN($Q$11/('Orbit Info'!G$10),$Q$8*60)</f>
        <v>#VALUE!</v>
      </c>
      <c r="I1045" s="737" t="str">
        <f>IF(D1045=1,$Q$12/'Data DownlinkStorage Budget'!$M$3,0)</f>
        <v>#VALUE!</v>
      </c>
      <c r="J1045" s="737" t="str">
        <f t="shared" si="384"/>
        <v>#VALUE!</v>
      </c>
      <c r="K1045" s="11"/>
      <c r="L1045" s="737" t="str">
        <f t="shared" si="385"/>
        <v>FOUND product plus housekeeping</v>
      </c>
      <c r="M1045" s="737" t="str">
        <f>MIN($Q$18,$Q$10*60)-IF(D1045=1,$Q$17/'Data DownlinkStorage Budget'!$M$3,0)</f>
        <v>#VALUE!</v>
      </c>
      <c r="N1045" s="182"/>
      <c r="O1045" s="737" t="str">
        <f t="shared" si="386"/>
        <v>#VALUE!</v>
      </c>
      <c r="P1045" s="11"/>
      <c r="Q1045" s="11"/>
      <c r="R1045" s="11"/>
      <c r="S1045" s="11"/>
      <c r="T1045" s="11"/>
      <c r="U1045" s="11"/>
      <c r="V1045" s="11"/>
      <c r="W1045" s="11"/>
      <c r="X1045" s="11"/>
      <c r="Y1045" s="11"/>
      <c r="Z1045" s="11"/>
      <c r="AA1045" s="11"/>
    </row>
    <row r="1046" ht="15.75" customHeight="1">
      <c r="A1046" s="737">
        <f t="shared" si="379"/>
        <v>0</v>
      </c>
      <c r="B1046" s="737">
        <f>A1046/'Orbit Info'!$G$10</f>
        <v>0</v>
      </c>
      <c r="C1046" s="737" t="str">
        <f t="shared" si="380"/>
        <v>Housekeeping and events only</v>
      </c>
      <c r="D1046" s="737">
        <f t="shared" si="381"/>
        <v>1</v>
      </c>
      <c r="E1046" s="737" t="str">
        <f t="shared" si="382"/>
        <v>#VALUE!</v>
      </c>
      <c r="F1046" s="737">
        <v>1.0</v>
      </c>
      <c r="G1046" s="737" t="str">
        <f t="shared" si="383"/>
        <v>#VALUE!</v>
      </c>
      <c r="H1046" s="737" t="str">
        <f>MIN($Q$11/('Orbit Info'!G$10),$Q$8*60)</f>
        <v>#VALUE!</v>
      </c>
      <c r="I1046" s="737" t="str">
        <f>IF(D1046=1,$Q$12/'Data DownlinkStorage Budget'!$M$3,0)</f>
        <v>#VALUE!</v>
      </c>
      <c r="J1046" s="737" t="str">
        <f t="shared" si="384"/>
        <v>#VALUE!</v>
      </c>
      <c r="K1046" s="11"/>
      <c r="L1046" s="737" t="str">
        <f t="shared" si="385"/>
        <v>FOUND product plus housekeeping</v>
      </c>
      <c r="M1046" s="737" t="str">
        <f>MIN($Q$18,$Q$10*60)-IF(D1046=1,$Q$17/'Data DownlinkStorage Budget'!$M$3,0)</f>
        <v>#VALUE!</v>
      </c>
      <c r="N1046" s="182"/>
      <c r="O1046" s="737" t="str">
        <f t="shared" si="386"/>
        <v>#VALUE!</v>
      </c>
      <c r="P1046" s="11"/>
      <c r="Q1046" s="11"/>
      <c r="R1046" s="11"/>
      <c r="S1046" s="11"/>
      <c r="T1046" s="11"/>
      <c r="U1046" s="11"/>
      <c r="V1046" s="11"/>
      <c r="W1046" s="11"/>
      <c r="X1046" s="11"/>
      <c r="Y1046" s="11"/>
      <c r="Z1046" s="11"/>
      <c r="AA1046" s="11"/>
    </row>
    <row r="1047" ht="15.75" customHeight="1">
      <c r="A1047" s="737">
        <f t="shared" si="379"/>
        <v>0</v>
      </c>
      <c r="B1047" s="737">
        <f>A1047/'Orbit Info'!$G$10</f>
        <v>0</v>
      </c>
      <c r="C1047" s="737" t="str">
        <f t="shared" si="380"/>
        <v>Housekeeping and events only</v>
      </c>
      <c r="D1047" s="737">
        <f t="shared" si="381"/>
        <v>1</v>
      </c>
      <c r="E1047" s="737" t="str">
        <f t="shared" si="382"/>
        <v>#VALUE!</v>
      </c>
      <c r="F1047" s="737">
        <v>1.0</v>
      </c>
      <c r="G1047" s="737" t="str">
        <f t="shared" si="383"/>
        <v>#VALUE!</v>
      </c>
      <c r="H1047" s="737" t="str">
        <f>MIN($Q$11/('Orbit Info'!G$10),$Q$8*60)</f>
        <v>#VALUE!</v>
      </c>
      <c r="I1047" s="737" t="str">
        <f>IF(D1047=1,$Q$12/'Data DownlinkStorage Budget'!$M$3,0)</f>
        <v>#VALUE!</v>
      </c>
      <c r="J1047" s="737" t="str">
        <f t="shared" si="384"/>
        <v>#VALUE!</v>
      </c>
      <c r="K1047" s="11"/>
      <c r="L1047" s="737" t="str">
        <f t="shared" si="385"/>
        <v>FOUND product plus housekeeping</v>
      </c>
      <c r="M1047" s="737" t="str">
        <f>MIN($Q$18,$Q$10*60)-IF(D1047=1,$Q$17/'Data DownlinkStorage Budget'!$M$3,0)</f>
        <v>#VALUE!</v>
      </c>
      <c r="N1047" s="182"/>
      <c r="O1047" s="737" t="str">
        <f t="shared" si="386"/>
        <v>#VALUE!</v>
      </c>
      <c r="P1047" s="11"/>
      <c r="Q1047" s="11"/>
      <c r="R1047" s="11"/>
      <c r="S1047" s="11"/>
      <c r="T1047" s="11"/>
      <c r="U1047" s="11"/>
      <c r="V1047" s="11"/>
      <c r="W1047" s="11"/>
      <c r="X1047" s="11"/>
      <c r="Y1047" s="11"/>
      <c r="Z1047" s="11"/>
      <c r="AA1047" s="11"/>
    </row>
    <row r="1048" ht="15.75" customHeight="1">
      <c r="A1048" s="737">
        <f t="shared" si="379"/>
        <v>0</v>
      </c>
      <c r="B1048" s="737">
        <f>A1048/'Orbit Info'!$G$10</f>
        <v>0</v>
      </c>
      <c r="C1048" s="737" t="str">
        <f t="shared" si="380"/>
        <v>Housekeeping and events only</v>
      </c>
      <c r="D1048" s="737">
        <f t="shared" si="381"/>
        <v>1</v>
      </c>
      <c r="E1048" s="737" t="str">
        <f t="shared" si="382"/>
        <v>#VALUE!</v>
      </c>
      <c r="F1048" s="737">
        <v>1.0</v>
      </c>
      <c r="G1048" s="737" t="str">
        <f t="shared" si="383"/>
        <v>#VALUE!</v>
      </c>
      <c r="H1048" s="737" t="str">
        <f>MIN($Q$11/('Orbit Info'!G$10),$Q$8*60)</f>
        <v>#VALUE!</v>
      </c>
      <c r="I1048" s="737" t="str">
        <f>IF(D1048=1,$Q$12/'Data DownlinkStorage Budget'!$M$3,0)</f>
        <v>#VALUE!</v>
      </c>
      <c r="J1048" s="737" t="str">
        <f t="shared" si="384"/>
        <v>#VALUE!</v>
      </c>
      <c r="K1048" s="11"/>
      <c r="L1048" s="737" t="str">
        <f t="shared" si="385"/>
        <v>FOUND product plus housekeeping</v>
      </c>
      <c r="M1048" s="737" t="str">
        <f>MIN($Q$18,$Q$10*60)-IF(D1048=1,$Q$17/'Data DownlinkStorage Budget'!$M$3,0)</f>
        <v>#VALUE!</v>
      </c>
      <c r="N1048" s="182"/>
      <c r="O1048" s="737" t="str">
        <f t="shared" si="386"/>
        <v>#VALUE!</v>
      </c>
      <c r="P1048" s="11"/>
      <c r="Q1048" s="11"/>
      <c r="R1048" s="11"/>
      <c r="S1048" s="11"/>
      <c r="T1048" s="11"/>
      <c r="U1048" s="11"/>
      <c r="V1048" s="11"/>
      <c r="W1048" s="11"/>
      <c r="X1048" s="11"/>
      <c r="Y1048" s="11"/>
      <c r="Z1048" s="11"/>
      <c r="AA1048" s="11"/>
    </row>
    <row r="1049" ht="15.75" customHeight="1">
      <c r="A1049" s="737">
        <f t="shared" si="379"/>
        <v>0</v>
      </c>
      <c r="B1049" s="737">
        <f>A1049/'Orbit Info'!$G$10</f>
        <v>0</v>
      </c>
      <c r="C1049" s="737" t="str">
        <f t="shared" si="380"/>
        <v>Housekeeping and events only</v>
      </c>
      <c r="D1049" s="737">
        <f t="shared" si="381"/>
        <v>1</v>
      </c>
      <c r="E1049" s="737" t="str">
        <f t="shared" si="382"/>
        <v>#VALUE!</v>
      </c>
      <c r="F1049" s="737">
        <v>1.0</v>
      </c>
      <c r="G1049" s="737" t="str">
        <f t="shared" si="383"/>
        <v>#VALUE!</v>
      </c>
      <c r="H1049" s="737" t="str">
        <f>MIN($Q$11/('Orbit Info'!G$10),$Q$8*60)</f>
        <v>#VALUE!</v>
      </c>
      <c r="I1049" s="737" t="str">
        <f>IF(D1049=1,$Q$12/'Data DownlinkStorage Budget'!$M$3,0)</f>
        <v>#VALUE!</v>
      </c>
      <c r="J1049" s="737" t="str">
        <f t="shared" si="384"/>
        <v>#VALUE!</v>
      </c>
      <c r="K1049" s="11"/>
      <c r="L1049" s="737" t="str">
        <f t="shared" si="385"/>
        <v>FOUND product plus housekeeping</v>
      </c>
      <c r="M1049" s="737" t="str">
        <f>MIN($Q$18,$Q$10*60)-IF(D1049=1,$Q$17/'Data DownlinkStorage Budget'!$M$3,0)</f>
        <v>#VALUE!</v>
      </c>
      <c r="N1049" s="182"/>
      <c r="O1049" s="737" t="str">
        <f t="shared" si="386"/>
        <v>#VALUE!</v>
      </c>
      <c r="P1049" s="11"/>
      <c r="Q1049" s="11"/>
      <c r="R1049" s="11"/>
      <c r="S1049" s="11"/>
      <c r="T1049" s="11"/>
      <c r="U1049" s="11"/>
      <c r="V1049" s="11"/>
      <c r="W1049" s="11"/>
      <c r="X1049" s="11"/>
      <c r="Y1049" s="11"/>
      <c r="Z1049" s="11"/>
      <c r="AA1049" s="11"/>
    </row>
    <row r="1050" ht="15.75" customHeight="1">
      <c r="A1050" s="737">
        <f t="shared" si="379"/>
        <v>0</v>
      </c>
      <c r="B1050" s="737">
        <f>A1050/'Orbit Info'!$G$10</f>
        <v>0</v>
      </c>
      <c r="C1050" s="737" t="str">
        <f t="shared" si="380"/>
        <v>Housekeeping and events only</v>
      </c>
      <c r="D1050" s="737">
        <f t="shared" si="381"/>
        <v>1</v>
      </c>
      <c r="E1050" s="737" t="str">
        <f t="shared" si="382"/>
        <v>#VALUE!</v>
      </c>
      <c r="F1050" s="737">
        <v>1.0</v>
      </c>
      <c r="G1050" s="737" t="str">
        <f t="shared" si="383"/>
        <v>#VALUE!</v>
      </c>
      <c r="H1050" s="737" t="str">
        <f>MIN($Q$11/('Orbit Info'!G$10),$Q$8*60)</f>
        <v>#VALUE!</v>
      </c>
      <c r="I1050" s="737" t="str">
        <f>IF(D1050=1,$Q$12/'Data DownlinkStorage Budget'!$M$3,0)</f>
        <v>#VALUE!</v>
      </c>
      <c r="J1050" s="737" t="str">
        <f t="shared" si="384"/>
        <v>#VALUE!</v>
      </c>
      <c r="K1050" s="11"/>
      <c r="L1050" s="737" t="str">
        <f t="shared" si="385"/>
        <v>FOUND product plus housekeeping</v>
      </c>
      <c r="M1050" s="737" t="str">
        <f>MIN($Q$18,$Q$10*60)-IF(D1050=1,$Q$17/'Data DownlinkStorage Budget'!$M$3,0)</f>
        <v>#VALUE!</v>
      </c>
      <c r="N1050" s="182"/>
      <c r="O1050" s="737" t="str">
        <f t="shared" si="386"/>
        <v>#VALUE!</v>
      </c>
      <c r="P1050" s="11"/>
      <c r="Q1050" s="11"/>
      <c r="R1050" s="11"/>
      <c r="S1050" s="11"/>
      <c r="T1050" s="11"/>
      <c r="U1050" s="11"/>
      <c r="V1050" s="11"/>
      <c r="W1050" s="11"/>
      <c r="X1050" s="11"/>
      <c r="Y1050" s="11"/>
      <c r="Z1050" s="11"/>
      <c r="AA1050" s="11"/>
    </row>
    <row r="1051" ht="15.75" customHeight="1">
      <c r="A1051" s="737">
        <f t="shared" si="379"/>
        <v>0</v>
      </c>
      <c r="B1051" s="737">
        <f>A1051/'Orbit Info'!$G$10</f>
        <v>0</v>
      </c>
      <c r="C1051" s="737" t="str">
        <f t="shared" si="380"/>
        <v>Housekeeping and events only</v>
      </c>
      <c r="D1051" s="737">
        <f t="shared" si="381"/>
        <v>1</v>
      </c>
      <c r="E1051" s="737" t="str">
        <f t="shared" si="382"/>
        <v>#VALUE!</v>
      </c>
      <c r="F1051" s="737">
        <v>1.0</v>
      </c>
      <c r="G1051" s="737" t="str">
        <f t="shared" si="383"/>
        <v>#VALUE!</v>
      </c>
      <c r="H1051" s="737" t="str">
        <f>MIN($Q$11/('Orbit Info'!G$10),$Q$8*60)</f>
        <v>#VALUE!</v>
      </c>
      <c r="I1051" s="737" t="str">
        <f>IF(D1051=1,$Q$12/'Data DownlinkStorage Budget'!$M$3,0)</f>
        <v>#VALUE!</v>
      </c>
      <c r="J1051" s="737" t="str">
        <f t="shared" si="384"/>
        <v>#VALUE!</v>
      </c>
      <c r="K1051" s="11"/>
      <c r="L1051" s="737" t="str">
        <f t="shared" si="385"/>
        <v>FOUND product plus housekeeping</v>
      </c>
      <c r="M1051" s="737" t="str">
        <f>MIN($Q$18,$Q$10*60)-IF(D1051=1,$Q$17/'Data DownlinkStorage Budget'!$M$3,0)</f>
        <v>#VALUE!</v>
      </c>
      <c r="N1051" s="182"/>
      <c r="O1051" s="737" t="str">
        <f t="shared" si="386"/>
        <v>#VALUE!</v>
      </c>
      <c r="P1051" s="11"/>
      <c r="Q1051" s="11"/>
      <c r="R1051" s="11"/>
      <c r="S1051" s="11"/>
      <c r="T1051" s="11"/>
      <c r="U1051" s="11"/>
      <c r="V1051" s="11"/>
      <c r="W1051" s="11"/>
      <c r="X1051" s="11"/>
      <c r="Y1051" s="11"/>
      <c r="Z1051" s="11"/>
      <c r="AA1051" s="11"/>
    </row>
    <row r="1052" ht="15.75" customHeight="1">
      <c r="A1052" s="737">
        <f t="shared" si="379"/>
        <v>0</v>
      </c>
      <c r="B1052" s="737">
        <f>A1052/'Orbit Info'!$G$10</f>
        <v>0</v>
      </c>
      <c r="C1052" s="737" t="str">
        <f t="shared" si="380"/>
        <v>Housekeeping and events only</v>
      </c>
      <c r="D1052" s="737">
        <f t="shared" si="381"/>
        <v>1</v>
      </c>
      <c r="E1052" s="737" t="str">
        <f t="shared" si="382"/>
        <v>#VALUE!</v>
      </c>
      <c r="F1052" s="737">
        <v>1.0</v>
      </c>
      <c r="G1052" s="737" t="str">
        <f t="shared" si="383"/>
        <v>#VALUE!</v>
      </c>
      <c r="H1052" s="737" t="str">
        <f>MIN($Q$11/('Orbit Info'!G$10),$Q$8*60)</f>
        <v>#VALUE!</v>
      </c>
      <c r="I1052" s="737" t="str">
        <f>IF(D1052=1,$Q$12/'Data DownlinkStorage Budget'!$M$3,0)</f>
        <v>#VALUE!</v>
      </c>
      <c r="J1052" s="737" t="str">
        <f t="shared" si="384"/>
        <v>#VALUE!</v>
      </c>
      <c r="K1052" s="11"/>
      <c r="L1052" s="737" t="str">
        <f t="shared" si="385"/>
        <v>FOUND product plus housekeeping</v>
      </c>
      <c r="M1052" s="737" t="str">
        <f>MIN($Q$18,$Q$10*60)-IF(D1052=1,$Q$17/'Data DownlinkStorage Budget'!$M$3,0)</f>
        <v>#VALUE!</v>
      </c>
      <c r="N1052" s="182"/>
      <c r="O1052" s="737" t="str">
        <f t="shared" si="386"/>
        <v>#VALUE!</v>
      </c>
      <c r="P1052" s="11"/>
      <c r="Q1052" s="11"/>
      <c r="R1052" s="11"/>
      <c r="S1052" s="11"/>
      <c r="T1052" s="11"/>
      <c r="U1052" s="11"/>
      <c r="V1052" s="11"/>
      <c r="W1052" s="11"/>
      <c r="X1052" s="11"/>
      <c r="Y1052" s="11"/>
      <c r="Z1052" s="11"/>
      <c r="AA1052" s="11"/>
    </row>
    <row r="1053" ht="15.75" customHeight="1">
      <c r="A1053" s="737">
        <f t="shared" si="379"/>
        <v>0</v>
      </c>
      <c r="B1053" s="737">
        <f>A1053/'Orbit Info'!$G$10</f>
        <v>0</v>
      </c>
      <c r="C1053" s="737" t="str">
        <f t="shared" si="380"/>
        <v>Housekeeping and events only</v>
      </c>
      <c r="D1053" s="737">
        <f t="shared" si="381"/>
        <v>1</v>
      </c>
      <c r="E1053" s="737" t="str">
        <f t="shared" si="382"/>
        <v>#VALUE!</v>
      </c>
      <c r="F1053" s="737">
        <v>1.0</v>
      </c>
      <c r="G1053" s="737" t="str">
        <f t="shared" si="383"/>
        <v>#VALUE!</v>
      </c>
      <c r="H1053" s="737" t="str">
        <f>MIN($Q$11/('Orbit Info'!G$10),$Q$8*60)</f>
        <v>#VALUE!</v>
      </c>
      <c r="I1053" s="737" t="str">
        <f>IF(D1053=1,$Q$12/'Data DownlinkStorage Budget'!$M$3,0)</f>
        <v>#VALUE!</v>
      </c>
      <c r="J1053" s="737" t="str">
        <f t="shared" si="384"/>
        <v>#VALUE!</v>
      </c>
      <c r="K1053" s="11"/>
      <c r="L1053" s="737" t="str">
        <f t="shared" si="385"/>
        <v>FOUND product plus housekeeping</v>
      </c>
      <c r="M1053" s="737" t="str">
        <f>MIN($Q$18,$Q$10*60)-IF(D1053=1,$Q$17/'Data DownlinkStorage Budget'!$M$3,0)</f>
        <v>#VALUE!</v>
      </c>
      <c r="N1053" s="182"/>
      <c r="O1053" s="737" t="str">
        <f t="shared" si="386"/>
        <v>#VALUE!</v>
      </c>
      <c r="P1053" s="11"/>
      <c r="Q1053" s="11"/>
      <c r="R1053" s="11"/>
      <c r="S1053" s="11"/>
      <c r="T1053" s="11"/>
      <c r="U1053" s="11"/>
      <c r="V1053" s="11"/>
      <c r="W1053" s="11"/>
      <c r="X1053" s="11"/>
      <c r="Y1053" s="11"/>
      <c r="Z1053" s="11"/>
      <c r="AA1053" s="11"/>
    </row>
    <row r="1054" ht="15.75" customHeight="1">
      <c r="A1054" s="737">
        <f t="shared" si="379"/>
        <v>0</v>
      </c>
      <c r="B1054" s="737">
        <f>A1054/'Orbit Info'!$G$10</f>
        <v>0</v>
      </c>
      <c r="C1054" s="737" t="str">
        <f t="shared" si="380"/>
        <v>Housekeeping and events only</v>
      </c>
      <c r="D1054" s="737">
        <f t="shared" si="381"/>
        <v>1</v>
      </c>
      <c r="E1054" s="737" t="str">
        <f t="shared" si="382"/>
        <v>#VALUE!</v>
      </c>
      <c r="F1054" s="737">
        <v>1.0</v>
      </c>
      <c r="G1054" s="737" t="str">
        <f t="shared" si="383"/>
        <v>#VALUE!</v>
      </c>
      <c r="H1054" s="737" t="str">
        <f>MIN($Q$11/('Orbit Info'!G$10),$Q$8*60)</f>
        <v>#VALUE!</v>
      </c>
      <c r="I1054" s="737" t="str">
        <f>IF(D1054=1,$Q$12/'Data DownlinkStorage Budget'!$M$3,0)</f>
        <v>#VALUE!</v>
      </c>
      <c r="J1054" s="737" t="str">
        <f t="shared" si="384"/>
        <v>#VALUE!</v>
      </c>
      <c r="K1054" s="11"/>
      <c r="L1054" s="737" t="str">
        <f t="shared" si="385"/>
        <v>FOUND product plus housekeeping</v>
      </c>
      <c r="M1054" s="737" t="str">
        <f>MIN($Q$18,$Q$10*60)-IF(D1054=1,$Q$17/'Data DownlinkStorage Budget'!$M$3,0)</f>
        <v>#VALUE!</v>
      </c>
      <c r="N1054" s="182"/>
      <c r="O1054" s="737" t="str">
        <f t="shared" si="386"/>
        <v>#VALUE!</v>
      </c>
      <c r="P1054" s="11"/>
      <c r="Q1054" s="11"/>
      <c r="R1054" s="11"/>
      <c r="S1054" s="11"/>
      <c r="T1054" s="11"/>
      <c r="U1054" s="11"/>
      <c r="V1054" s="11"/>
      <c r="W1054" s="11"/>
      <c r="X1054" s="11"/>
      <c r="Y1054" s="11"/>
      <c r="Z1054" s="11"/>
      <c r="AA1054" s="11"/>
    </row>
    <row r="1055" ht="15.75" customHeight="1">
      <c r="A1055" s="737">
        <f t="shared" si="379"/>
        <v>0</v>
      </c>
      <c r="B1055" s="737">
        <f>A1055/'Orbit Info'!$G$10</f>
        <v>0</v>
      </c>
      <c r="C1055" s="737" t="str">
        <f t="shared" si="380"/>
        <v>Housekeeping and events only</v>
      </c>
      <c r="D1055" s="737">
        <f t="shared" si="381"/>
        <v>1</v>
      </c>
      <c r="E1055" s="737" t="str">
        <f t="shared" si="382"/>
        <v>#VALUE!</v>
      </c>
      <c r="F1055" s="737">
        <v>1.0</v>
      </c>
      <c r="G1055" s="737" t="str">
        <f t="shared" si="383"/>
        <v>#VALUE!</v>
      </c>
      <c r="H1055" s="737" t="str">
        <f>MIN($Q$11/('Orbit Info'!G$10),$Q$8*60)</f>
        <v>#VALUE!</v>
      </c>
      <c r="I1055" s="737" t="str">
        <f>IF(D1055=1,$Q$12/'Data DownlinkStorage Budget'!$M$3,0)</f>
        <v>#VALUE!</v>
      </c>
      <c r="J1055" s="737" t="str">
        <f t="shared" si="384"/>
        <v>#VALUE!</v>
      </c>
      <c r="K1055" s="11"/>
      <c r="L1055" s="737" t="str">
        <f t="shared" si="385"/>
        <v>FOUND product plus housekeeping</v>
      </c>
      <c r="M1055" s="737" t="str">
        <f>MIN($Q$18,$Q$10*60)-IF(D1055=1,$Q$17/'Data DownlinkStorage Budget'!$M$3,0)</f>
        <v>#VALUE!</v>
      </c>
      <c r="N1055" s="182"/>
      <c r="O1055" s="737" t="str">
        <f t="shared" si="386"/>
        <v>#VALUE!</v>
      </c>
      <c r="P1055" s="11"/>
      <c r="Q1055" s="11"/>
      <c r="R1055" s="11"/>
      <c r="S1055" s="11"/>
      <c r="T1055" s="11"/>
      <c r="U1055" s="11"/>
      <c r="V1055" s="11"/>
      <c r="W1055" s="11"/>
      <c r="X1055" s="11"/>
      <c r="Y1055" s="11"/>
      <c r="Z1055" s="11"/>
      <c r="AA1055" s="11"/>
    </row>
    <row r="1056" ht="15.75" customHeight="1">
      <c r="A1056" s="737">
        <f t="shared" si="379"/>
        <v>0</v>
      </c>
      <c r="B1056" s="737">
        <f>A1056/'Orbit Info'!$G$10</f>
        <v>0</v>
      </c>
      <c r="C1056" s="737" t="str">
        <f t="shared" si="380"/>
        <v>Housekeeping and events only</v>
      </c>
      <c r="D1056" s="737">
        <f t="shared" si="381"/>
        <v>1</v>
      </c>
      <c r="E1056" s="737" t="str">
        <f t="shared" si="382"/>
        <v>#VALUE!</v>
      </c>
      <c r="F1056" s="737">
        <v>1.0</v>
      </c>
      <c r="G1056" s="737" t="str">
        <f t="shared" si="383"/>
        <v>#VALUE!</v>
      </c>
      <c r="H1056" s="737" t="str">
        <f>MIN($Q$11/('Orbit Info'!G$10),$Q$8*60)</f>
        <v>#VALUE!</v>
      </c>
      <c r="I1056" s="737" t="str">
        <f>IF(D1056=1,$Q$12/'Data DownlinkStorage Budget'!$M$3,0)</f>
        <v>#VALUE!</v>
      </c>
      <c r="J1056" s="737" t="str">
        <f t="shared" si="384"/>
        <v>#VALUE!</v>
      </c>
      <c r="K1056" s="11"/>
      <c r="L1056" s="737" t="str">
        <f t="shared" si="385"/>
        <v>FOUND product plus housekeeping</v>
      </c>
      <c r="M1056" s="737" t="str">
        <f>MIN($Q$18,$Q$10*60)-IF(D1056=1,$Q$17/'Data DownlinkStorage Budget'!$M$3,0)</f>
        <v>#VALUE!</v>
      </c>
      <c r="N1056" s="182"/>
      <c r="O1056" s="737" t="str">
        <f t="shared" si="386"/>
        <v>#VALUE!</v>
      </c>
      <c r="P1056" s="11"/>
      <c r="Q1056" s="11"/>
      <c r="R1056" s="11"/>
      <c r="S1056" s="11"/>
      <c r="T1056" s="11"/>
      <c r="U1056" s="11"/>
      <c r="V1056" s="11"/>
      <c r="W1056" s="11"/>
      <c r="X1056" s="11"/>
      <c r="Y1056" s="11"/>
      <c r="Z1056" s="11"/>
      <c r="AA1056" s="11"/>
    </row>
    <row r="1057" ht="15.75" customHeight="1">
      <c r="A1057" s="737">
        <f t="shared" si="379"/>
        <v>0</v>
      </c>
      <c r="B1057" s="737">
        <f>A1057/'Orbit Info'!$G$10</f>
        <v>0</v>
      </c>
      <c r="C1057" s="737" t="str">
        <f t="shared" si="380"/>
        <v>Housekeeping and events only</v>
      </c>
      <c r="D1057" s="737">
        <f t="shared" si="381"/>
        <v>1</v>
      </c>
      <c r="E1057" s="737" t="str">
        <f t="shared" si="382"/>
        <v>#VALUE!</v>
      </c>
      <c r="F1057" s="737">
        <v>1.0</v>
      </c>
      <c r="G1057" s="737" t="str">
        <f t="shared" si="383"/>
        <v>#VALUE!</v>
      </c>
      <c r="H1057" s="737" t="str">
        <f>MIN($Q$11/('Orbit Info'!G$10),$Q$8*60)</f>
        <v>#VALUE!</v>
      </c>
      <c r="I1057" s="737" t="str">
        <f>IF(D1057=1,$Q$12/'Data DownlinkStorage Budget'!$M$3,0)</f>
        <v>#VALUE!</v>
      </c>
      <c r="J1057" s="737" t="str">
        <f t="shared" si="384"/>
        <v>#VALUE!</v>
      </c>
      <c r="K1057" s="11"/>
      <c r="L1057" s="737" t="str">
        <f t="shared" si="385"/>
        <v>FOUND product plus housekeeping</v>
      </c>
      <c r="M1057" s="737" t="str">
        <f>MIN($Q$18,$Q$10*60)-IF(D1057=1,$Q$17/'Data DownlinkStorage Budget'!$M$3,0)</f>
        <v>#VALUE!</v>
      </c>
      <c r="N1057" s="182"/>
      <c r="O1057" s="737" t="str">
        <f t="shared" si="386"/>
        <v>#VALUE!</v>
      </c>
      <c r="P1057" s="11"/>
      <c r="Q1057" s="11"/>
      <c r="R1057" s="11"/>
      <c r="S1057" s="11"/>
      <c r="T1057" s="11"/>
      <c r="U1057" s="11"/>
      <c r="V1057" s="11"/>
      <c r="W1057" s="11"/>
      <c r="X1057" s="11"/>
      <c r="Y1057" s="11"/>
      <c r="Z1057" s="11"/>
      <c r="AA1057" s="11"/>
    </row>
    <row r="1058" ht="15.75" customHeight="1">
      <c r="A1058" s="737">
        <f t="shared" si="379"/>
        <v>0</v>
      </c>
      <c r="B1058" s="737">
        <f>A1058/'Orbit Info'!$G$10</f>
        <v>0</v>
      </c>
      <c r="C1058" s="737" t="str">
        <f t="shared" si="380"/>
        <v>Housekeeping and events only</v>
      </c>
      <c r="D1058" s="737">
        <f t="shared" si="381"/>
        <v>1</v>
      </c>
      <c r="E1058" s="737" t="str">
        <f t="shared" si="382"/>
        <v>#VALUE!</v>
      </c>
      <c r="F1058" s="737">
        <v>1.0</v>
      </c>
      <c r="G1058" s="737" t="str">
        <f t="shared" si="383"/>
        <v>#VALUE!</v>
      </c>
      <c r="H1058" s="737" t="str">
        <f>MIN($Q$11/('Orbit Info'!G$10),$Q$8*60)</f>
        <v>#VALUE!</v>
      </c>
      <c r="I1058" s="737" t="str">
        <f>IF(D1058=1,$Q$12/'Data DownlinkStorage Budget'!$M$3,0)</f>
        <v>#VALUE!</v>
      </c>
      <c r="J1058" s="737" t="str">
        <f t="shared" si="384"/>
        <v>#VALUE!</v>
      </c>
      <c r="K1058" s="11"/>
      <c r="L1058" s="737" t="str">
        <f t="shared" si="385"/>
        <v>FOUND product plus housekeeping</v>
      </c>
      <c r="M1058" s="737" t="str">
        <f>MIN($Q$18,$Q$10*60)-IF(D1058=1,$Q$17/'Data DownlinkStorage Budget'!$M$3,0)</f>
        <v>#VALUE!</v>
      </c>
      <c r="N1058" s="182"/>
      <c r="O1058" s="737" t="str">
        <f t="shared" si="386"/>
        <v>#VALUE!</v>
      </c>
      <c r="P1058" s="11"/>
      <c r="Q1058" s="11"/>
      <c r="R1058" s="11"/>
      <c r="S1058" s="11"/>
      <c r="T1058" s="11"/>
      <c r="U1058" s="11"/>
      <c r="V1058" s="11"/>
      <c r="W1058" s="11"/>
      <c r="X1058" s="11"/>
      <c r="Y1058" s="11"/>
      <c r="Z1058" s="11"/>
      <c r="AA1058" s="11"/>
    </row>
    <row r="1059" ht="15.75" customHeight="1">
      <c r="A1059" s="737">
        <f t="shared" si="379"/>
        <v>0</v>
      </c>
      <c r="B1059" s="737">
        <f>A1059/'Orbit Info'!$G$10</f>
        <v>0</v>
      </c>
      <c r="C1059" s="737" t="str">
        <f t="shared" si="380"/>
        <v>Housekeeping and events only</v>
      </c>
      <c r="D1059" s="737">
        <f t="shared" si="381"/>
        <v>1</v>
      </c>
      <c r="E1059" s="737" t="str">
        <f t="shared" si="382"/>
        <v>#VALUE!</v>
      </c>
      <c r="F1059" s="737">
        <v>1.0</v>
      </c>
      <c r="G1059" s="737" t="str">
        <f t="shared" si="383"/>
        <v>#VALUE!</v>
      </c>
      <c r="H1059" s="737" t="str">
        <f>MIN($Q$11/('Orbit Info'!G$10),$Q$8*60)</f>
        <v>#VALUE!</v>
      </c>
      <c r="I1059" s="737" t="str">
        <f>IF(D1059=1,$Q$12/'Data DownlinkStorage Budget'!$M$3,0)</f>
        <v>#VALUE!</v>
      </c>
      <c r="J1059" s="737" t="str">
        <f t="shared" si="384"/>
        <v>#VALUE!</v>
      </c>
      <c r="K1059" s="11"/>
      <c r="L1059" s="737" t="str">
        <f t="shared" si="385"/>
        <v>FOUND product plus housekeeping</v>
      </c>
      <c r="M1059" s="737" t="str">
        <f>MIN($Q$18,$Q$10*60)-IF(D1059=1,$Q$17/'Data DownlinkStorage Budget'!$M$3,0)</f>
        <v>#VALUE!</v>
      </c>
      <c r="N1059" s="182"/>
      <c r="O1059" s="737" t="str">
        <f t="shared" si="386"/>
        <v>#VALUE!</v>
      </c>
      <c r="P1059" s="11"/>
      <c r="Q1059" s="11"/>
      <c r="R1059" s="11"/>
      <c r="S1059" s="11"/>
      <c r="T1059" s="11"/>
      <c r="U1059" s="11"/>
      <c r="V1059" s="11"/>
      <c r="W1059" s="11"/>
      <c r="X1059" s="11"/>
      <c r="Y1059" s="11"/>
      <c r="Z1059" s="11"/>
      <c r="AA1059" s="11"/>
    </row>
    <row r="1060" ht="15.75" customHeight="1">
      <c r="A1060" s="737">
        <f t="shared" si="379"/>
        <v>0</v>
      </c>
      <c r="B1060" s="737">
        <f>A1060/'Orbit Info'!$G$10</f>
        <v>0</v>
      </c>
      <c r="C1060" s="737" t="str">
        <f t="shared" si="380"/>
        <v>Housekeeping and events only</v>
      </c>
      <c r="D1060" s="737">
        <f t="shared" si="381"/>
        <v>1</v>
      </c>
      <c r="E1060" s="737" t="str">
        <f t="shared" si="382"/>
        <v>#VALUE!</v>
      </c>
      <c r="F1060" s="737">
        <v>1.0</v>
      </c>
      <c r="G1060" s="737" t="str">
        <f t="shared" si="383"/>
        <v>#VALUE!</v>
      </c>
      <c r="H1060" s="737" t="str">
        <f>MIN($Q$11/('Orbit Info'!G$10),$Q$8*60)</f>
        <v>#VALUE!</v>
      </c>
      <c r="I1060" s="737" t="str">
        <f>IF(D1060=1,$Q$12/'Data DownlinkStorage Budget'!$M$3,0)</f>
        <v>#VALUE!</v>
      </c>
      <c r="J1060" s="737" t="str">
        <f t="shared" si="384"/>
        <v>#VALUE!</v>
      </c>
      <c r="K1060" s="11"/>
      <c r="L1060" s="737" t="str">
        <f t="shared" si="385"/>
        <v>FOUND product plus housekeeping</v>
      </c>
      <c r="M1060" s="737" t="str">
        <f>MIN($Q$18,$Q$10*60)-IF(D1060=1,$Q$17/'Data DownlinkStorage Budget'!$M$3,0)</f>
        <v>#VALUE!</v>
      </c>
      <c r="N1060" s="182"/>
      <c r="O1060" s="737" t="str">
        <f t="shared" si="386"/>
        <v>#VALUE!</v>
      </c>
      <c r="P1060" s="11"/>
      <c r="Q1060" s="11"/>
      <c r="R1060" s="11"/>
      <c r="S1060" s="11"/>
      <c r="T1060" s="11"/>
      <c r="U1060" s="11"/>
      <c r="V1060" s="11"/>
      <c r="W1060" s="11"/>
      <c r="X1060" s="11"/>
      <c r="Y1060" s="11"/>
      <c r="Z1060" s="11"/>
      <c r="AA1060" s="11"/>
    </row>
    <row r="1061" ht="15.75" customHeight="1">
      <c r="A1061" s="737">
        <f t="shared" si="379"/>
        <v>0</v>
      </c>
      <c r="B1061" s="737">
        <f>A1061/'Orbit Info'!$G$10</f>
        <v>0</v>
      </c>
      <c r="C1061" s="737" t="str">
        <f t="shared" si="380"/>
        <v>Housekeeping and events only</v>
      </c>
      <c r="D1061" s="737">
        <f t="shared" si="381"/>
        <v>1</v>
      </c>
      <c r="E1061" s="737" t="str">
        <f t="shared" si="382"/>
        <v>#VALUE!</v>
      </c>
      <c r="F1061" s="737">
        <v>1.0</v>
      </c>
      <c r="G1061" s="737" t="str">
        <f t="shared" si="383"/>
        <v>#VALUE!</v>
      </c>
      <c r="H1061" s="737" t="str">
        <f>MIN($Q$11/('Orbit Info'!G$10),$Q$8*60)</f>
        <v>#VALUE!</v>
      </c>
      <c r="I1061" s="737" t="str">
        <f>IF(D1061=1,$Q$12/'Data DownlinkStorage Budget'!$M$3,0)</f>
        <v>#VALUE!</v>
      </c>
      <c r="J1061" s="737" t="str">
        <f t="shared" si="384"/>
        <v>#VALUE!</v>
      </c>
      <c r="K1061" s="11"/>
      <c r="L1061" s="737" t="str">
        <f t="shared" si="385"/>
        <v>FOUND product plus housekeeping</v>
      </c>
      <c r="M1061" s="737" t="str">
        <f>MIN($Q$18,$Q$10*60)-IF(D1061=1,$Q$17/'Data DownlinkStorage Budget'!$M$3,0)</f>
        <v>#VALUE!</v>
      </c>
      <c r="N1061" s="182"/>
      <c r="O1061" s="737" t="str">
        <f t="shared" si="386"/>
        <v>#VALUE!</v>
      </c>
      <c r="P1061" s="11"/>
      <c r="Q1061" s="11"/>
      <c r="R1061" s="11"/>
      <c r="S1061" s="11"/>
      <c r="T1061" s="11"/>
      <c r="U1061" s="11"/>
      <c r="V1061" s="11"/>
      <c r="W1061" s="11"/>
      <c r="X1061" s="11"/>
      <c r="Y1061" s="11"/>
      <c r="Z1061" s="11"/>
      <c r="AA1061" s="11"/>
    </row>
    <row r="1062" ht="15.75" customHeight="1">
      <c r="A1062" s="737">
        <f t="shared" si="379"/>
        <v>0</v>
      </c>
      <c r="B1062" s="737">
        <f>A1062/'Orbit Info'!$G$10</f>
        <v>0</v>
      </c>
      <c r="C1062" s="737" t="str">
        <f t="shared" si="380"/>
        <v>Housekeeping and events only</v>
      </c>
      <c r="D1062" s="737">
        <f t="shared" si="381"/>
        <v>1</v>
      </c>
      <c r="E1062" s="737" t="str">
        <f t="shared" si="382"/>
        <v>#VALUE!</v>
      </c>
      <c r="F1062" s="737">
        <v>1.0</v>
      </c>
      <c r="G1062" s="737" t="str">
        <f t="shared" si="383"/>
        <v>#VALUE!</v>
      </c>
      <c r="H1062" s="737" t="str">
        <f>MIN($Q$11/('Orbit Info'!G$10),$Q$8*60)</f>
        <v>#VALUE!</v>
      </c>
      <c r="I1062" s="737" t="str">
        <f>IF(D1062=1,$Q$12/'Data DownlinkStorage Budget'!$M$3,0)</f>
        <v>#VALUE!</v>
      </c>
      <c r="J1062" s="737" t="str">
        <f t="shared" si="384"/>
        <v>#VALUE!</v>
      </c>
      <c r="K1062" s="11"/>
      <c r="L1062" s="737" t="str">
        <f t="shared" si="385"/>
        <v>FOUND product plus housekeeping</v>
      </c>
      <c r="M1062" s="737" t="str">
        <f>MIN($Q$18,$Q$10*60)-IF(D1062=1,$Q$17/'Data DownlinkStorage Budget'!$M$3,0)</f>
        <v>#VALUE!</v>
      </c>
      <c r="N1062" s="182"/>
      <c r="O1062" s="737" t="str">
        <f t="shared" si="386"/>
        <v>#VALUE!</v>
      </c>
      <c r="P1062" s="11"/>
      <c r="Q1062" s="11"/>
      <c r="R1062" s="11"/>
      <c r="S1062" s="11"/>
      <c r="T1062" s="11"/>
      <c r="U1062" s="11"/>
      <c r="V1062" s="11"/>
      <c r="W1062" s="11"/>
      <c r="X1062" s="11"/>
      <c r="Y1062" s="11"/>
      <c r="Z1062" s="11"/>
      <c r="AA1062" s="11"/>
    </row>
    <row r="1063" ht="15.75" customHeight="1">
      <c r="A1063" s="737">
        <f t="shared" si="379"/>
        <v>0</v>
      </c>
      <c r="B1063" s="737">
        <f>A1063/'Orbit Info'!$G$10</f>
        <v>0</v>
      </c>
      <c r="C1063" s="737" t="str">
        <f t="shared" si="380"/>
        <v>Housekeeping and events only</v>
      </c>
      <c r="D1063" s="737">
        <f t="shared" si="381"/>
        <v>1</v>
      </c>
      <c r="E1063" s="737" t="str">
        <f t="shared" si="382"/>
        <v>#VALUE!</v>
      </c>
      <c r="F1063" s="737">
        <v>1.0</v>
      </c>
      <c r="G1063" s="737" t="str">
        <f t="shared" si="383"/>
        <v>#VALUE!</v>
      </c>
      <c r="H1063" s="737" t="str">
        <f>MIN($Q$11/('Orbit Info'!G$10),$Q$8*60)</f>
        <v>#VALUE!</v>
      </c>
      <c r="I1063" s="737" t="str">
        <f>IF(D1063=1,$Q$12/'Data DownlinkStorage Budget'!$M$3,0)</f>
        <v>#VALUE!</v>
      </c>
      <c r="J1063" s="737" t="str">
        <f t="shared" si="384"/>
        <v>#VALUE!</v>
      </c>
      <c r="K1063" s="11"/>
      <c r="L1063" s="737" t="str">
        <f t="shared" si="385"/>
        <v>FOUND product plus housekeeping</v>
      </c>
      <c r="M1063" s="737" t="str">
        <f>MIN($Q$18,$Q$10*60)-IF(D1063=1,$Q$17/'Data DownlinkStorage Budget'!$M$3,0)</f>
        <v>#VALUE!</v>
      </c>
      <c r="N1063" s="182"/>
      <c r="O1063" s="737" t="str">
        <f t="shared" si="386"/>
        <v>#VALUE!</v>
      </c>
      <c r="P1063" s="11"/>
      <c r="Q1063" s="11"/>
      <c r="R1063" s="11"/>
      <c r="S1063" s="11"/>
      <c r="T1063" s="11"/>
      <c r="U1063" s="11"/>
      <c r="V1063" s="11"/>
      <c r="W1063" s="11"/>
      <c r="X1063" s="11"/>
      <c r="Y1063" s="11"/>
      <c r="Z1063" s="11"/>
      <c r="AA1063" s="11"/>
    </row>
    <row r="1064" ht="15.75" customHeight="1">
      <c r="A1064" s="737">
        <f t="shared" si="379"/>
        <v>0</v>
      </c>
      <c r="B1064" s="737">
        <f>A1064/'Orbit Info'!$G$10</f>
        <v>0</v>
      </c>
      <c r="C1064" s="737" t="str">
        <f t="shared" si="380"/>
        <v>Housekeeping and events only</v>
      </c>
      <c r="D1064" s="737">
        <f t="shared" si="381"/>
        <v>1</v>
      </c>
      <c r="E1064" s="737" t="str">
        <f t="shared" si="382"/>
        <v>#VALUE!</v>
      </c>
      <c r="F1064" s="737">
        <v>1.0</v>
      </c>
      <c r="G1064" s="737" t="str">
        <f t="shared" si="383"/>
        <v>#VALUE!</v>
      </c>
      <c r="H1064" s="737" t="str">
        <f>MIN($Q$11/('Orbit Info'!G$10),$Q$8*60)</f>
        <v>#VALUE!</v>
      </c>
      <c r="I1064" s="737" t="str">
        <f>IF(D1064=1,$Q$12/'Data DownlinkStorage Budget'!$M$3,0)</f>
        <v>#VALUE!</v>
      </c>
      <c r="J1064" s="737" t="str">
        <f t="shared" si="384"/>
        <v>#VALUE!</v>
      </c>
      <c r="K1064" s="11"/>
      <c r="L1064" s="737" t="str">
        <f t="shared" si="385"/>
        <v>FOUND product plus housekeeping</v>
      </c>
      <c r="M1064" s="737" t="str">
        <f>MIN($Q$18,$Q$10*60)-IF(D1064=1,$Q$17/'Data DownlinkStorage Budget'!$M$3,0)</f>
        <v>#VALUE!</v>
      </c>
      <c r="N1064" s="182"/>
      <c r="O1064" s="737" t="str">
        <f t="shared" si="386"/>
        <v>#VALUE!</v>
      </c>
      <c r="P1064" s="11"/>
      <c r="Q1064" s="11"/>
      <c r="R1064" s="11"/>
      <c r="S1064" s="11"/>
      <c r="T1064" s="11"/>
      <c r="U1064" s="11"/>
      <c r="V1064" s="11"/>
      <c r="W1064" s="11"/>
      <c r="X1064" s="11"/>
      <c r="Y1064" s="11"/>
      <c r="Z1064" s="11"/>
      <c r="AA1064" s="11"/>
    </row>
    <row r="1065" ht="15.75" customHeight="1">
      <c r="A1065" s="737">
        <f t="shared" si="379"/>
        <v>0</v>
      </c>
      <c r="B1065" s="737">
        <f>A1065/'Orbit Info'!$G$10</f>
        <v>0</v>
      </c>
      <c r="C1065" s="737" t="str">
        <f t="shared" si="380"/>
        <v>Housekeeping and events only</v>
      </c>
      <c r="D1065" s="737">
        <f t="shared" si="381"/>
        <v>1</v>
      </c>
      <c r="E1065" s="737" t="str">
        <f t="shared" si="382"/>
        <v>#VALUE!</v>
      </c>
      <c r="F1065" s="737">
        <v>1.0</v>
      </c>
      <c r="G1065" s="737" t="str">
        <f t="shared" si="383"/>
        <v>#VALUE!</v>
      </c>
      <c r="H1065" s="737" t="str">
        <f>MIN($Q$11/('Orbit Info'!G$10),$Q$8*60)</f>
        <v>#VALUE!</v>
      </c>
      <c r="I1065" s="737" t="str">
        <f>IF(D1065=1,$Q$12/'Data DownlinkStorage Budget'!$M$3,0)</f>
        <v>#VALUE!</v>
      </c>
      <c r="J1065" s="737" t="str">
        <f t="shared" si="384"/>
        <v>#VALUE!</v>
      </c>
      <c r="K1065" s="11"/>
      <c r="L1065" s="737" t="str">
        <f t="shared" si="385"/>
        <v>FOUND product plus housekeeping</v>
      </c>
      <c r="M1065" s="737" t="str">
        <f>MIN($Q$18,$Q$10*60)-IF(D1065=1,$Q$17/'Data DownlinkStorage Budget'!$M$3,0)</f>
        <v>#VALUE!</v>
      </c>
      <c r="N1065" s="182"/>
      <c r="O1065" s="737" t="str">
        <f t="shared" si="386"/>
        <v>#VALUE!</v>
      </c>
      <c r="P1065" s="11"/>
      <c r="Q1065" s="11"/>
      <c r="R1065" s="11"/>
      <c r="S1065" s="11"/>
      <c r="T1065" s="11"/>
      <c r="U1065" s="11"/>
      <c r="V1065" s="11"/>
      <c r="W1065" s="11"/>
      <c r="X1065" s="11"/>
      <c r="Y1065" s="11"/>
      <c r="Z1065" s="11"/>
      <c r="AA1065" s="11"/>
    </row>
    <row r="1066" ht="15.75" customHeight="1">
      <c r="A1066" s="737">
        <f t="shared" si="379"/>
        <v>0</v>
      </c>
      <c r="B1066" s="737">
        <f>A1066/'Orbit Info'!$G$10</f>
        <v>0</v>
      </c>
      <c r="C1066" s="737" t="str">
        <f t="shared" si="380"/>
        <v>Housekeeping and events only</v>
      </c>
      <c r="D1066" s="737">
        <f t="shared" si="381"/>
        <v>1</v>
      </c>
      <c r="E1066" s="737" t="str">
        <f t="shared" si="382"/>
        <v>#VALUE!</v>
      </c>
      <c r="F1066" s="737">
        <v>1.0</v>
      </c>
      <c r="G1066" s="737" t="str">
        <f t="shared" si="383"/>
        <v>#VALUE!</v>
      </c>
      <c r="H1066" s="737" t="str">
        <f>MIN($Q$11/('Orbit Info'!G$10),$Q$8*60)</f>
        <v>#VALUE!</v>
      </c>
      <c r="I1066" s="737" t="str">
        <f>IF(D1066=1,$Q$12/'Data DownlinkStorage Budget'!$M$3,0)</f>
        <v>#VALUE!</v>
      </c>
      <c r="J1066" s="737" t="str">
        <f t="shared" si="384"/>
        <v>#VALUE!</v>
      </c>
      <c r="K1066" s="11"/>
      <c r="L1066" s="737" t="str">
        <f t="shared" si="385"/>
        <v>FOUND product plus housekeeping</v>
      </c>
      <c r="M1066" s="737" t="str">
        <f>MIN($Q$18,$Q$10*60)-IF(D1066=1,$Q$17/'Data DownlinkStorage Budget'!$M$3,0)</f>
        <v>#VALUE!</v>
      </c>
      <c r="N1066" s="182"/>
      <c r="O1066" s="737" t="str">
        <f t="shared" si="386"/>
        <v>#VALUE!</v>
      </c>
      <c r="P1066" s="11"/>
      <c r="Q1066" s="11"/>
      <c r="R1066" s="11"/>
      <c r="S1066" s="11"/>
      <c r="T1066" s="11"/>
      <c r="U1066" s="11"/>
      <c r="V1066" s="11"/>
      <c r="W1066" s="11"/>
      <c r="X1066" s="11"/>
      <c r="Y1066" s="11"/>
      <c r="Z1066" s="11"/>
      <c r="AA1066" s="11"/>
    </row>
    <row r="1067" ht="15.75" customHeight="1">
      <c r="A1067" s="737">
        <f t="shared" si="379"/>
        <v>0</v>
      </c>
      <c r="B1067" s="737">
        <f>A1067/'Orbit Info'!$G$10</f>
        <v>0</v>
      </c>
      <c r="C1067" s="737" t="str">
        <f t="shared" si="380"/>
        <v>Housekeeping and events only</v>
      </c>
      <c r="D1067" s="737">
        <f t="shared" si="381"/>
        <v>1</v>
      </c>
      <c r="E1067" s="737" t="str">
        <f t="shared" si="382"/>
        <v>#VALUE!</v>
      </c>
      <c r="F1067" s="737">
        <v>1.0</v>
      </c>
      <c r="G1067" s="737" t="str">
        <f t="shared" si="383"/>
        <v>#VALUE!</v>
      </c>
      <c r="H1067" s="737" t="str">
        <f>MIN($Q$11/('Orbit Info'!G$10),$Q$8*60)</f>
        <v>#VALUE!</v>
      </c>
      <c r="I1067" s="737" t="str">
        <f>IF(D1067=1,$Q$12/'Data DownlinkStorage Budget'!$M$3,0)</f>
        <v>#VALUE!</v>
      </c>
      <c r="J1067" s="737" t="str">
        <f t="shared" si="384"/>
        <v>#VALUE!</v>
      </c>
      <c r="K1067" s="11"/>
      <c r="L1067" s="737" t="str">
        <f t="shared" si="385"/>
        <v>FOUND product plus housekeeping</v>
      </c>
      <c r="M1067" s="737" t="str">
        <f>MIN($Q$18,$Q$10*60)-IF(D1067=1,$Q$17/'Data DownlinkStorage Budget'!$M$3,0)</f>
        <v>#VALUE!</v>
      </c>
      <c r="N1067" s="182"/>
      <c r="O1067" s="737" t="str">
        <f t="shared" si="386"/>
        <v>#VALUE!</v>
      </c>
      <c r="P1067" s="11"/>
      <c r="Q1067" s="11"/>
      <c r="R1067" s="11"/>
      <c r="S1067" s="11"/>
      <c r="T1067" s="11"/>
      <c r="U1067" s="11"/>
      <c r="V1067" s="11"/>
      <c r="W1067" s="11"/>
      <c r="X1067" s="11"/>
      <c r="Y1067" s="11"/>
      <c r="Z1067" s="11"/>
      <c r="AA1067" s="11"/>
    </row>
    <row r="1068" ht="15.75" customHeight="1">
      <c r="A1068" s="737">
        <f t="shared" si="379"/>
        <v>0</v>
      </c>
      <c r="B1068" s="737">
        <f>A1068/'Orbit Info'!$G$10</f>
        <v>0</v>
      </c>
      <c r="C1068" s="737" t="str">
        <f t="shared" si="380"/>
        <v>Housekeeping and events only</v>
      </c>
      <c r="D1068" s="737">
        <f t="shared" si="381"/>
        <v>1</v>
      </c>
      <c r="E1068" s="737" t="str">
        <f t="shared" si="382"/>
        <v>#VALUE!</v>
      </c>
      <c r="F1068" s="737">
        <v>1.0</v>
      </c>
      <c r="G1068" s="737" t="str">
        <f t="shared" si="383"/>
        <v>#VALUE!</v>
      </c>
      <c r="H1068" s="737" t="str">
        <f>MIN($Q$11/('Orbit Info'!G$10),$Q$8*60)</f>
        <v>#VALUE!</v>
      </c>
      <c r="I1068" s="737" t="str">
        <f>IF(D1068=1,$Q$12/'Data DownlinkStorage Budget'!$M$3,0)</f>
        <v>#VALUE!</v>
      </c>
      <c r="J1068" s="737" t="str">
        <f t="shared" si="384"/>
        <v>#VALUE!</v>
      </c>
      <c r="K1068" s="11"/>
      <c r="L1068" s="737" t="str">
        <f t="shared" si="385"/>
        <v>FOUND product plus housekeeping</v>
      </c>
      <c r="M1068" s="737" t="str">
        <f>MIN($Q$18,$Q$10*60)-IF(D1068=1,$Q$17/'Data DownlinkStorage Budget'!$M$3,0)</f>
        <v>#VALUE!</v>
      </c>
      <c r="N1068" s="182"/>
      <c r="O1068" s="737" t="str">
        <f t="shared" si="386"/>
        <v>#VALUE!</v>
      </c>
      <c r="P1068" s="11"/>
      <c r="Q1068" s="11"/>
      <c r="R1068" s="11"/>
      <c r="S1068" s="11"/>
      <c r="T1068" s="11"/>
      <c r="U1068" s="11"/>
      <c r="V1068" s="11"/>
      <c r="W1068" s="11"/>
      <c r="X1068" s="11"/>
      <c r="Y1068" s="11"/>
      <c r="Z1068" s="11"/>
      <c r="AA1068" s="11"/>
    </row>
    <row r="1069" ht="15.75" customHeight="1">
      <c r="A1069" s="737">
        <f t="shared" si="379"/>
        <v>0</v>
      </c>
      <c r="B1069" s="737">
        <f>A1069/'Orbit Info'!$G$10</f>
        <v>0</v>
      </c>
      <c r="C1069" s="737" t="str">
        <f t="shared" si="380"/>
        <v>Housekeeping and events only</v>
      </c>
      <c r="D1069" s="737">
        <f t="shared" si="381"/>
        <v>1</v>
      </c>
      <c r="E1069" s="737" t="str">
        <f t="shared" si="382"/>
        <v>#VALUE!</v>
      </c>
      <c r="F1069" s="737">
        <v>1.0</v>
      </c>
      <c r="G1069" s="737" t="str">
        <f t="shared" si="383"/>
        <v>#VALUE!</v>
      </c>
      <c r="H1069" s="737" t="str">
        <f>MIN($Q$11/('Orbit Info'!G$10),$Q$8*60)</f>
        <v>#VALUE!</v>
      </c>
      <c r="I1069" s="737" t="str">
        <f>IF(D1069=1,$Q$12/'Data DownlinkStorage Budget'!$M$3,0)</f>
        <v>#VALUE!</v>
      </c>
      <c r="J1069" s="737" t="str">
        <f t="shared" si="384"/>
        <v>#VALUE!</v>
      </c>
      <c r="K1069" s="11"/>
      <c r="L1069" s="737" t="str">
        <f t="shared" si="385"/>
        <v>FOUND product plus housekeeping</v>
      </c>
      <c r="M1069" s="737" t="str">
        <f>MIN($Q$18,$Q$10*60)-IF(D1069=1,$Q$17/'Data DownlinkStorage Budget'!$M$3,0)</f>
        <v>#VALUE!</v>
      </c>
      <c r="N1069" s="182"/>
      <c r="O1069" s="737" t="str">
        <f t="shared" si="386"/>
        <v>#VALUE!</v>
      </c>
      <c r="P1069" s="11"/>
      <c r="Q1069" s="11"/>
      <c r="R1069" s="11"/>
      <c r="S1069" s="11"/>
      <c r="T1069" s="11"/>
      <c r="U1069" s="11"/>
      <c r="V1069" s="11"/>
      <c r="W1069" s="11"/>
      <c r="X1069" s="11"/>
      <c r="Y1069" s="11"/>
      <c r="Z1069" s="11"/>
      <c r="AA1069" s="11"/>
    </row>
    <row r="1070" ht="15.75" customHeight="1">
      <c r="A1070" s="737">
        <f t="shared" si="379"/>
        <v>0</v>
      </c>
      <c r="B1070" s="737">
        <f>A1070/'Orbit Info'!$G$10</f>
        <v>0</v>
      </c>
      <c r="C1070" s="737" t="str">
        <f t="shared" si="380"/>
        <v>Housekeeping and events only</v>
      </c>
      <c r="D1070" s="737">
        <f t="shared" si="381"/>
        <v>1</v>
      </c>
      <c r="E1070" s="737" t="str">
        <f t="shared" si="382"/>
        <v>#VALUE!</v>
      </c>
      <c r="F1070" s="737">
        <v>1.0</v>
      </c>
      <c r="G1070" s="737" t="str">
        <f t="shared" si="383"/>
        <v>#VALUE!</v>
      </c>
      <c r="H1070" s="737" t="str">
        <f>MIN($Q$11/('Orbit Info'!G$10),$Q$8*60)</f>
        <v>#VALUE!</v>
      </c>
      <c r="I1070" s="737" t="str">
        <f>IF(D1070=1,$Q$12/'Data DownlinkStorage Budget'!$M$3,0)</f>
        <v>#VALUE!</v>
      </c>
      <c r="J1070" s="737" t="str">
        <f t="shared" si="384"/>
        <v>#VALUE!</v>
      </c>
      <c r="K1070" s="11"/>
      <c r="L1070" s="737" t="str">
        <f t="shared" si="385"/>
        <v>FOUND product plus housekeeping</v>
      </c>
      <c r="M1070" s="737" t="str">
        <f>MIN($Q$18,$Q$10*60)-IF(D1070=1,$Q$17/'Data DownlinkStorage Budget'!$M$3,0)</f>
        <v>#VALUE!</v>
      </c>
      <c r="N1070" s="182"/>
      <c r="O1070" s="737" t="str">
        <f t="shared" si="386"/>
        <v>#VALUE!</v>
      </c>
      <c r="P1070" s="11"/>
      <c r="Q1070" s="11"/>
      <c r="R1070" s="11"/>
      <c r="S1070" s="11"/>
      <c r="T1070" s="11"/>
      <c r="U1070" s="11"/>
      <c r="V1070" s="11"/>
      <c r="W1070" s="11"/>
      <c r="X1070" s="11"/>
      <c r="Y1070" s="11"/>
      <c r="Z1070" s="11"/>
      <c r="AA1070" s="11"/>
    </row>
    <row r="1071" ht="15.75" customHeight="1">
      <c r="A1071" s="737">
        <f t="shared" si="379"/>
        <v>0</v>
      </c>
      <c r="B1071" s="737">
        <f>A1071/'Orbit Info'!$G$10</f>
        <v>0</v>
      </c>
      <c r="C1071" s="737" t="str">
        <f t="shared" si="380"/>
        <v>Housekeeping and events only</v>
      </c>
      <c r="D1071" s="737">
        <f t="shared" si="381"/>
        <v>1</v>
      </c>
      <c r="E1071" s="737" t="str">
        <f t="shared" si="382"/>
        <v>#VALUE!</v>
      </c>
      <c r="F1071" s="737">
        <v>1.0</v>
      </c>
      <c r="G1071" s="737" t="str">
        <f t="shared" si="383"/>
        <v>#VALUE!</v>
      </c>
      <c r="H1071" s="737" t="str">
        <f>MIN($Q$11/('Orbit Info'!G$10),$Q$8*60)</f>
        <v>#VALUE!</v>
      </c>
      <c r="I1071" s="737" t="str">
        <f>IF(D1071=1,$Q$12/'Data DownlinkStorage Budget'!$M$3,0)</f>
        <v>#VALUE!</v>
      </c>
      <c r="J1071" s="737" t="str">
        <f t="shared" si="384"/>
        <v>#VALUE!</v>
      </c>
      <c r="K1071" s="11"/>
      <c r="L1071" s="737" t="str">
        <f t="shared" si="385"/>
        <v>FOUND product plus housekeeping</v>
      </c>
      <c r="M1071" s="737" t="str">
        <f>MIN($Q$18,$Q$10*60)-IF(D1071=1,$Q$17/'Data DownlinkStorage Budget'!$M$3,0)</f>
        <v>#VALUE!</v>
      </c>
      <c r="N1071" s="182"/>
      <c r="O1071" s="737" t="str">
        <f t="shared" si="386"/>
        <v>#VALUE!</v>
      </c>
      <c r="P1071" s="11"/>
      <c r="Q1071" s="11"/>
      <c r="R1071" s="11"/>
      <c r="S1071" s="11"/>
      <c r="T1071" s="11"/>
      <c r="U1071" s="11"/>
      <c r="V1071" s="11"/>
      <c r="W1071" s="11"/>
      <c r="X1071" s="11"/>
      <c r="Y1071" s="11"/>
      <c r="Z1071" s="11"/>
      <c r="AA1071" s="11"/>
    </row>
    <row r="1072" ht="15.75" customHeight="1">
      <c r="A1072" s="737">
        <f t="shared" si="379"/>
        <v>0</v>
      </c>
      <c r="B1072" s="737">
        <f>A1072/'Orbit Info'!$G$10</f>
        <v>0</v>
      </c>
      <c r="C1072" s="737" t="str">
        <f t="shared" si="380"/>
        <v>Housekeeping and events only</v>
      </c>
      <c r="D1072" s="737">
        <f t="shared" si="381"/>
        <v>1</v>
      </c>
      <c r="E1072" s="737" t="str">
        <f t="shared" si="382"/>
        <v>#VALUE!</v>
      </c>
      <c r="F1072" s="737">
        <v>1.0</v>
      </c>
      <c r="G1072" s="737" t="str">
        <f t="shared" si="383"/>
        <v>#VALUE!</v>
      </c>
      <c r="H1072" s="737" t="str">
        <f>MIN($Q$11/('Orbit Info'!G$10),$Q$8*60)</f>
        <v>#VALUE!</v>
      </c>
      <c r="I1072" s="737" t="str">
        <f>IF(D1072=1,$Q$12/'Data DownlinkStorage Budget'!$M$3,0)</f>
        <v>#VALUE!</v>
      </c>
      <c r="J1072" s="737" t="str">
        <f t="shared" si="384"/>
        <v>#VALUE!</v>
      </c>
      <c r="K1072" s="11"/>
      <c r="L1072" s="737" t="str">
        <f t="shared" si="385"/>
        <v>FOUND product plus housekeeping</v>
      </c>
      <c r="M1072" s="737" t="str">
        <f>MIN($Q$18,$Q$10*60)-IF(D1072=1,$Q$17/'Data DownlinkStorage Budget'!$M$3,0)</f>
        <v>#VALUE!</v>
      </c>
      <c r="N1072" s="182"/>
      <c r="O1072" s="737" t="str">
        <f t="shared" si="386"/>
        <v>#VALUE!</v>
      </c>
      <c r="P1072" s="11"/>
      <c r="Q1072" s="11"/>
      <c r="R1072" s="11"/>
      <c r="S1072" s="11"/>
      <c r="T1072" s="11"/>
      <c r="U1072" s="11"/>
      <c r="V1072" s="11"/>
      <c r="W1072" s="11"/>
      <c r="X1072" s="11"/>
      <c r="Y1072" s="11"/>
      <c r="Z1072" s="11"/>
      <c r="AA1072" s="11"/>
    </row>
    <row r="1073" ht="15.75" customHeight="1">
      <c r="A1073" s="737">
        <f t="shared" si="379"/>
        <v>0</v>
      </c>
      <c r="B1073" s="737">
        <f>A1073/'Orbit Info'!$G$10</f>
        <v>0</v>
      </c>
      <c r="C1073" s="737" t="str">
        <f t="shared" si="380"/>
        <v>Housekeeping and events only</v>
      </c>
      <c r="D1073" s="737">
        <f t="shared" si="381"/>
        <v>1</v>
      </c>
      <c r="E1073" s="737" t="str">
        <f t="shared" si="382"/>
        <v>#VALUE!</v>
      </c>
      <c r="F1073" s="737">
        <v>1.0</v>
      </c>
      <c r="G1073" s="737" t="str">
        <f t="shared" si="383"/>
        <v>#VALUE!</v>
      </c>
      <c r="H1073" s="737" t="str">
        <f>MIN($Q$11/('Orbit Info'!G$10),$Q$8*60)</f>
        <v>#VALUE!</v>
      </c>
      <c r="I1073" s="737" t="str">
        <f>IF(D1073=1,$Q$12/'Data DownlinkStorage Budget'!$M$3,0)</f>
        <v>#VALUE!</v>
      </c>
      <c r="J1073" s="737" t="str">
        <f t="shared" si="384"/>
        <v>#VALUE!</v>
      </c>
      <c r="K1073" s="11"/>
      <c r="L1073" s="737" t="str">
        <f t="shared" si="385"/>
        <v>FOUND product plus housekeeping</v>
      </c>
      <c r="M1073" s="737" t="str">
        <f>MIN($Q$18,$Q$10*60)-IF(D1073=1,$Q$17/'Data DownlinkStorage Budget'!$M$3,0)</f>
        <v>#VALUE!</v>
      </c>
      <c r="N1073" s="182"/>
      <c r="O1073" s="737" t="str">
        <f t="shared" si="386"/>
        <v>#VALUE!</v>
      </c>
      <c r="P1073" s="11"/>
      <c r="Q1073" s="11"/>
      <c r="R1073" s="11"/>
      <c r="S1073" s="11"/>
      <c r="T1073" s="11"/>
      <c r="U1073" s="11"/>
      <c r="V1073" s="11"/>
      <c r="W1073" s="11"/>
      <c r="X1073" s="11"/>
      <c r="Y1073" s="11"/>
      <c r="Z1073" s="11"/>
      <c r="AA1073" s="11"/>
    </row>
    <row r="1074" ht="15.75" customHeight="1">
      <c r="A1074" s="737">
        <f t="shared" si="379"/>
        <v>0</v>
      </c>
      <c r="B1074" s="737">
        <f>A1074/'Orbit Info'!$G$10</f>
        <v>0</v>
      </c>
      <c r="C1074" s="737" t="str">
        <f t="shared" si="380"/>
        <v>Housekeeping and events only</v>
      </c>
      <c r="D1074" s="737">
        <f t="shared" si="381"/>
        <v>1</v>
      </c>
      <c r="E1074" s="737" t="str">
        <f t="shared" si="382"/>
        <v>#VALUE!</v>
      </c>
      <c r="F1074" s="737">
        <v>1.0</v>
      </c>
      <c r="G1074" s="737" t="str">
        <f t="shared" si="383"/>
        <v>#VALUE!</v>
      </c>
      <c r="H1074" s="737" t="str">
        <f>MIN($Q$11/('Orbit Info'!G$10),$Q$8*60)</f>
        <v>#VALUE!</v>
      </c>
      <c r="I1074" s="737" t="str">
        <f>IF(D1074=1,$Q$12/'Data DownlinkStorage Budget'!$M$3,0)</f>
        <v>#VALUE!</v>
      </c>
      <c r="J1074" s="737" t="str">
        <f t="shared" si="384"/>
        <v>#VALUE!</v>
      </c>
      <c r="K1074" s="11"/>
      <c r="L1074" s="737" t="str">
        <f t="shared" si="385"/>
        <v>FOUND product plus housekeeping</v>
      </c>
      <c r="M1074" s="737" t="str">
        <f>MIN($Q$18,$Q$10*60)-IF(D1074=1,$Q$17/'Data DownlinkStorage Budget'!$M$3,0)</f>
        <v>#VALUE!</v>
      </c>
      <c r="N1074" s="182"/>
      <c r="O1074" s="737" t="str">
        <f t="shared" si="386"/>
        <v>#VALUE!</v>
      </c>
      <c r="P1074" s="11"/>
      <c r="Q1074" s="11"/>
      <c r="R1074" s="11"/>
      <c r="S1074" s="11"/>
      <c r="T1074" s="11"/>
      <c r="U1074" s="11"/>
      <c r="V1074" s="11"/>
      <c r="W1074" s="11"/>
      <c r="X1074" s="11"/>
      <c r="Y1074" s="11"/>
      <c r="Z1074" s="11"/>
      <c r="AA1074" s="11"/>
    </row>
    <row r="1075" ht="15.75" customHeight="1">
      <c r="A1075" s="737">
        <f t="shared" si="379"/>
        <v>0</v>
      </c>
      <c r="B1075" s="737">
        <f>A1075/'Orbit Info'!$G$10</f>
        <v>0</v>
      </c>
      <c r="C1075" s="737" t="str">
        <f t="shared" si="380"/>
        <v>Housekeeping and events only</v>
      </c>
      <c r="D1075" s="737">
        <f t="shared" si="381"/>
        <v>1</v>
      </c>
      <c r="E1075" s="737" t="str">
        <f t="shared" si="382"/>
        <v>#VALUE!</v>
      </c>
      <c r="F1075" s="737">
        <v>1.0</v>
      </c>
      <c r="G1075" s="737" t="str">
        <f t="shared" si="383"/>
        <v>#VALUE!</v>
      </c>
      <c r="H1075" s="737" t="str">
        <f>MIN($Q$11/('Orbit Info'!G$10),$Q$8*60)</f>
        <v>#VALUE!</v>
      </c>
      <c r="I1075" s="737" t="str">
        <f>IF(D1075=1,$Q$12/'Data DownlinkStorage Budget'!$M$3,0)</f>
        <v>#VALUE!</v>
      </c>
      <c r="J1075" s="737" t="str">
        <f t="shared" si="384"/>
        <v>#VALUE!</v>
      </c>
      <c r="K1075" s="11"/>
      <c r="L1075" s="737" t="str">
        <f t="shared" si="385"/>
        <v>FOUND product plus housekeeping</v>
      </c>
      <c r="M1075" s="737" t="str">
        <f>MIN($Q$18,$Q$10*60)-IF(D1075=1,$Q$17/'Data DownlinkStorage Budget'!$M$3,0)</f>
        <v>#VALUE!</v>
      </c>
      <c r="N1075" s="182"/>
      <c r="O1075" s="737" t="str">
        <f t="shared" si="386"/>
        <v>#VALUE!</v>
      </c>
      <c r="P1075" s="11"/>
      <c r="Q1075" s="11"/>
      <c r="R1075" s="11"/>
      <c r="S1075" s="11"/>
      <c r="T1075" s="11"/>
      <c r="U1075" s="11"/>
      <c r="V1075" s="11"/>
      <c r="W1075" s="11"/>
      <c r="X1075" s="11"/>
      <c r="Y1075" s="11"/>
      <c r="Z1075" s="11"/>
      <c r="AA1075" s="11"/>
    </row>
    <row r="1076" ht="15.75" customHeight="1">
      <c r="A1076" s="737">
        <f t="shared" si="379"/>
        <v>0</v>
      </c>
      <c r="B1076" s="737">
        <f>A1076/'Orbit Info'!$G$10</f>
        <v>0</v>
      </c>
      <c r="C1076" s="737" t="str">
        <f t="shared" si="380"/>
        <v>Housekeeping and events only</v>
      </c>
      <c r="D1076" s="737">
        <f t="shared" si="381"/>
        <v>1</v>
      </c>
      <c r="E1076" s="737" t="str">
        <f t="shared" si="382"/>
        <v>#VALUE!</v>
      </c>
      <c r="F1076" s="737">
        <v>1.0</v>
      </c>
      <c r="G1076" s="737" t="str">
        <f t="shared" si="383"/>
        <v>#VALUE!</v>
      </c>
      <c r="H1076" s="737" t="str">
        <f>MIN($Q$11/('Orbit Info'!G$10),$Q$8*60)</f>
        <v>#VALUE!</v>
      </c>
      <c r="I1076" s="737" t="str">
        <f>IF(D1076=1,$Q$12/'Data DownlinkStorage Budget'!$M$3,0)</f>
        <v>#VALUE!</v>
      </c>
      <c r="J1076" s="737" t="str">
        <f t="shared" si="384"/>
        <v>#VALUE!</v>
      </c>
      <c r="K1076" s="11"/>
      <c r="L1076" s="737" t="str">
        <f t="shared" si="385"/>
        <v>FOUND product plus housekeeping</v>
      </c>
      <c r="M1076" s="737" t="str">
        <f>MIN($Q$18,$Q$10*60)-IF(D1076=1,$Q$17/'Data DownlinkStorage Budget'!$M$3,0)</f>
        <v>#VALUE!</v>
      </c>
      <c r="N1076" s="182"/>
      <c r="O1076" s="737" t="str">
        <f t="shared" si="386"/>
        <v>#VALUE!</v>
      </c>
      <c r="P1076" s="11"/>
      <c r="Q1076" s="11"/>
      <c r="R1076" s="11"/>
      <c r="S1076" s="11"/>
      <c r="T1076" s="11"/>
      <c r="U1076" s="11"/>
      <c r="V1076" s="11"/>
      <c r="W1076" s="11"/>
      <c r="X1076" s="11"/>
      <c r="Y1076" s="11"/>
      <c r="Z1076" s="11"/>
      <c r="AA1076" s="11"/>
    </row>
    <row r="1077" ht="15.75" customHeight="1">
      <c r="A1077" s="737">
        <f t="shared" si="379"/>
        <v>0</v>
      </c>
      <c r="B1077" s="737">
        <f>A1077/'Orbit Info'!$G$10</f>
        <v>0</v>
      </c>
      <c r="C1077" s="737" t="str">
        <f t="shared" si="380"/>
        <v>Housekeeping and events only</v>
      </c>
      <c r="D1077" s="737">
        <f t="shared" si="381"/>
        <v>1</v>
      </c>
      <c r="E1077" s="737" t="str">
        <f t="shared" si="382"/>
        <v>#VALUE!</v>
      </c>
      <c r="F1077" s="737">
        <v>1.0</v>
      </c>
      <c r="G1077" s="737" t="str">
        <f t="shared" si="383"/>
        <v>#VALUE!</v>
      </c>
      <c r="H1077" s="737" t="str">
        <f>MIN($Q$11/('Orbit Info'!G$10),$Q$8*60)</f>
        <v>#VALUE!</v>
      </c>
      <c r="I1077" s="737" t="str">
        <f>IF(D1077=1,$Q$12/'Data DownlinkStorage Budget'!$M$3,0)</f>
        <v>#VALUE!</v>
      </c>
      <c r="J1077" s="737" t="str">
        <f t="shared" si="384"/>
        <v>#VALUE!</v>
      </c>
      <c r="K1077" s="11"/>
      <c r="L1077" s="737" t="str">
        <f t="shared" si="385"/>
        <v>FOUND product plus housekeeping</v>
      </c>
      <c r="M1077" s="737" t="str">
        <f>MIN($Q$18,$Q$10*60)-IF(D1077=1,$Q$17/'Data DownlinkStorage Budget'!$M$3,0)</f>
        <v>#VALUE!</v>
      </c>
      <c r="N1077" s="182"/>
      <c r="O1077" s="737" t="str">
        <f t="shared" si="386"/>
        <v>#VALUE!</v>
      </c>
      <c r="P1077" s="11"/>
      <c r="Q1077" s="11"/>
      <c r="R1077" s="11"/>
      <c r="S1077" s="11"/>
      <c r="T1077" s="11"/>
      <c r="U1077" s="11"/>
      <c r="V1077" s="11"/>
      <c r="W1077" s="11"/>
      <c r="X1077" s="11"/>
      <c r="Y1077" s="11"/>
      <c r="Z1077" s="11"/>
      <c r="AA1077" s="11"/>
    </row>
    <row r="1078" ht="15.75" customHeight="1">
      <c r="A1078" s="737">
        <f t="shared" si="379"/>
        <v>0</v>
      </c>
      <c r="B1078" s="737">
        <f>A1078/'Orbit Info'!$G$10</f>
        <v>0</v>
      </c>
      <c r="C1078" s="737" t="str">
        <f t="shared" si="380"/>
        <v>Housekeeping and events only</v>
      </c>
      <c r="D1078" s="737">
        <f t="shared" si="381"/>
        <v>1</v>
      </c>
      <c r="E1078" s="737" t="str">
        <f t="shared" si="382"/>
        <v>#VALUE!</v>
      </c>
      <c r="F1078" s="737">
        <v>1.0</v>
      </c>
      <c r="G1078" s="737" t="str">
        <f t="shared" si="383"/>
        <v>#VALUE!</v>
      </c>
      <c r="H1078" s="737" t="str">
        <f>MIN($Q$11/('Orbit Info'!G$10),$Q$8*60)</f>
        <v>#VALUE!</v>
      </c>
      <c r="I1078" s="737" t="str">
        <f>IF(D1078=1,$Q$12/'Data DownlinkStorage Budget'!$M$3,0)</f>
        <v>#VALUE!</v>
      </c>
      <c r="J1078" s="737" t="str">
        <f t="shared" si="384"/>
        <v>#VALUE!</v>
      </c>
      <c r="K1078" s="11"/>
      <c r="L1078" s="737" t="str">
        <f t="shared" si="385"/>
        <v>FOUND product plus housekeeping</v>
      </c>
      <c r="M1078" s="737" t="str">
        <f>MIN($Q$18,$Q$10*60)-IF(D1078=1,$Q$17/'Data DownlinkStorage Budget'!$M$3,0)</f>
        <v>#VALUE!</v>
      </c>
      <c r="N1078" s="182"/>
      <c r="O1078" s="737" t="str">
        <f t="shared" si="386"/>
        <v>#VALUE!</v>
      </c>
      <c r="P1078" s="11"/>
      <c r="Q1078" s="11"/>
      <c r="R1078" s="11"/>
      <c r="S1078" s="11"/>
      <c r="T1078" s="11"/>
      <c r="U1078" s="11"/>
      <c r="V1078" s="11"/>
      <c r="W1078" s="11"/>
      <c r="X1078" s="11"/>
      <c r="Y1078" s="11"/>
      <c r="Z1078" s="11"/>
      <c r="AA1078" s="11"/>
    </row>
    <row r="1079" ht="15.75" customHeight="1">
      <c r="A1079" s="737">
        <f t="shared" si="379"/>
        <v>0</v>
      </c>
      <c r="B1079" s="737">
        <f>A1079/'Orbit Info'!$G$10</f>
        <v>0</v>
      </c>
      <c r="C1079" s="737" t="str">
        <f t="shared" si="380"/>
        <v>Housekeeping and events only</v>
      </c>
      <c r="D1079" s="737">
        <f t="shared" si="381"/>
        <v>1</v>
      </c>
      <c r="E1079" s="737" t="str">
        <f t="shared" si="382"/>
        <v>#VALUE!</v>
      </c>
      <c r="F1079" s="737">
        <v>1.0</v>
      </c>
      <c r="G1079" s="737" t="str">
        <f t="shared" si="383"/>
        <v>#VALUE!</v>
      </c>
      <c r="H1079" s="737" t="str">
        <f>MIN($Q$11/('Orbit Info'!G$10),$Q$8*60)</f>
        <v>#VALUE!</v>
      </c>
      <c r="I1079" s="737" t="str">
        <f>IF(D1079=1,$Q$12/'Data DownlinkStorage Budget'!$M$3,0)</f>
        <v>#VALUE!</v>
      </c>
      <c r="J1079" s="737" t="str">
        <f t="shared" si="384"/>
        <v>#VALUE!</v>
      </c>
      <c r="K1079" s="11"/>
      <c r="L1079" s="737" t="str">
        <f t="shared" si="385"/>
        <v>FOUND product plus housekeeping</v>
      </c>
      <c r="M1079" s="737" t="str">
        <f>MIN($Q$18,$Q$10*60)-IF(D1079=1,$Q$17/'Data DownlinkStorage Budget'!$M$3,0)</f>
        <v>#VALUE!</v>
      </c>
      <c r="N1079" s="182"/>
      <c r="O1079" s="737" t="str">
        <f t="shared" si="386"/>
        <v>#VALUE!</v>
      </c>
      <c r="P1079" s="11"/>
      <c r="Q1079" s="11"/>
      <c r="R1079" s="11"/>
      <c r="S1079" s="11"/>
      <c r="T1079" s="11"/>
      <c r="U1079" s="11"/>
      <c r="V1079" s="11"/>
      <c r="W1079" s="11"/>
      <c r="X1079" s="11"/>
      <c r="Y1079" s="11"/>
      <c r="Z1079" s="11"/>
      <c r="AA1079" s="11"/>
    </row>
    <row r="1080" ht="15.75" customHeight="1">
      <c r="A1080" s="737">
        <f t="shared" si="379"/>
        <v>0</v>
      </c>
      <c r="B1080" s="737">
        <f>A1080/'Orbit Info'!$G$10</f>
        <v>0</v>
      </c>
      <c r="C1080" s="737" t="str">
        <f t="shared" si="380"/>
        <v>Housekeeping and events only</v>
      </c>
      <c r="D1080" s="737">
        <f t="shared" si="381"/>
        <v>1</v>
      </c>
      <c r="E1080" s="737" t="str">
        <f t="shared" si="382"/>
        <v>#VALUE!</v>
      </c>
      <c r="F1080" s="737">
        <v>1.0</v>
      </c>
      <c r="G1080" s="737" t="str">
        <f t="shared" si="383"/>
        <v>#VALUE!</v>
      </c>
      <c r="H1080" s="737" t="str">
        <f>MIN($Q$11/('Orbit Info'!G$10),$Q$8*60)</f>
        <v>#VALUE!</v>
      </c>
      <c r="I1080" s="737" t="str">
        <f>IF(D1080=1,$Q$12/'Data DownlinkStorage Budget'!$M$3,0)</f>
        <v>#VALUE!</v>
      </c>
      <c r="J1080" s="737" t="str">
        <f t="shared" si="384"/>
        <v>#VALUE!</v>
      </c>
      <c r="K1080" s="11"/>
      <c r="L1080" s="737" t="str">
        <f t="shared" si="385"/>
        <v>FOUND product plus housekeeping</v>
      </c>
      <c r="M1080" s="737" t="str">
        <f>MIN($Q$18,$Q$10*60)-IF(D1080=1,$Q$17/'Data DownlinkStorage Budget'!$M$3,0)</f>
        <v>#VALUE!</v>
      </c>
      <c r="N1080" s="182"/>
      <c r="O1080" s="737" t="str">
        <f t="shared" si="386"/>
        <v>#VALUE!</v>
      </c>
      <c r="P1080" s="11"/>
      <c r="Q1080" s="11"/>
      <c r="R1080" s="11"/>
      <c r="S1080" s="11"/>
      <c r="T1080" s="11"/>
      <c r="U1080" s="11"/>
      <c r="V1080" s="11"/>
      <c r="W1080" s="11"/>
      <c r="X1080" s="11"/>
      <c r="Y1080" s="11"/>
      <c r="Z1080" s="11"/>
      <c r="AA1080" s="11"/>
    </row>
    <row r="1081" ht="15.75" customHeight="1">
      <c r="A1081" s="737">
        <f t="shared" si="379"/>
        <v>0</v>
      </c>
      <c r="B1081" s="737">
        <f>A1081/'Orbit Info'!$G$10</f>
        <v>0</v>
      </c>
      <c r="C1081" s="737" t="str">
        <f t="shared" si="380"/>
        <v>Housekeeping and events only</v>
      </c>
      <c r="D1081" s="737">
        <f t="shared" si="381"/>
        <v>1</v>
      </c>
      <c r="E1081" s="737" t="str">
        <f t="shared" si="382"/>
        <v>#VALUE!</v>
      </c>
      <c r="F1081" s="737">
        <v>1.0</v>
      </c>
      <c r="G1081" s="737" t="str">
        <f t="shared" si="383"/>
        <v>#VALUE!</v>
      </c>
      <c r="H1081" s="737" t="str">
        <f>MIN($Q$11/('Orbit Info'!G$10),$Q$8*60)</f>
        <v>#VALUE!</v>
      </c>
      <c r="I1081" s="737" t="str">
        <f>IF(D1081=1,$Q$12/'Data DownlinkStorage Budget'!$M$3,0)</f>
        <v>#VALUE!</v>
      </c>
      <c r="J1081" s="737" t="str">
        <f t="shared" si="384"/>
        <v>#VALUE!</v>
      </c>
      <c r="K1081" s="11"/>
      <c r="L1081" s="737" t="str">
        <f t="shared" si="385"/>
        <v>FOUND product plus housekeeping</v>
      </c>
      <c r="M1081" s="737" t="str">
        <f>MIN($Q$18,$Q$10*60)-IF(D1081=1,$Q$17/'Data DownlinkStorage Budget'!$M$3,0)</f>
        <v>#VALUE!</v>
      </c>
      <c r="N1081" s="182"/>
      <c r="O1081" s="737" t="str">
        <f t="shared" si="386"/>
        <v>#VALUE!</v>
      </c>
      <c r="P1081" s="11"/>
      <c r="Q1081" s="11"/>
      <c r="R1081" s="11"/>
      <c r="S1081" s="11"/>
      <c r="T1081" s="11"/>
      <c r="U1081" s="11"/>
      <c r="V1081" s="11"/>
      <c r="W1081" s="11"/>
      <c r="X1081" s="11"/>
      <c r="Y1081" s="11"/>
      <c r="Z1081" s="11"/>
      <c r="AA1081" s="11"/>
    </row>
    <row r="1082" ht="15.75" customHeight="1">
      <c r="A1082" s="737">
        <f t="shared" si="379"/>
        <v>0</v>
      </c>
      <c r="B1082" s="737">
        <f>A1082/'Orbit Info'!$G$10</f>
        <v>0</v>
      </c>
      <c r="C1082" s="737" t="str">
        <f t="shared" si="380"/>
        <v>Housekeeping and events only</v>
      </c>
      <c r="D1082" s="737">
        <f t="shared" si="381"/>
        <v>1</v>
      </c>
      <c r="E1082" s="737" t="str">
        <f t="shared" si="382"/>
        <v>#VALUE!</v>
      </c>
      <c r="F1082" s="737">
        <v>1.0</v>
      </c>
      <c r="G1082" s="737" t="str">
        <f t="shared" si="383"/>
        <v>#VALUE!</v>
      </c>
      <c r="H1082" s="737" t="str">
        <f>MIN($Q$11/('Orbit Info'!G$10),$Q$8*60)</f>
        <v>#VALUE!</v>
      </c>
      <c r="I1082" s="737" t="str">
        <f>IF(D1082=1,$Q$12/'Data DownlinkStorage Budget'!$M$3,0)</f>
        <v>#VALUE!</v>
      </c>
      <c r="J1082" s="737" t="str">
        <f t="shared" si="384"/>
        <v>#VALUE!</v>
      </c>
      <c r="K1082" s="11"/>
      <c r="L1082" s="737" t="str">
        <f t="shared" si="385"/>
        <v>FOUND product plus housekeeping</v>
      </c>
      <c r="M1082" s="737" t="str">
        <f>MIN($Q$18,$Q$10*60)-IF(D1082=1,$Q$17/'Data DownlinkStorage Budget'!$M$3,0)</f>
        <v>#VALUE!</v>
      </c>
      <c r="N1082" s="182"/>
      <c r="O1082" s="737" t="str">
        <f t="shared" si="386"/>
        <v>#VALUE!</v>
      </c>
      <c r="P1082" s="11"/>
      <c r="Q1082" s="11"/>
      <c r="R1082" s="11"/>
      <c r="S1082" s="11"/>
      <c r="T1082" s="11"/>
      <c r="U1082" s="11"/>
      <c r="V1082" s="11"/>
      <c r="W1082" s="11"/>
      <c r="X1082" s="11"/>
      <c r="Y1082" s="11"/>
      <c r="Z1082" s="11"/>
      <c r="AA1082" s="11"/>
    </row>
    <row r="1083" ht="15.75" customHeight="1">
      <c r="A1083" s="737">
        <f t="shared" si="379"/>
        <v>0</v>
      </c>
      <c r="B1083" s="737">
        <f>A1083/'Orbit Info'!$G$10</f>
        <v>0</v>
      </c>
      <c r="C1083" s="737" t="str">
        <f t="shared" si="380"/>
        <v>Housekeeping and events only</v>
      </c>
      <c r="D1083" s="737">
        <f t="shared" si="381"/>
        <v>1</v>
      </c>
      <c r="E1083" s="737" t="str">
        <f t="shared" si="382"/>
        <v>#VALUE!</v>
      </c>
      <c r="F1083" s="737">
        <v>1.0</v>
      </c>
      <c r="G1083" s="737" t="str">
        <f t="shared" si="383"/>
        <v>#VALUE!</v>
      </c>
      <c r="H1083" s="737" t="str">
        <f>MIN($Q$11/('Orbit Info'!G$10),$Q$8*60)</f>
        <v>#VALUE!</v>
      </c>
      <c r="I1083" s="737" t="str">
        <f>IF(D1083=1,$Q$12/'Data DownlinkStorage Budget'!$M$3,0)</f>
        <v>#VALUE!</v>
      </c>
      <c r="J1083" s="737" t="str">
        <f t="shared" si="384"/>
        <v>#VALUE!</v>
      </c>
      <c r="K1083" s="11"/>
      <c r="L1083" s="737" t="str">
        <f t="shared" si="385"/>
        <v>FOUND product plus housekeeping</v>
      </c>
      <c r="M1083" s="737" t="str">
        <f>MIN($Q$18,$Q$10*60)-IF(D1083=1,$Q$17/'Data DownlinkStorage Budget'!$M$3,0)</f>
        <v>#VALUE!</v>
      </c>
      <c r="N1083" s="182"/>
      <c r="O1083" s="737" t="str">
        <f t="shared" si="386"/>
        <v>#VALUE!</v>
      </c>
      <c r="P1083" s="11"/>
      <c r="Q1083" s="11"/>
      <c r="R1083" s="11"/>
      <c r="S1083" s="11"/>
      <c r="T1083" s="11"/>
      <c r="U1083" s="11"/>
      <c r="V1083" s="11"/>
      <c r="W1083" s="11"/>
      <c r="X1083" s="11"/>
      <c r="Y1083" s="11"/>
      <c r="Z1083" s="11"/>
      <c r="AA1083" s="11"/>
    </row>
    <row r="1084" ht="15.75" customHeight="1">
      <c r="A1084" s="737">
        <f t="shared" si="379"/>
        <v>0</v>
      </c>
      <c r="B1084" s="737">
        <f>A1084/'Orbit Info'!$G$10</f>
        <v>0</v>
      </c>
      <c r="C1084" s="737" t="str">
        <f t="shared" si="380"/>
        <v>Housekeeping and events only</v>
      </c>
      <c r="D1084" s="737">
        <f t="shared" si="381"/>
        <v>1</v>
      </c>
      <c r="E1084" s="737" t="str">
        <f t="shared" si="382"/>
        <v>#VALUE!</v>
      </c>
      <c r="F1084" s="737">
        <v>1.0</v>
      </c>
      <c r="G1084" s="737" t="str">
        <f t="shared" si="383"/>
        <v>#VALUE!</v>
      </c>
      <c r="H1084" s="737" t="str">
        <f>MIN($Q$11/('Orbit Info'!G$10),$Q$8*60)</f>
        <v>#VALUE!</v>
      </c>
      <c r="I1084" s="737" t="str">
        <f>IF(D1084=1,$Q$12/'Data DownlinkStorage Budget'!$M$3,0)</f>
        <v>#VALUE!</v>
      </c>
      <c r="J1084" s="737" t="str">
        <f t="shared" si="384"/>
        <v>#VALUE!</v>
      </c>
      <c r="K1084" s="11"/>
      <c r="L1084" s="737" t="str">
        <f t="shared" si="385"/>
        <v>FOUND product plus housekeeping</v>
      </c>
      <c r="M1084" s="737" t="str">
        <f>MIN($Q$18,$Q$10*60)-IF(D1084=1,$Q$17/'Data DownlinkStorage Budget'!$M$3,0)</f>
        <v>#VALUE!</v>
      </c>
      <c r="N1084" s="182"/>
      <c r="O1084" s="737" t="str">
        <f t="shared" si="386"/>
        <v>#VALUE!</v>
      </c>
      <c r="P1084" s="11"/>
      <c r="Q1084" s="11"/>
      <c r="R1084" s="11"/>
      <c r="S1084" s="11"/>
      <c r="T1084" s="11"/>
      <c r="U1084" s="11"/>
      <c r="V1084" s="11"/>
      <c r="W1084" s="11"/>
      <c r="X1084" s="11"/>
      <c r="Y1084" s="11"/>
      <c r="Z1084" s="11"/>
      <c r="AA1084" s="11"/>
    </row>
    <row r="1085" ht="15.75" customHeight="1">
      <c r="A1085" s="737">
        <f t="shared" si="379"/>
        <v>0</v>
      </c>
      <c r="B1085" s="737">
        <f>A1085/'Orbit Info'!$G$10</f>
        <v>0</v>
      </c>
      <c r="C1085" s="737" t="str">
        <f t="shared" si="380"/>
        <v>Housekeeping and events only</v>
      </c>
      <c r="D1085" s="737">
        <f t="shared" si="381"/>
        <v>1</v>
      </c>
      <c r="E1085" s="737" t="str">
        <f t="shared" si="382"/>
        <v>#VALUE!</v>
      </c>
      <c r="F1085" s="737">
        <v>1.0</v>
      </c>
      <c r="G1085" s="737" t="str">
        <f t="shared" si="383"/>
        <v>#VALUE!</v>
      </c>
      <c r="H1085" s="737" t="str">
        <f>MIN($Q$11/('Orbit Info'!G$10),$Q$8*60)</f>
        <v>#VALUE!</v>
      </c>
      <c r="I1085" s="737" t="str">
        <f>IF(D1085=1,$Q$12/'Data DownlinkStorage Budget'!$M$3,0)</f>
        <v>#VALUE!</v>
      </c>
      <c r="J1085" s="737" t="str">
        <f t="shared" si="384"/>
        <v>#VALUE!</v>
      </c>
      <c r="K1085" s="11"/>
      <c r="L1085" s="737" t="str">
        <f t="shared" si="385"/>
        <v>FOUND product plus housekeeping</v>
      </c>
      <c r="M1085" s="737" t="str">
        <f>MIN($Q$18,$Q$10*60)-IF(D1085=1,$Q$17/'Data DownlinkStorage Budget'!$M$3,0)</f>
        <v>#VALUE!</v>
      </c>
      <c r="N1085" s="182"/>
      <c r="O1085" s="737" t="str">
        <f t="shared" si="386"/>
        <v>#VALUE!</v>
      </c>
      <c r="P1085" s="11"/>
      <c r="Q1085" s="11"/>
      <c r="R1085" s="11"/>
      <c r="S1085" s="11"/>
      <c r="T1085" s="11"/>
      <c r="U1085" s="11"/>
      <c r="V1085" s="11"/>
      <c r="W1085" s="11"/>
      <c r="X1085" s="11"/>
      <c r="Y1085" s="11"/>
      <c r="Z1085" s="11"/>
      <c r="AA1085" s="11"/>
    </row>
    <row r="1086" ht="15.75" customHeight="1">
      <c r="A1086" s="737">
        <f t="shared" si="379"/>
        <v>0</v>
      </c>
      <c r="B1086" s="737">
        <f>A1086/'Orbit Info'!$G$10</f>
        <v>0</v>
      </c>
      <c r="C1086" s="737" t="str">
        <f t="shared" si="380"/>
        <v>Housekeeping and events only</v>
      </c>
      <c r="D1086" s="737">
        <f t="shared" si="381"/>
        <v>1</v>
      </c>
      <c r="E1086" s="737" t="str">
        <f t="shared" si="382"/>
        <v>#VALUE!</v>
      </c>
      <c r="F1086" s="737">
        <v>1.0</v>
      </c>
      <c r="G1086" s="737" t="str">
        <f t="shared" si="383"/>
        <v>#VALUE!</v>
      </c>
      <c r="H1086" s="737" t="str">
        <f>MIN($Q$11/('Orbit Info'!G$10),$Q$8*60)</f>
        <v>#VALUE!</v>
      </c>
      <c r="I1086" s="737" t="str">
        <f>IF(D1086=1,$Q$12/'Data DownlinkStorage Budget'!$M$3,0)</f>
        <v>#VALUE!</v>
      </c>
      <c r="J1086" s="737" t="str">
        <f t="shared" si="384"/>
        <v>#VALUE!</v>
      </c>
      <c r="K1086" s="11"/>
      <c r="L1086" s="737" t="str">
        <f t="shared" si="385"/>
        <v>FOUND product plus housekeeping</v>
      </c>
      <c r="M1086" s="737" t="str">
        <f>MIN($Q$18,$Q$10*60)-IF(D1086=1,$Q$17/'Data DownlinkStorage Budget'!$M$3,0)</f>
        <v>#VALUE!</v>
      </c>
      <c r="N1086" s="182"/>
      <c r="O1086" s="737" t="str">
        <f t="shared" si="386"/>
        <v>#VALUE!</v>
      </c>
      <c r="P1086" s="11"/>
      <c r="Q1086" s="11"/>
      <c r="R1086" s="11"/>
      <c r="S1086" s="11"/>
      <c r="T1086" s="11"/>
      <c r="U1086" s="11"/>
      <c r="V1086" s="11"/>
      <c r="W1086" s="11"/>
      <c r="X1086" s="11"/>
      <c r="Y1086" s="11"/>
      <c r="Z1086" s="11"/>
      <c r="AA1086" s="11"/>
    </row>
    <row r="1087" ht="15.75" customHeight="1">
      <c r="A1087" s="737">
        <f t="shared" si="379"/>
        <v>0</v>
      </c>
      <c r="B1087" s="737">
        <f>A1087/'Orbit Info'!$G$10</f>
        <v>0</v>
      </c>
      <c r="C1087" s="737" t="str">
        <f t="shared" si="380"/>
        <v>Housekeeping and events only</v>
      </c>
      <c r="D1087" s="737">
        <f t="shared" si="381"/>
        <v>1</v>
      </c>
      <c r="E1087" s="737" t="str">
        <f t="shared" si="382"/>
        <v>#VALUE!</v>
      </c>
      <c r="F1087" s="737">
        <v>1.0</v>
      </c>
      <c r="G1087" s="737" t="str">
        <f t="shared" si="383"/>
        <v>#VALUE!</v>
      </c>
      <c r="H1087" s="737" t="str">
        <f>MIN($Q$11/('Orbit Info'!G$10),$Q$8*60)</f>
        <v>#VALUE!</v>
      </c>
      <c r="I1087" s="737" t="str">
        <f>IF(D1087=1,$Q$12/'Data DownlinkStorage Budget'!$M$3,0)</f>
        <v>#VALUE!</v>
      </c>
      <c r="J1087" s="737" t="str">
        <f t="shared" si="384"/>
        <v>#VALUE!</v>
      </c>
      <c r="K1087" s="11"/>
      <c r="L1087" s="737" t="str">
        <f t="shared" si="385"/>
        <v>FOUND product plus housekeeping</v>
      </c>
      <c r="M1087" s="737" t="str">
        <f>MIN($Q$18,$Q$10*60)-IF(D1087=1,$Q$17/'Data DownlinkStorage Budget'!$M$3,0)</f>
        <v>#VALUE!</v>
      </c>
      <c r="N1087" s="182"/>
      <c r="O1087" s="737" t="str">
        <f t="shared" si="386"/>
        <v>#VALUE!</v>
      </c>
      <c r="P1087" s="11"/>
      <c r="Q1087" s="11"/>
      <c r="R1087" s="11"/>
      <c r="S1087" s="11"/>
      <c r="T1087" s="11"/>
      <c r="U1087" s="11"/>
      <c r="V1087" s="11"/>
      <c r="W1087" s="11"/>
      <c r="X1087" s="11"/>
      <c r="Y1087" s="11"/>
      <c r="Z1087" s="11"/>
      <c r="AA1087" s="11"/>
    </row>
    <row r="1088" ht="15.75" customHeight="1">
      <c r="A1088" s="737">
        <f t="shared" si="379"/>
        <v>0</v>
      </c>
      <c r="B1088" s="737">
        <f>A1088/'Orbit Info'!$G$10</f>
        <v>0</v>
      </c>
      <c r="C1088" s="737" t="str">
        <f t="shared" si="380"/>
        <v>Housekeeping and events only</v>
      </c>
      <c r="D1088" s="737">
        <f t="shared" si="381"/>
        <v>1</v>
      </c>
      <c r="E1088" s="737" t="str">
        <f t="shared" si="382"/>
        <v>#VALUE!</v>
      </c>
      <c r="F1088" s="737">
        <v>1.0</v>
      </c>
      <c r="G1088" s="737" t="str">
        <f t="shared" si="383"/>
        <v>#VALUE!</v>
      </c>
      <c r="H1088" s="737" t="str">
        <f>MIN($Q$11/('Orbit Info'!G$10),$Q$8*60)</f>
        <v>#VALUE!</v>
      </c>
      <c r="I1088" s="737" t="str">
        <f>IF(D1088=1,$Q$12/'Data DownlinkStorage Budget'!$M$3,0)</f>
        <v>#VALUE!</v>
      </c>
      <c r="J1088" s="737" t="str">
        <f t="shared" si="384"/>
        <v>#VALUE!</v>
      </c>
      <c r="K1088" s="11"/>
      <c r="L1088" s="737" t="str">
        <f t="shared" si="385"/>
        <v>FOUND product plus housekeeping</v>
      </c>
      <c r="M1088" s="737" t="str">
        <f>MIN($Q$18,$Q$10*60)-IF(D1088=1,$Q$17/'Data DownlinkStorage Budget'!$M$3,0)</f>
        <v>#VALUE!</v>
      </c>
      <c r="N1088" s="182"/>
      <c r="O1088" s="737" t="str">
        <f t="shared" si="386"/>
        <v>#VALUE!</v>
      </c>
      <c r="P1088" s="11"/>
      <c r="Q1088" s="11"/>
      <c r="R1088" s="11"/>
      <c r="S1088" s="11"/>
      <c r="T1088" s="11"/>
      <c r="U1088" s="11"/>
      <c r="V1088" s="11"/>
      <c r="W1088" s="11"/>
      <c r="X1088" s="11"/>
      <c r="Y1088" s="11"/>
      <c r="Z1088" s="11"/>
      <c r="AA1088" s="11"/>
    </row>
    <row r="1089" ht="15.75" customHeight="1">
      <c r="A1089" s="737">
        <f t="shared" si="379"/>
        <v>0</v>
      </c>
      <c r="B1089" s="737">
        <f>A1089/'Orbit Info'!$G$10</f>
        <v>0</v>
      </c>
      <c r="C1089" s="737" t="str">
        <f t="shared" si="380"/>
        <v>Housekeeping and events only</v>
      </c>
      <c r="D1089" s="737">
        <f t="shared" si="381"/>
        <v>1</v>
      </c>
      <c r="E1089" s="737" t="str">
        <f t="shared" si="382"/>
        <v>#VALUE!</v>
      </c>
      <c r="F1089" s="737">
        <v>1.0</v>
      </c>
      <c r="G1089" s="737" t="str">
        <f t="shared" si="383"/>
        <v>#VALUE!</v>
      </c>
      <c r="H1089" s="737" t="str">
        <f>MIN($Q$11/('Orbit Info'!G$10),$Q$8*60)</f>
        <v>#VALUE!</v>
      </c>
      <c r="I1089" s="737" t="str">
        <f>IF(D1089=1,$Q$12/'Data DownlinkStorage Budget'!$M$3,0)</f>
        <v>#VALUE!</v>
      </c>
      <c r="J1089" s="737" t="str">
        <f t="shared" si="384"/>
        <v>#VALUE!</v>
      </c>
      <c r="K1089" s="11"/>
      <c r="L1089" s="737" t="str">
        <f t="shared" si="385"/>
        <v>FOUND product plus housekeeping</v>
      </c>
      <c r="M1089" s="737" t="str">
        <f>MIN($Q$18,$Q$10*60)-IF(D1089=1,$Q$17/'Data DownlinkStorage Budget'!$M$3,0)</f>
        <v>#VALUE!</v>
      </c>
      <c r="N1089" s="182"/>
      <c r="O1089" s="737" t="str">
        <f t="shared" si="386"/>
        <v>#VALUE!</v>
      </c>
      <c r="P1089" s="11"/>
      <c r="Q1089" s="11"/>
      <c r="R1089" s="11"/>
      <c r="S1089" s="11"/>
      <c r="T1089" s="11"/>
      <c r="U1089" s="11"/>
      <c r="V1089" s="11"/>
      <c r="W1089" s="11"/>
      <c r="X1089" s="11"/>
      <c r="Y1089" s="11"/>
      <c r="Z1089" s="11"/>
      <c r="AA1089" s="11"/>
    </row>
    <row r="1090" ht="15.75" customHeight="1">
      <c r="A1090" s="737">
        <f t="shared" si="379"/>
        <v>0</v>
      </c>
      <c r="B1090" s="737">
        <f>A1090/'Orbit Info'!$G$10</f>
        <v>0</v>
      </c>
      <c r="C1090" s="737" t="str">
        <f t="shared" si="380"/>
        <v>Housekeeping and events only</v>
      </c>
      <c r="D1090" s="737">
        <f t="shared" si="381"/>
        <v>1</v>
      </c>
      <c r="E1090" s="737" t="str">
        <f t="shared" si="382"/>
        <v>#VALUE!</v>
      </c>
      <c r="F1090" s="737">
        <v>1.0</v>
      </c>
      <c r="G1090" s="737" t="str">
        <f t="shared" si="383"/>
        <v>#VALUE!</v>
      </c>
      <c r="H1090" s="737" t="str">
        <f>MIN($Q$11/('Orbit Info'!G$10),$Q$8*60)</f>
        <v>#VALUE!</v>
      </c>
      <c r="I1090" s="737" t="str">
        <f>IF(D1090=1,$Q$12/'Data DownlinkStorage Budget'!$M$3,0)</f>
        <v>#VALUE!</v>
      </c>
      <c r="J1090" s="737" t="str">
        <f t="shared" si="384"/>
        <v>#VALUE!</v>
      </c>
      <c r="K1090" s="11"/>
      <c r="L1090" s="737" t="str">
        <f t="shared" si="385"/>
        <v>FOUND product plus housekeeping</v>
      </c>
      <c r="M1090" s="737" t="str">
        <f>MIN($Q$18,$Q$10*60)-IF(D1090=1,$Q$17/'Data DownlinkStorage Budget'!$M$3,0)</f>
        <v>#VALUE!</v>
      </c>
      <c r="N1090" s="182"/>
      <c r="O1090" s="737" t="str">
        <f t="shared" si="386"/>
        <v>#VALUE!</v>
      </c>
      <c r="P1090" s="11"/>
      <c r="Q1090" s="11"/>
      <c r="R1090" s="11"/>
      <c r="S1090" s="11"/>
      <c r="T1090" s="11"/>
      <c r="U1090" s="11"/>
      <c r="V1090" s="11"/>
      <c r="W1090" s="11"/>
      <c r="X1090" s="11"/>
      <c r="Y1090" s="11"/>
      <c r="Z1090" s="11"/>
      <c r="AA1090" s="11"/>
    </row>
    <row r="1091" ht="15.75" customHeight="1">
      <c r="A1091" s="737">
        <f t="shared" si="379"/>
        <v>0</v>
      </c>
      <c r="B1091" s="737">
        <f>A1091/'Orbit Info'!$G$10</f>
        <v>0</v>
      </c>
      <c r="C1091" s="737" t="str">
        <f t="shared" si="380"/>
        <v>Housekeeping and events only</v>
      </c>
      <c r="D1091" s="737">
        <f t="shared" si="381"/>
        <v>1</v>
      </c>
      <c r="E1091" s="737" t="str">
        <f t="shared" si="382"/>
        <v>#VALUE!</v>
      </c>
      <c r="F1091" s="737">
        <v>1.0</v>
      </c>
      <c r="G1091" s="737" t="str">
        <f t="shared" si="383"/>
        <v>#VALUE!</v>
      </c>
      <c r="H1091" s="737" t="str">
        <f>MIN($Q$11/('Orbit Info'!G$10),$Q$8*60)</f>
        <v>#VALUE!</v>
      </c>
      <c r="I1091" s="737" t="str">
        <f>IF(D1091=1,$Q$12/'Data DownlinkStorage Budget'!$M$3,0)</f>
        <v>#VALUE!</v>
      </c>
      <c r="J1091" s="737" t="str">
        <f t="shared" si="384"/>
        <v>#VALUE!</v>
      </c>
      <c r="K1091" s="11"/>
      <c r="L1091" s="737" t="str">
        <f t="shared" si="385"/>
        <v>FOUND product plus housekeeping</v>
      </c>
      <c r="M1091" s="737" t="str">
        <f>MIN($Q$18,$Q$10*60)-IF(D1091=1,$Q$17/'Data DownlinkStorage Budget'!$M$3,0)</f>
        <v>#VALUE!</v>
      </c>
      <c r="N1091" s="182"/>
      <c r="O1091" s="737" t="str">
        <f t="shared" si="386"/>
        <v>#VALUE!</v>
      </c>
      <c r="P1091" s="11"/>
      <c r="Q1091" s="11"/>
      <c r="R1091" s="11"/>
      <c r="S1091" s="11"/>
      <c r="T1091" s="11"/>
      <c r="U1091" s="11"/>
      <c r="V1091" s="11"/>
      <c r="W1091" s="11"/>
      <c r="X1091" s="11"/>
      <c r="Y1091" s="11"/>
      <c r="Z1091" s="11"/>
      <c r="AA1091" s="11"/>
    </row>
    <row r="1092" ht="15.75" customHeight="1">
      <c r="A1092" s="737">
        <f t="shared" si="379"/>
        <v>0</v>
      </c>
      <c r="B1092" s="737">
        <f>A1092/'Orbit Info'!$G$10</f>
        <v>0</v>
      </c>
      <c r="C1092" s="737" t="str">
        <f t="shared" si="380"/>
        <v>Housekeeping and events only</v>
      </c>
      <c r="D1092" s="737">
        <f t="shared" si="381"/>
        <v>1</v>
      </c>
      <c r="E1092" s="737" t="str">
        <f t="shared" si="382"/>
        <v>#VALUE!</v>
      </c>
      <c r="F1092" s="737">
        <v>1.0</v>
      </c>
      <c r="G1092" s="737" t="str">
        <f t="shared" si="383"/>
        <v>#VALUE!</v>
      </c>
      <c r="H1092" s="737" t="str">
        <f>MIN($Q$11/('Orbit Info'!G$10),$Q$8*60)</f>
        <v>#VALUE!</v>
      </c>
      <c r="I1092" s="737" t="str">
        <f>IF(D1092=1,$Q$12/'Data DownlinkStorage Budget'!$M$3,0)</f>
        <v>#VALUE!</v>
      </c>
      <c r="J1092" s="737" t="str">
        <f t="shared" si="384"/>
        <v>#VALUE!</v>
      </c>
      <c r="K1092" s="11"/>
      <c r="L1092" s="737" t="str">
        <f t="shared" si="385"/>
        <v>FOUND product plus housekeeping</v>
      </c>
      <c r="M1092" s="737" t="str">
        <f>MIN($Q$18,$Q$10*60)-IF(D1092=1,$Q$17/'Data DownlinkStorage Budget'!$M$3,0)</f>
        <v>#VALUE!</v>
      </c>
      <c r="N1092" s="182"/>
      <c r="O1092" s="737" t="str">
        <f t="shared" si="386"/>
        <v>#VALUE!</v>
      </c>
      <c r="P1092" s="11"/>
      <c r="Q1092" s="11"/>
      <c r="R1092" s="11"/>
      <c r="S1092" s="11"/>
      <c r="T1092" s="11"/>
      <c r="U1092" s="11"/>
      <c r="V1092" s="11"/>
      <c r="W1092" s="11"/>
      <c r="X1092" s="11"/>
      <c r="Y1092" s="11"/>
      <c r="Z1092" s="11"/>
      <c r="AA1092" s="11"/>
    </row>
    <row r="1093" ht="15.75" customHeight="1">
      <c r="A1093" s="737">
        <f t="shared" si="379"/>
        <v>0</v>
      </c>
      <c r="B1093" s="737">
        <f>A1093/'Orbit Info'!$G$10</f>
        <v>0</v>
      </c>
      <c r="C1093" s="737" t="str">
        <f t="shared" si="380"/>
        <v>Housekeeping and events only</v>
      </c>
      <c r="D1093" s="737">
        <f t="shared" si="381"/>
        <v>1</v>
      </c>
      <c r="E1093" s="737" t="str">
        <f t="shared" si="382"/>
        <v>#VALUE!</v>
      </c>
      <c r="F1093" s="737">
        <v>1.0</v>
      </c>
      <c r="G1093" s="737" t="str">
        <f t="shared" si="383"/>
        <v>#VALUE!</v>
      </c>
      <c r="H1093" s="737" t="str">
        <f>MIN($Q$11/('Orbit Info'!G$10),$Q$8*60)</f>
        <v>#VALUE!</v>
      </c>
      <c r="I1093" s="737" t="str">
        <f>IF(D1093=1,$Q$12/'Data DownlinkStorage Budget'!$M$3,0)</f>
        <v>#VALUE!</v>
      </c>
      <c r="J1093" s="737" t="str">
        <f t="shared" si="384"/>
        <v>#VALUE!</v>
      </c>
      <c r="K1093" s="11"/>
      <c r="L1093" s="737" t="str">
        <f t="shared" si="385"/>
        <v>FOUND product plus housekeeping</v>
      </c>
      <c r="M1093" s="737" t="str">
        <f>MIN($Q$18,$Q$10*60)-IF(D1093=1,$Q$17/'Data DownlinkStorage Budget'!$M$3,0)</f>
        <v>#VALUE!</v>
      </c>
      <c r="N1093" s="182"/>
      <c r="O1093" s="737" t="str">
        <f t="shared" si="386"/>
        <v>#VALUE!</v>
      </c>
      <c r="P1093" s="11"/>
      <c r="Q1093" s="11"/>
      <c r="R1093" s="11"/>
      <c r="S1093" s="11"/>
      <c r="T1093" s="11"/>
      <c r="U1093" s="11"/>
      <c r="V1093" s="11"/>
      <c r="W1093" s="11"/>
      <c r="X1093" s="11"/>
      <c r="Y1093" s="11"/>
      <c r="Z1093" s="11"/>
      <c r="AA1093" s="11"/>
    </row>
    <row r="1094" ht="15.75" customHeight="1">
      <c r="A1094" s="737">
        <f t="shared" si="379"/>
        <v>0</v>
      </c>
      <c r="B1094" s="737">
        <f>A1094/'Orbit Info'!$G$10</f>
        <v>0</v>
      </c>
      <c r="C1094" s="737" t="str">
        <f t="shared" si="380"/>
        <v>Housekeeping and events only</v>
      </c>
      <c r="D1094" s="737">
        <f t="shared" si="381"/>
        <v>1</v>
      </c>
      <c r="E1094" s="737" t="str">
        <f t="shared" si="382"/>
        <v>#VALUE!</v>
      </c>
      <c r="F1094" s="737">
        <v>1.0</v>
      </c>
      <c r="G1094" s="737" t="str">
        <f t="shared" si="383"/>
        <v>#VALUE!</v>
      </c>
      <c r="H1094" s="737" t="str">
        <f>MIN($Q$11/('Orbit Info'!G$10),$Q$8*60)</f>
        <v>#VALUE!</v>
      </c>
      <c r="I1094" s="737" t="str">
        <f>IF(D1094=1,$Q$12/'Data DownlinkStorage Budget'!$M$3,0)</f>
        <v>#VALUE!</v>
      </c>
      <c r="J1094" s="737" t="str">
        <f t="shared" si="384"/>
        <v>#VALUE!</v>
      </c>
      <c r="K1094" s="11"/>
      <c r="L1094" s="737" t="str">
        <f t="shared" si="385"/>
        <v>FOUND product plus housekeeping</v>
      </c>
      <c r="M1094" s="737" t="str">
        <f>MIN($Q$18,$Q$10*60)-IF(D1094=1,$Q$17/'Data DownlinkStorage Budget'!$M$3,0)</f>
        <v>#VALUE!</v>
      </c>
      <c r="N1094" s="182"/>
      <c r="O1094" s="737" t="str">
        <f t="shared" si="386"/>
        <v>#VALUE!</v>
      </c>
      <c r="P1094" s="11"/>
      <c r="Q1094" s="11"/>
      <c r="R1094" s="11"/>
      <c r="S1094" s="11"/>
      <c r="T1094" s="11"/>
      <c r="U1094" s="11"/>
      <c r="V1094" s="11"/>
      <c r="W1094" s="11"/>
      <c r="X1094" s="11"/>
      <c r="Y1094" s="11"/>
      <c r="Z1094" s="11"/>
      <c r="AA1094" s="11"/>
    </row>
    <row r="1095" ht="15.75" customHeight="1">
      <c r="A1095" s="737">
        <f t="shared" si="379"/>
        <v>0</v>
      </c>
      <c r="B1095" s="737">
        <f>A1095/'Orbit Info'!$G$10</f>
        <v>0</v>
      </c>
      <c r="C1095" s="737" t="str">
        <f t="shared" si="380"/>
        <v>Housekeeping and events only</v>
      </c>
      <c r="D1095" s="737">
        <f t="shared" si="381"/>
        <v>1</v>
      </c>
      <c r="E1095" s="737" t="str">
        <f t="shared" si="382"/>
        <v>#VALUE!</v>
      </c>
      <c r="F1095" s="737">
        <v>1.0</v>
      </c>
      <c r="G1095" s="737" t="str">
        <f t="shared" si="383"/>
        <v>#VALUE!</v>
      </c>
      <c r="H1095" s="737" t="str">
        <f>MIN($Q$11/('Orbit Info'!G$10),$Q$8*60)</f>
        <v>#VALUE!</v>
      </c>
      <c r="I1095" s="737" t="str">
        <f>IF(D1095=1,$Q$12/'Data DownlinkStorage Budget'!$M$3,0)</f>
        <v>#VALUE!</v>
      </c>
      <c r="J1095" s="737" t="str">
        <f t="shared" si="384"/>
        <v>#VALUE!</v>
      </c>
      <c r="K1095" s="11"/>
      <c r="L1095" s="737" t="str">
        <f t="shared" si="385"/>
        <v>FOUND product plus housekeeping</v>
      </c>
      <c r="M1095" s="737" t="str">
        <f>MIN($Q$18,$Q$10*60)-IF(D1095=1,$Q$17/'Data DownlinkStorage Budget'!$M$3,0)</f>
        <v>#VALUE!</v>
      </c>
      <c r="N1095" s="182"/>
      <c r="O1095" s="737" t="str">
        <f t="shared" si="386"/>
        <v>#VALUE!</v>
      </c>
      <c r="P1095" s="11"/>
      <c r="Q1095" s="11"/>
      <c r="R1095" s="11"/>
      <c r="S1095" s="11"/>
      <c r="T1095" s="11"/>
      <c r="U1095" s="11"/>
      <c r="V1095" s="11"/>
      <c r="W1095" s="11"/>
      <c r="X1095" s="11"/>
      <c r="Y1095" s="11"/>
      <c r="Z1095" s="11"/>
      <c r="AA1095" s="11"/>
    </row>
    <row r="1096" ht="15.75" customHeight="1">
      <c r="A1096" s="737">
        <f t="shared" si="379"/>
        <v>0</v>
      </c>
      <c r="B1096" s="737">
        <f>A1096/'Orbit Info'!$G$10</f>
        <v>0</v>
      </c>
      <c r="C1096" s="737" t="str">
        <f t="shared" si="380"/>
        <v>Housekeeping and events only</v>
      </c>
      <c r="D1096" s="737">
        <f t="shared" si="381"/>
        <v>1</v>
      </c>
      <c r="E1096" s="737" t="str">
        <f t="shared" si="382"/>
        <v>#VALUE!</v>
      </c>
      <c r="F1096" s="737">
        <v>1.0</v>
      </c>
      <c r="G1096" s="737" t="str">
        <f t="shared" si="383"/>
        <v>#VALUE!</v>
      </c>
      <c r="H1096" s="737" t="str">
        <f>MIN($Q$11/('Orbit Info'!G$10),$Q$8*60)</f>
        <v>#VALUE!</v>
      </c>
      <c r="I1096" s="737" t="str">
        <f>IF(D1096=1,$Q$12/'Data DownlinkStorage Budget'!$M$3,0)</f>
        <v>#VALUE!</v>
      </c>
      <c r="J1096" s="737" t="str">
        <f t="shared" si="384"/>
        <v>#VALUE!</v>
      </c>
      <c r="K1096" s="11"/>
      <c r="L1096" s="737" t="str">
        <f t="shared" si="385"/>
        <v>FOUND product plus housekeeping</v>
      </c>
      <c r="M1096" s="737" t="str">
        <f>MIN($Q$18,$Q$10*60)-IF(D1096=1,$Q$17/'Data DownlinkStorage Budget'!$M$3,0)</f>
        <v>#VALUE!</v>
      </c>
      <c r="N1096" s="182"/>
      <c r="O1096" s="737" t="str">
        <f t="shared" si="386"/>
        <v>#VALUE!</v>
      </c>
      <c r="P1096" s="11"/>
      <c r="Q1096" s="11"/>
      <c r="R1096" s="11"/>
      <c r="S1096" s="11"/>
      <c r="T1096" s="11"/>
      <c r="U1096" s="11"/>
      <c r="V1096" s="11"/>
      <c r="W1096" s="11"/>
      <c r="X1096" s="11"/>
      <c r="Y1096" s="11"/>
      <c r="Z1096" s="11"/>
      <c r="AA1096" s="11"/>
    </row>
    <row r="1097" ht="15.75" customHeight="1">
      <c r="A1097" s="737">
        <f t="shared" si="379"/>
        <v>0</v>
      </c>
      <c r="B1097" s="737">
        <f>A1097/'Orbit Info'!$G$10</f>
        <v>0</v>
      </c>
      <c r="C1097" s="737" t="str">
        <f t="shared" si="380"/>
        <v>Housekeeping and events only</v>
      </c>
      <c r="D1097" s="737">
        <f t="shared" si="381"/>
        <v>1</v>
      </c>
      <c r="E1097" s="737" t="str">
        <f t="shared" si="382"/>
        <v>#VALUE!</v>
      </c>
      <c r="F1097" s="737">
        <v>1.0</v>
      </c>
      <c r="G1097" s="737" t="str">
        <f t="shared" si="383"/>
        <v>#VALUE!</v>
      </c>
      <c r="H1097" s="737" t="str">
        <f>MIN($Q$11/('Orbit Info'!G$10),$Q$8*60)</f>
        <v>#VALUE!</v>
      </c>
      <c r="I1097" s="737" t="str">
        <f>IF(D1097=1,$Q$12/'Data DownlinkStorage Budget'!$M$3,0)</f>
        <v>#VALUE!</v>
      </c>
      <c r="J1097" s="737" t="str">
        <f t="shared" si="384"/>
        <v>#VALUE!</v>
      </c>
      <c r="K1097" s="11"/>
      <c r="L1097" s="737" t="str">
        <f t="shared" si="385"/>
        <v>FOUND product plus housekeeping</v>
      </c>
      <c r="M1097" s="737" t="str">
        <f>MIN($Q$18,$Q$10*60)-IF(D1097=1,$Q$17/'Data DownlinkStorage Budget'!$M$3,0)</f>
        <v>#VALUE!</v>
      </c>
      <c r="N1097" s="182"/>
      <c r="O1097" s="737" t="str">
        <f t="shared" si="386"/>
        <v>#VALUE!</v>
      </c>
      <c r="P1097" s="11"/>
      <c r="Q1097" s="11"/>
      <c r="R1097" s="11"/>
      <c r="S1097" s="11"/>
      <c r="T1097" s="11"/>
      <c r="U1097" s="11"/>
      <c r="V1097" s="11"/>
      <c r="W1097" s="11"/>
      <c r="X1097" s="11"/>
      <c r="Y1097" s="11"/>
      <c r="Z1097" s="11"/>
      <c r="AA1097" s="11"/>
    </row>
    <row r="1098" ht="15.75" customHeight="1">
      <c r="A1098" s="737">
        <f t="shared" si="379"/>
        <v>0</v>
      </c>
      <c r="B1098" s="737">
        <f>A1098/'Orbit Info'!$G$10</f>
        <v>0</v>
      </c>
      <c r="C1098" s="737" t="str">
        <f t="shared" si="380"/>
        <v>Housekeeping and events only</v>
      </c>
      <c r="D1098" s="737">
        <f t="shared" si="381"/>
        <v>1</v>
      </c>
      <c r="E1098" s="737" t="str">
        <f t="shared" si="382"/>
        <v>#VALUE!</v>
      </c>
      <c r="F1098" s="737">
        <v>1.0</v>
      </c>
      <c r="G1098" s="737" t="str">
        <f t="shared" si="383"/>
        <v>#VALUE!</v>
      </c>
      <c r="H1098" s="737" t="str">
        <f>MIN($Q$11/('Orbit Info'!G$10),$Q$8*60)</f>
        <v>#VALUE!</v>
      </c>
      <c r="I1098" s="737" t="str">
        <f>IF(D1098=1,$Q$12/'Data DownlinkStorage Budget'!$M$3,0)</f>
        <v>#VALUE!</v>
      </c>
      <c r="J1098" s="737" t="str">
        <f t="shared" si="384"/>
        <v>#VALUE!</v>
      </c>
      <c r="K1098" s="11"/>
      <c r="L1098" s="737" t="str">
        <f t="shared" si="385"/>
        <v>FOUND product plus housekeeping</v>
      </c>
      <c r="M1098" s="737" t="str">
        <f>MIN($Q$18,$Q$10*60)-IF(D1098=1,$Q$17/'Data DownlinkStorage Budget'!$M$3,0)</f>
        <v>#VALUE!</v>
      </c>
      <c r="N1098" s="182"/>
      <c r="O1098" s="737" t="str">
        <f t="shared" si="386"/>
        <v>#VALUE!</v>
      </c>
      <c r="P1098" s="11"/>
      <c r="Q1098" s="11"/>
      <c r="R1098" s="11"/>
      <c r="S1098" s="11"/>
      <c r="T1098" s="11"/>
      <c r="U1098" s="11"/>
      <c r="V1098" s="11"/>
      <c r="W1098" s="11"/>
      <c r="X1098" s="11"/>
      <c r="Y1098" s="11"/>
      <c r="Z1098" s="11"/>
      <c r="AA1098" s="11"/>
    </row>
    <row r="1099" ht="15.75" customHeight="1">
      <c r="A1099" s="737">
        <f t="shared" si="379"/>
        <v>0</v>
      </c>
      <c r="B1099" s="737">
        <f>A1099/'Orbit Info'!$G$10</f>
        <v>0</v>
      </c>
      <c r="C1099" s="737" t="str">
        <f t="shared" si="380"/>
        <v>Housekeeping and events only</v>
      </c>
      <c r="D1099" s="737">
        <f t="shared" si="381"/>
        <v>1</v>
      </c>
      <c r="E1099" s="737" t="str">
        <f t="shared" si="382"/>
        <v>#VALUE!</v>
      </c>
      <c r="F1099" s="737">
        <v>1.0</v>
      </c>
      <c r="G1099" s="737" t="str">
        <f t="shared" si="383"/>
        <v>#VALUE!</v>
      </c>
      <c r="H1099" s="737" t="str">
        <f>MIN($Q$11/('Orbit Info'!G$10),$Q$8*60)</f>
        <v>#VALUE!</v>
      </c>
      <c r="I1099" s="737" t="str">
        <f>IF(D1099=1,$Q$12/'Data DownlinkStorage Budget'!$M$3,0)</f>
        <v>#VALUE!</v>
      </c>
      <c r="J1099" s="737" t="str">
        <f t="shared" si="384"/>
        <v>#VALUE!</v>
      </c>
      <c r="K1099" s="11"/>
      <c r="L1099" s="737" t="str">
        <f t="shared" si="385"/>
        <v>FOUND product plus housekeeping</v>
      </c>
      <c r="M1099" s="737" t="str">
        <f>MIN($Q$18,$Q$10*60)-IF(D1099=1,$Q$17/'Data DownlinkStorage Budget'!$M$3,0)</f>
        <v>#VALUE!</v>
      </c>
      <c r="N1099" s="182"/>
      <c r="O1099" s="737" t="str">
        <f t="shared" si="386"/>
        <v>#VALUE!</v>
      </c>
      <c r="P1099" s="11"/>
      <c r="Q1099" s="11"/>
      <c r="R1099" s="11"/>
      <c r="S1099" s="11"/>
      <c r="T1099" s="11"/>
      <c r="U1099" s="11"/>
      <c r="V1099" s="11"/>
      <c r="W1099" s="11"/>
      <c r="X1099" s="11"/>
      <c r="Y1099" s="11"/>
      <c r="Z1099" s="11"/>
      <c r="AA1099" s="11"/>
    </row>
    <row r="1100" ht="15.75" customHeight="1">
      <c r="A1100" s="737">
        <f t="shared" si="379"/>
        <v>0</v>
      </c>
      <c r="B1100" s="737">
        <f>A1100/'Orbit Info'!$G$10</f>
        <v>0</v>
      </c>
      <c r="C1100" s="737" t="str">
        <f t="shared" si="380"/>
        <v>Housekeeping and events only</v>
      </c>
      <c r="D1100" s="737">
        <f t="shared" si="381"/>
        <v>1</v>
      </c>
      <c r="E1100" s="737" t="str">
        <f t="shared" si="382"/>
        <v>#VALUE!</v>
      </c>
      <c r="F1100" s="737">
        <v>1.0</v>
      </c>
      <c r="G1100" s="737" t="str">
        <f t="shared" si="383"/>
        <v>#VALUE!</v>
      </c>
      <c r="H1100" s="737" t="str">
        <f>MIN($Q$11/('Orbit Info'!G$10),$Q$8*60)</f>
        <v>#VALUE!</v>
      </c>
      <c r="I1100" s="737" t="str">
        <f>IF(D1100=1,$Q$12/'Data DownlinkStorage Budget'!$M$3,0)</f>
        <v>#VALUE!</v>
      </c>
      <c r="J1100" s="737" t="str">
        <f t="shared" si="384"/>
        <v>#VALUE!</v>
      </c>
      <c r="K1100" s="11"/>
      <c r="L1100" s="737" t="str">
        <f t="shared" si="385"/>
        <v>FOUND product plus housekeeping</v>
      </c>
      <c r="M1100" s="737" t="str">
        <f>MIN($Q$18,$Q$10*60)-IF(D1100=1,$Q$17/'Data DownlinkStorage Budget'!$M$3,0)</f>
        <v>#VALUE!</v>
      </c>
      <c r="N1100" s="182"/>
      <c r="O1100" s="737" t="str">
        <f t="shared" si="386"/>
        <v>#VALUE!</v>
      </c>
      <c r="P1100" s="11"/>
      <c r="Q1100" s="11"/>
      <c r="R1100" s="11"/>
      <c r="S1100" s="11"/>
      <c r="T1100" s="11"/>
      <c r="U1100" s="11"/>
      <c r="V1100" s="11"/>
      <c r="W1100" s="11"/>
      <c r="X1100" s="11"/>
      <c r="Y1100" s="11"/>
      <c r="Z1100" s="11"/>
      <c r="AA1100" s="11"/>
    </row>
    <row r="1101" ht="15.75" customHeight="1">
      <c r="A1101" s="737">
        <f t="shared" si="379"/>
        <v>0</v>
      </c>
      <c r="B1101" s="737">
        <f>A1101/'Orbit Info'!$G$10</f>
        <v>0</v>
      </c>
      <c r="C1101" s="737" t="str">
        <f t="shared" si="380"/>
        <v>Housekeeping and events only</v>
      </c>
      <c r="D1101" s="737">
        <f t="shared" si="381"/>
        <v>1</v>
      </c>
      <c r="E1101" s="737" t="str">
        <f t="shared" si="382"/>
        <v>#VALUE!</v>
      </c>
      <c r="F1101" s="737">
        <v>1.0</v>
      </c>
      <c r="G1101" s="737" t="str">
        <f t="shared" si="383"/>
        <v>#VALUE!</v>
      </c>
      <c r="H1101" s="737" t="str">
        <f>MIN($Q$11/('Orbit Info'!G$10),$Q$8*60)</f>
        <v>#VALUE!</v>
      </c>
      <c r="I1101" s="737" t="str">
        <f>IF(D1101=1,$Q$12/'Data DownlinkStorage Budget'!$M$3,0)</f>
        <v>#VALUE!</v>
      </c>
      <c r="J1101" s="737" t="str">
        <f t="shared" si="384"/>
        <v>#VALUE!</v>
      </c>
      <c r="K1101" s="11"/>
      <c r="L1101" s="737" t="str">
        <f t="shared" si="385"/>
        <v>FOUND product plus housekeeping</v>
      </c>
      <c r="M1101" s="737" t="str">
        <f>MIN($Q$18,$Q$10*60)-IF(D1101=1,$Q$17/'Data DownlinkStorage Budget'!$M$3,0)</f>
        <v>#VALUE!</v>
      </c>
      <c r="N1101" s="182"/>
      <c r="O1101" s="737" t="str">
        <f t="shared" si="386"/>
        <v>#VALUE!</v>
      </c>
      <c r="P1101" s="11"/>
      <c r="Q1101" s="11"/>
      <c r="R1101" s="11"/>
      <c r="S1101" s="11"/>
      <c r="T1101" s="11"/>
      <c r="U1101" s="11"/>
      <c r="V1101" s="11"/>
      <c r="W1101" s="11"/>
      <c r="X1101" s="11"/>
      <c r="Y1101" s="11"/>
      <c r="Z1101" s="11"/>
      <c r="AA1101" s="11"/>
    </row>
    <row r="1102" ht="15.75" customHeight="1">
      <c r="A1102" s="737">
        <f t="shared" si="379"/>
        <v>0</v>
      </c>
      <c r="B1102" s="737">
        <f>A1102/'Orbit Info'!$G$10</f>
        <v>0</v>
      </c>
      <c r="C1102" s="737" t="str">
        <f t="shared" si="380"/>
        <v>Housekeeping and events only</v>
      </c>
      <c r="D1102" s="737">
        <f t="shared" si="381"/>
        <v>1</v>
      </c>
      <c r="E1102" s="737" t="str">
        <f t="shared" si="382"/>
        <v>#VALUE!</v>
      </c>
      <c r="F1102" s="737">
        <v>1.0</v>
      </c>
      <c r="G1102" s="737" t="str">
        <f t="shared" si="383"/>
        <v>#VALUE!</v>
      </c>
      <c r="H1102" s="737" t="str">
        <f>MIN($Q$11/('Orbit Info'!G$10),$Q$8*60)</f>
        <v>#VALUE!</v>
      </c>
      <c r="I1102" s="737" t="str">
        <f>IF(D1102=1,$Q$12/'Data DownlinkStorage Budget'!$M$3,0)</f>
        <v>#VALUE!</v>
      </c>
      <c r="J1102" s="737" t="str">
        <f t="shared" si="384"/>
        <v>#VALUE!</v>
      </c>
      <c r="K1102" s="11"/>
      <c r="L1102" s="737" t="str">
        <f t="shared" si="385"/>
        <v>FOUND product plus housekeeping</v>
      </c>
      <c r="M1102" s="737" t="str">
        <f>MIN($Q$18,$Q$10*60)-IF(D1102=1,$Q$17/'Data DownlinkStorage Budget'!$M$3,0)</f>
        <v>#VALUE!</v>
      </c>
      <c r="N1102" s="182"/>
      <c r="O1102" s="737" t="str">
        <f t="shared" si="386"/>
        <v>#VALUE!</v>
      </c>
      <c r="P1102" s="11"/>
      <c r="Q1102" s="11"/>
      <c r="R1102" s="11"/>
      <c r="S1102" s="11"/>
      <c r="T1102" s="11"/>
      <c r="U1102" s="11"/>
      <c r="V1102" s="11"/>
      <c r="W1102" s="11"/>
      <c r="X1102" s="11"/>
      <c r="Y1102" s="11"/>
      <c r="Z1102" s="11"/>
      <c r="AA1102" s="11"/>
    </row>
    <row r="1103" ht="15.75" customHeight="1">
      <c r="A1103" s="737">
        <f t="shared" si="379"/>
        <v>0</v>
      </c>
      <c r="B1103" s="737">
        <f>A1103/'Orbit Info'!$G$10</f>
        <v>0</v>
      </c>
      <c r="C1103" s="737" t="str">
        <f t="shared" si="380"/>
        <v>Housekeeping and events only</v>
      </c>
      <c r="D1103" s="737">
        <f t="shared" si="381"/>
        <v>1</v>
      </c>
      <c r="E1103" s="737" t="str">
        <f t="shared" si="382"/>
        <v>#VALUE!</v>
      </c>
      <c r="F1103" s="737">
        <v>1.0</v>
      </c>
      <c r="G1103" s="737" t="str">
        <f t="shared" si="383"/>
        <v>#VALUE!</v>
      </c>
      <c r="H1103" s="737" t="str">
        <f>MIN($Q$11/('Orbit Info'!G$10),$Q$8*60)</f>
        <v>#VALUE!</v>
      </c>
      <c r="I1103" s="737" t="str">
        <f>IF(D1103=1,$Q$12/'Data DownlinkStorage Budget'!$M$3,0)</f>
        <v>#VALUE!</v>
      </c>
      <c r="J1103" s="737" t="str">
        <f t="shared" si="384"/>
        <v>#VALUE!</v>
      </c>
      <c r="K1103" s="11"/>
      <c r="L1103" s="737" t="str">
        <f t="shared" si="385"/>
        <v>FOUND product plus housekeeping</v>
      </c>
      <c r="M1103" s="737" t="str">
        <f>MIN($Q$18,$Q$10*60)-IF(D1103=1,$Q$17/'Data DownlinkStorage Budget'!$M$3,0)</f>
        <v>#VALUE!</v>
      </c>
      <c r="N1103" s="182"/>
      <c r="O1103" s="737" t="str">
        <f t="shared" si="386"/>
        <v>#VALUE!</v>
      </c>
      <c r="P1103" s="11"/>
      <c r="Q1103" s="11"/>
      <c r="R1103" s="11"/>
      <c r="S1103" s="11"/>
      <c r="T1103" s="11"/>
      <c r="U1103" s="11"/>
      <c r="V1103" s="11"/>
      <c r="W1103" s="11"/>
      <c r="X1103" s="11"/>
      <c r="Y1103" s="11"/>
      <c r="Z1103" s="11"/>
      <c r="AA1103" s="11"/>
    </row>
    <row r="1104" ht="15.75" customHeight="1">
      <c r="A1104" s="737">
        <f t="shared" si="379"/>
        <v>0</v>
      </c>
      <c r="B1104" s="737">
        <f>A1104/'Orbit Info'!$G$10</f>
        <v>0</v>
      </c>
      <c r="C1104" s="737" t="str">
        <f t="shared" si="380"/>
        <v>Housekeeping and events only</v>
      </c>
      <c r="D1104" s="737">
        <f t="shared" si="381"/>
        <v>1</v>
      </c>
      <c r="E1104" s="737" t="str">
        <f t="shared" si="382"/>
        <v>#VALUE!</v>
      </c>
      <c r="F1104" s="737">
        <v>1.0</v>
      </c>
      <c r="G1104" s="737" t="str">
        <f t="shared" si="383"/>
        <v>#VALUE!</v>
      </c>
      <c r="H1104" s="737" t="str">
        <f>MIN($Q$11/('Orbit Info'!G$10),$Q$8*60)</f>
        <v>#VALUE!</v>
      </c>
      <c r="I1104" s="737" t="str">
        <f>IF(D1104=1,$Q$12/'Data DownlinkStorage Budget'!$M$3,0)</f>
        <v>#VALUE!</v>
      </c>
      <c r="J1104" s="737" t="str">
        <f t="shared" si="384"/>
        <v>#VALUE!</v>
      </c>
      <c r="K1104" s="11"/>
      <c r="L1104" s="737" t="str">
        <f t="shared" si="385"/>
        <v>FOUND product plus housekeeping</v>
      </c>
      <c r="M1104" s="737" t="str">
        <f>MIN($Q$18,$Q$10*60)-IF(D1104=1,$Q$17/'Data DownlinkStorage Budget'!$M$3,0)</f>
        <v>#VALUE!</v>
      </c>
      <c r="N1104" s="182"/>
      <c r="O1104" s="737" t="str">
        <f t="shared" si="386"/>
        <v>#VALUE!</v>
      </c>
      <c r="P1104" s="11"/>
      <c r="Q1104" s="11"/>
      <c r="R1104" s="11"/>
      <c r="S1104" s="11"/>
      <c r="T1104" s="11"/>
      <c r="U1104" s="11"/>
      <c r="V1104" s="11"/>
      <c r="W1104" s="11"/>
      <c r="X1104" s="11"/>
      <c r="Y1104" s="11"/>
      <c r="Z1104" s="11"/>
      <c r="AA1104" s="11"/>
    </row>
    <row r="1105" ht="15.75" customHeight="1">
      <c r="A1105" s="737">
        <f t="shared" si="379"/>
        <v>0</v>
      </c>
      <c r="B1105" s="737">
        <f>A1105/'Orbit Info'!$G$10</f>
        <v>0</v>
      </c>
      <c r="C1105" s="737" t="str">
        <f t="shared" si="380"/>
        <v>Housekeeping and events only</v>
      </c>
      <c r="D1105" s="737">
        <f t="shared" si="381"/>
        <v>1</v>
      </c>
      <c r="E1105" s="737" t="str">
        <f t="shared" si="382"/>
        <v>#VALUE!</v>
      </c>
      <c r="F1105" s="737">
        <v>1.0</v>
      </c>
      <c r="G1105" s="737" t="str">
        <f t="shared" si="383"/>
        <v>#VALUE!</v>
      </c>
      <c r="H1105" s="737" t="str">
        <f>MIN($Q$11/('Orbit Info'!G$10),$Q$8*60)</f>
        <v>#VALUE!</v>
      </c>
      <c r="I1105" s="737" t="str">
        <f>IF(D1105=1,$Q$12/'Data DownlinkStorage Budget'!$M$3,0)</f>
        <v>#VALUE!</v>
      </c>
      <c r="J1105" s="737" t="str">
        <f t="shared" si="384"/>
        <v>#VALUE!</v>
      </c>
      <c r="K1105" s="11"/>
      <c r="L1105" s="737" t="str">
        <f t="shared" si="385"/>
        <v>FOUND product plus housekeeping</v>
      </c>
      <c r="M1105" s="737" t="str">
        <f>MIN($Q$18,$Q$10*60)-IF(D1105=1,$Q$17/'Data DownlinkStorage Budget'!$M$3,0)</f>
        <v>#VALUE!</v>
      </c>
      <c r="N1105" s="182"/>
      <c r="O1105" s="737" t="str">
        <f t="shared" si="386"/>
        <v>#VALUE!</v>
      </c>
      <c r="P1105" s="11"/>
      <c r="Q1105" s="11"/>
      <c r="R1105" s="11"/>
      <c r="S1105" s="11"/>
      <c r="T1105" s="11"/>
      <c r="U1105" s="11"/>
      <c r="V1105" s="11"/>
      <c r="W1105" s="11"/>
      <c r="X1105" s="11"/>
      <c r="Y1105" s="11"/>
      <c r="Z1105" s="11"/>
      <c r="AA1105" s="11"/>
    </row>
    <row r="1106" ht="15.75" customHeight="1">
      <c r="A1106" s="737">
        <f t="shared" si="379"/>
        <v>0</v>
      </c>
      <c r="B1106" s="737">
        <f>A1106/'Orbit Info'!$G$10</f>
        <v>0</v>
      </c>
      <c r="C1106" s="737" t="str">
        <f t="shared" si="380"/>
        <v>Housekeeping and events only</v>
      </c>
      <c r="D1106" s="737">
        <f t="shared" si="381"/>
        <v>1</v>
      </c>
      <c r="E1106" s="737" t="str">
        <f t="shared" si="382"/>
        <v>#VALUE!</v>
      </c>
      <c r="F1106" s="737">
        <v>1.0</v>
      </c>
      <c r="G1106" s="737" t="str">
        <f t="shared" si="383"/>
        <v>#VALUE!</v>
      </c>
      <c r="H1106" s="737" t="str">
        <f>MIN($Q$11/('Orbit Info'!G$10),$Q$8*60)</f>
        <v>#VALUE!</v>
      </c>
      <c r="I1106" s="737" t="str">
        <f>IF(D1106=1,$Q$12/'Data DownlinkStorage Budget'!$M$3,0)</f>
        <v>#VALUE!</v>
      </c>
      <c r="J1106" s="737" t="str">
        <f t="shared" si="384"/>
        <v>#VALUE!</v>
      </c>
      <c r="K1106" s="11"/>
      <c r="L1106" s="737" t="str">
        <f t="shared" si="385"/>
        <v>FOUND product plus housekeeping</v>
      </c>
      <c r="M1106" s="737" t="str">
        <f>MIN($Q$18,$Q$10*60)-IF(D1106=1,$Q$17/'Data DownlinkStorage Budget'!$M$3,0)</f>
        <v>#VALUE!</v>
      </c>
      <c r="N1106" s="182"/>
      <c r="O1106" s="737" t="str">
        <f t="shared" si="386"/>
        <v>#VALUE!</v>
      </c>
      <c r="P1106" s="11"/>
      <c r="Q1106" s="11"/>
      <c r="R1106" s="11"/>
      <c r="S1106" s="11"/>
      <c r="T1106" s="11"/>
      <c r="U1106" s="11"/>
      <c r="V1106" s="11"/>
      <c r="W1106" s="11"/>
      <c r="X1106" s="11"/>
      <c r="Y1106" s="11"/>
      <c r="Z1106" s="11"/>
      <c r="AA1106" s="11"/>
    </row>
    <row r="1107" ht="15.75" customHeight="1">
      <c r="A1107" s="737">
        <f t="shared" si="379"/>
        <v>0</v>
      </c>
      <c r="B1107" s="737">
        <f>A1107/'Orbit Info'!$G$10</f>
        <v>0</v>
      </c>
      <c r="C1107" s="737" t="str">
        <f t="shared" si="380"/>
        <v>Housekeeping and events only</v>
      </c>
      <c r="D1107" s="737">
        <f t="shared" si="381"/>
        <v>1</v>
      </c>
      <c r="E1107" s="737" t="str">
        <f t="shared" si="382"/>
        <v>#VALUE!</v>
      </c>
      <c r="F1107" s="737">
        <v>1.0</v>
      </c>
      <c r="G1107" s="737" t="str">
        <f t="shared" si="383"/>
        <v>#VALUE!</v>
      </c>
      <c r="H1107" s="737" t="str">
        <f>MIN($Q$11/('Orbit Info'!G$10),$Q$8*60)</f>
        <v>#VALUE!</v>
      </c>
      <c r="I1107" s="737" t="str">
        <f>IF(D1107=1,$Q$12/'Data DownlinkStorage Budget'!$M$3,0)</f>
        <v>#VALUE!</v>
      </c>
      <c r="J1107" s="737" t="str">
        <f t="shared" si="384"/>
        <v>#VALUE!</v>
      </c>
      <c r="K1107" s="11"/>
      <c r="L1107" s="737" t="str">
        <f t="shared" si="385"/>
        <v>FOUND product plus housekeeping</v>
      </c>
      <c r="M1107" s="737" t="str">
        <f>MIN($Q$18,$Q$10*60)-IF(D1107=1,$Q$17/'Data DownlinkStorage Budget'!$M$3,0)</f>
        <v>#VALUE!</v>
      </c>
      <c r="N1107" s="182"/>
      <c r="O1107" s="737" t="str">
        <f t="shared" si="386"/>
        <v>#VALUE!</v>
      </c>
      <c r="P1107" s="11"/>
      <c r="Q1107" s="11"/>
      <c r="R1107" s="11"/>
      <c r="S1107" s="11"/>
      <c r="T1107" s="11"/>
      <c r="U1107" s="11"/>
      <c r="V1107" s="11"/>
      <c r="W1107" s="11"/>
      <c r="X1107" s="11"/>
      <c r="Y1107" s="11"/>
      <c r="Z1107" s="11"/>
      <c r="AA1107" s="11"/>
    </row>
    <row r="1108" ht="15.75" customHeight="1">
      <c r="A1108" s="737">
        <f t="shared" si="379"/>
        <v>0</v>
      </c>
      <c r="B1108" s="737">
        <f>A1108/'Orbit Info'!$G$10</f>
        <v>0</v>
      </c>
      <c r="C1108" s="737" t="str">
        <f t="shared" si="380"/>
        <v>Housekeeping and events only</v>
      </c>
      <c r="D1108" s="737">
        <f t="shared" si="381"/>
        <v>1</v>
      </c>
      <c r="E1108" s="737" t="str">
        <f t="shared" si="382"/>
        <v>#VALUE!</v>
      </c>
      <c r="F1108" s="737">
        <v>1.0</v>
      </c>
      <c r="G1108" s="737" t="str">
        <f t="shared" si="383"/>
        <v>#VALUE!</v>
      </c>
      <c r="H1108" s="737" t="str">
        <f>MIN($Q$11/('Orbit Info'!G$10),$Q$8*60)</f>
        <v>#VALUE!</v>
      </c>
      <c r="I1108" s="737" t="str">
        <f>IF(D1108=1,$Q$12/'Data DownlinkStorage Budget'!$M$3,0)</f>
        <v>#VALUE!</v>
      </c>
      <c r="J1108" s="737" t="str">
        <f t="shared" si="384"/>
        <v>#VALUE!</v>
      </c>
      <c r="K1108" s="11"/>
      <c r="L1108" s="737" t="str">
        <f t="shared" si="385"/>
        <v>FOUND product plus housekeeping</v>
      </c>
      <c r="M1108" s="737" t="str">
        <f>MIN($Q$18,$Q$10*60)-IF(D1108=1,$Q$17/'Data DownlinkStorage Budget'!$M$3,0)</f>
        <v>#VALUE!</v>
      </c>
      <c r="N1108" s="182"/>
      <c r="O1108" s="737" t="str">
        <f t="shared" si="386"/>
        <v>#VALUE!</v>
      </c>
      <c r="P1108" s="11"/>
      <c r="Q1108" s="11"/>
      <c r="R1108" s="11"/>
      <c r="S1108" s="11"/>
      <c r="T1108" s="11"/>
      <c r="U1108" s="11"/>
      <c r="V1108" s="11"/>
      <c r="W1108" s="11"/>
      <c r="X1108" s="11"/>
      <c r="Y1108" s="11"/>
      <c r="Z1108" s="11"/>
      <c r="AA1108" s="11"/>
    </row>
    <row r="1109" ht="15.75" customHeight="1">
      <c r="A1109" s="737">
        <f t="shared" si="379"/>
        <v>0</v>
      </c>
      <c r="B1109" s="737">
        <f>A1109/'Orbit Info'!$G$10</f>
        <v>0</v>
      </c>
      <c r="C1109" s="737" t="str">
        <f t="shared" si="380"/>
        <v>Housekeeping and events only</v>
      </c>
      <c r="D1109" s="737">
        <f t="shared" si="381"/>
        <v>1</v>
      </c>
      <c r="E1109" s="737" t="str">
        <f t="shared" si="382"/>
        <v>#VALUE!</v>
      </c>
      <c r="F1109" s="737">
        <v>1.0</v>
      </c>
      <c r="G1109" s="737" t="str">
        <f t="shared" si="383"/>
        <v>#VALUE!</v>
      </c>
      <c r="H1109" s="737" t="str">
        <f>MIN($Q$11/('Orbit Info'!G$10),$Q$8*60)</f>
        <v>#VALUE!</v>
      </c>
      <c r="I1109" s="737" t="str">
        <f>IF(D1109=1,$Q$12/'Data DownlinkStorage Budget'!$M$3,0)</f>
        <v>#VALUE!</v>
      </c>
      <c r="J1109" s="737" t="str">
        <f t="shared" si="384"/>
        <v>#VALUE!</v>
      </c>
      <c r="K1109" s="11"/>
      <c r="L1109" s="737" t="str">
        <f t="shared" si="385"/>
        <v>FOUND product plus housekeeping</v>
      </c>
      <c r="M1109" s="737" t="str">
        <f>MIN($Q$18,$Q$10*60)-IF(D1109=1,$Q$17/'Data DownlinkStorage Budget'!$M$3,0)</f>
        <v>#VALUE!</v>
      </c>
      <c r="N1109" s="182"/>
      <c r="O1109" s="737" t="str">
        <f t="shared" si="386"/>
        <v>#VALUE!</v>
      </c>
      <c r="P1109" s="11"/>
      <c r="Q1109" s="11"/>
      <c r="R1109" s="11"/>
      <c r="S1109" s="11"/>
      <c r="T1109" s="11"/>
      <c r="U1109" s="11"/>
      <c r="V1109" s="11"/>
      <c r="W1109" s="11"/>
      <c r="X1109" s="11"/>
      <c r="Y1109" s="11"/>
      <c r="Z1109" s="11"/>
      <c r="AA1109" s="11"/>
    </row>
    <row r="1110" ht="15.75" customHeight="1">
      <c r="A1110" s="737">
        <f t="shared" si="379"/>
        <v>0</v>
      </c>
      <c r="B1110" s="737">
        <f>A1110/'Orbit Info'!$G$10</f>
        <v>0</v>
      </c>
      <c r="C1110" s="737" t="str">
        <f t="shared" si="380"/>
        <v>Housekeeping and events only</v>
      </c>
      <c r="D1110" s="737">
        <f t="shared" si="381"/>
        <v>1</v>
      </c>
      <c r="E1110" s="737" t="str">
        <f t="shared" si="382"/>
        <v>#VALUE!</v>
      </c>
      <c r="F1110" s="737">
        <v>1.0</v>
      </c>
      <c r="G1110" s="737" t="str">
        <f t="shared" si="383"/>
        <v>#VALUE!</v>
      </c>
      <c r="H1110" s="737" t="str">
        <f>MIN($Q$11/('Orbit Info'!G$10),$Q$8*60)</f>
        <v>#VALUE!</v>
      </c>
      <c r="I1110" s="737" t="str">
        <f>IF(D1110=1,$Q$12/'Data DownlinkStorage Budget'!$M$3,0)</f>
        <v>#VALUE!</v>
      </c>
      <c r="J1110" s="737" t="str">
        <f t="shared" si="384"/>
        <v>#VALUE!</v>
      </c>
      <c r="K1110" s="11"/>
      <c r="L1110" s="737" t="str">
        <f t="shared" si="385"/>
        <v>FOUND product plus housekeeping</v>
      </c>
      <c r="M1110" s="737" t="str">
        <f>MIN($Q$18,$Q$10*60)-IF(D1110=1,$Q$17/'Data DownlinkStorage Budget'!$M$3,0)</f>
        <v>#VALUE!</v>
      </c>
      <c r="N1110" s="182"/>
      <c r="O1110" s="737" t="str">
        <f t="shared" si="386"/>
        <v>#VALUE!</v>
      </c>
      <c r="P1110" s="11"/>
      <c r="Q1110" s="11"/>
      <c r="R1110" s="11"/>
      <c r="S1110" s="11"/>
      <c r="T1110" s="11"/>
      <c r="U1110" s="11"/>
      <c r="V1110" s="11"/>
      <c r="W1110" s="11"/>
      <c r="X1110" s="11"/>
      <c r="Y1110" s="11"/>
      <c r="Z1110" s="11"/>
      <c r="AA1110" s="11"/>
    </row>
    <row r="1111" ht="15.75" customHeight="1">
      <c r="A1111" s="737">
        <f t="shared" si="379"/>
        <v>0</v>
      </c>
      <c r="B1111" s="737">
        <f>A1111/'Orbit Info'!$G$10</f>
        <v>0</v>
      </c>
      <c r="C1111" s="737" t="str">
        <f t="shared" si="380"/>
        <v>Housekeeping and events only</v>
      </c>
      <c r="D1111" s="737">
        <f t="shared" si="381"/>
        <v>1</v>
      </c>
      <c r="E1111" s="737" t="str">
        <f t="shared" si="382"/>
        <v>#VALUE!</v>
      </c>
      <c r="F1111" s="737">
        <v>1.0</v>
      </c>
      <c r="G1111" s="737" t="str">
        <f t="shared" si="383"/>
        <v>#VALUE!</v>
      </c>
      <c r="H1111" s="737" t="str">
        <f>MIN($Q$11/('Orbit Info'!G$10),$Q$8*60)</f>
        <v>#VALUE!</v>
      </c>
      <c r="I1111" s="737" t="str">
        <f>IF(D1111=1,$Q$12/'Data DownlinkStorage Budget'!$M$3,0)</f>
        <v>#VALUE!</v>
      </c>
      <c r="J1111" s="737" t="str">
        <f t="shared" si="384"/>
        <v>#VALUE!</v>
      </c>
      <c r="K1111" s="11"/>
      <c r="L1111" s="737" t="str">
        <f t="shared" si="385"/>
        <v>FOUND product plus housekeeping</v>
      </c>
      <c r="M1111" s="737" t="str">
        <f>MIN($Q$18,$Q$10*60)-IF(D1111=1,$Q$17/'Data DownlinkStorage Budget'!$M$3,0)</f>
        <v>#VALUE!</v>
      </c>
      <c r="N1111" s="182"/>
      <c r="O1111" s="737" t="str">
        <f t="shared" si="386"/>
        <v>#VALUE!</v>
      </c>
      <c r="P1111" s="11"/>
      <c r="Q1111" s="11"/>
      <c r="R1111" s="11"/>
      <c r="S1111" s="11"/>
      <c r="T1111" s="11"/>
      <c r="U1111" s="11"/>
      <c r="V1111" s="11"/>
      <c r="W1111" s="11"/>
      <c r="X1111" s="11"/>
      <c r="Y1111" s="11"/>
      <c r="Z1111" s="11"/>
      <c r="AA1111" s="11"/>
    </row>
    <row r="1112" ht="15.75" customHeight="1">
      <c r="A1112" s="737">
        <f t="shared" si="379"/>
        <v>0</v>
      </c>
      <c r="B1112" s="737">
        <f>A1112/'Orbit Info'!$G$10</f>
        <v>0</v>
      </c>
      <c r="C1112" s="737" t="str">
        <f t="shared" si="380"/>
        <v>Housekeeping and events only</v>
      </c>
      <c r="D1112" s="737">
        <f t="shared" si="381"/>
        <v>1</v>
      </c>
      <c r="E1112" s="737" t="str">
        <f t="shared" si="382"/>
        <v>#VALUE!</v>
      </c>
      <c r="F1112" s="737">
        <v>1.0</v>
      </c>
      <c r="G1112" s="737" t="str">
        <f t="shared" si="383"/>
        <v>#VALUE!</v>
      </c>
      <c r="H1112" s="737" t="str">
        <f>MIN($Q$11/('Orbit Info'!G$10),$Q$8*60)</f>
        <v>#VALUE!</v>
      </c>
      <c r="I1112" s="737" t="str">
        <f>IF(D1112=1,$Q$12/'Data DownlinkStorage Budget'!$M$3,0)</f>
        <v>#VALUE!</v>
      </c>
      <c r="J1112" s="737" t="str">
        <f t="shared" si="384"/>
        <v>#VALUE!</v>
      </c>
      <c r="K1112" s="11"/>
      <c r="L1112" s="737" t="str">
        <f t="shared" si="385"/>
        <v>FOUND product plus housekeeping</v>
      </c>
      <c r="M1112" s="737" t="str">
        <f>MIN($Q$18,$Q$10*60)-IF(D1112=1,$Q$17/'Data DownlinkStorage Budget'!$M$3,0)</f>
        <v>#VALUE!</v>
      </c>
      <c r="N1112" s="182"/>
      <c r="O1112" s="737" t="str">
        <f t="shared" si="386"/>
        <v>#VALUE!</v>
      </c>
      <c r="P1112" s="11"/>
      <c r="Q1112" s="11"/>
      <c r="R1112" s="11"/>
      <c r="S1112" s="11"/>
      <c r="T1112" s="11"/>
      <c r="U1112" s="11"/>
      <c r="V1112" s="11"/>
      <c r="W1112" s="11"/>
      <c r="X1112" s="11"/>
      <c r="Y1112" s="11"/>
      <c r="Z1112" s="11"/>
      <c r="AA1112" s="11"/>
    </row>
    <row r="1113" ht="15.75" customHeight="1">
      <c r="A1113" s="737">
        <f t="shared" si="379"/>
        <v>0</v>
      </c>
      <c r="B1113" s="737">
        <f>A1113/'Orbit Info'!$G$10</f>
        <v>0</v>
      </c>
      <c r="C1113" s="737" t="str">
        <f t="shared" si="380"/>
        <v>Housekeeping and events only</v>
      </c>
      <c r="D1113" s="737">
        <f t="shared" si="381"/>
        <v>1</v>
      </c>
      <c r="E1113" s="737" t="str">
        <f t="shared" si="382"/>
        <v>#VALUE!</v>
      </c>
      <c r="F1113" s="737">
        <v>1.0</v>
      </c>
      <c r="G1113" s="737" t="str">
        <f t="shared" si="383"/>
        <v>#VALUE!</v>
      </c>
      <c r="H1113" s="737" t="str">
        <f>MIN($Q$11/('Orbit Info'!G$10),$Q$8*60)</f>
        <v>#VALUE!</v>
      </c>
      <c r="I1113" s="737" t="str">
        <f>IF(D1113=1,$Q$12/'Data DownlinkStorage Budget'!$M$3,0)</f>
        <v>#VALUE!</v>
      </c>
      <c r="J1113" s="737" t="str">
        <f t="shared" si="384"/>
        <v>#VALUE!</v>
      </c>
      <c r="K1113" s="11"/>
      <c r="L1113" s="737" t="str">
        <f t="shared" si="385"/>
        <v>FOUND product plus housekeeping</v>
      </c>
      <c r="M1113" s="737" t="str">
        <f>MIN($Q$18,$Q$10*60)-IF(D1113=1,$Q$17/'Data DownlinkStorage Budget'!$M$3,0)</f>
        <v>#VALUE!</v>
      </c>
      <c r="N1113" s="182"/>
      <c r="O1113" s="737" t="str">
        <f t="shared" si="386"/>
        <v>#VALUE!</v>
      </c>
      <c r="P1113" s="11"/>
      <c r="Q1113" s="11"/>
      <c r="R1113" s="11"/>
      <c r="S1113" s="11"/>
      <c r="T1113" s="11"/>
      <c r="U1113" s="11"/>
      <c r="V1113" s="11"/>
      <c r="W1113" s="11"/>
      <c r="X1113" s="11"/>
      <c r="Y1113" s="11"/>
      <c r="Z1113" s="11"/>
      <c r="AA1113" s="11"/>
    </row>
    <row r="1114" ht="15.75" customHeight="1">
      <c r="A1114" s="737">
        <f t="shared" si="379"/>
        <v>0</v>
      </c>
      <c r="B1114" s="737">
        <f>A1114/'Orbit Info'!$G$10</f>
        <v>0</v>
      </c>
      <c r="C1114" s="737" t="str">
        <f t="shared" si="380"/>
        <v>Housekeeping and events only</v>
      </c>
      <c r="D1114" s="737">
        <f t="shared" si="381"/>
        <v>1</v>
      </c>
      <c r="E1114" s="737" t="str">
        <f t="shared" si="382"/>
        <v>#VALUE!</v>
      </c>
      <c r="F1114" s="737">
        <v>1.0</v>
      </c>
      <c r="G1114" s="737" t="str">
        <f t="shared" si="383"/>
        <v>#VALUE!</v>
      </c>
      <c r="H1114" s="737" t="str">
        <f>MIN($Q$11/('Orbit Info'!G$10),$Q$8*60)</f>
        <v>#VALUE!</v>
      </c>
      <c r="I1114" s="737" t="str">
        <f>IF(D1114=1,$Q$12/'Data DownlinkStorage Budget'!$M$3,0)</f>
        <v>#VALUE!</v>
      </c>
      <c r="J1114" s="737" t="str">
        <f t="shared" si="384"/>
        <v>#VALUE!</v>
      </c>
      <c r="K1114" s="11"/>
      <c r="L1114" s="737" t="str">
        <f t="shared" si="385"/>
        <v>FOUND product plus housekeeping</v>
      </c>
      <c r="M1114" s="737" t="str">
        <f>MIN($Q$18,$Q$10*60)-IF(D1114=1,$Q$17/'Data DownlinkStorage Budget'!$M$3,0)</f>
        <v>#VALUE!</v>
      </c>
      <c r="N1114" s="182"/>
      <c r="O1114" s="737" t="str">
        <f t="shared" si="386"/>
        <v>#VALUE!</v>
      </c>
      <c r="P1114" s="11"/>
      <c r="Q1114" s="11"/>
      <c r="R1114" s="11"/>
      <c r="S1114" s="11"/>
      <c r="T1114" s="11"/>
      <c r="U1114" s="11"/>
      <c r="V1114" s="11"/>
      <c r="W1114" s="11"/>
      <c r="X1114" s="11"/>
      <c r="Y1114" s="11"/>
      <c r="Z1114" s="11"/>
      <c r="AA1114" s="11"/>
    </row>
    <row r="1115" ht="15.75" customHeight="1">
      <c r="A1115" s="737">
        <f t="shared" si="379"/>
        <v>0</v>
      </c>
      <c r="B1115" s="737">
        <f>A1115/'Orbit Info'!$G$10</f>
        <v>0</v>
      </c>
      <c r="C1115" s="737" t="str">
        <f t="shared" si="380"/>
        <v>Housekeeping and events only</v>
      </c>
      <c r="D1115" s="737">
        <f t="shared" si="381"/>
        <v>1</v>
      </c>
      <c r="E1115" s="737" t="str">
        <f t="shared" si="382"/>
        <v>#VALUE!</v>
      </c>
      <c r="F1115" s="737">
        <v>1.0</v>
      </c>
      <c r="G1115" s="737" t="str">
        <f t="shared" si="383"/>
        <v>#VALUE!</v>
      </c>
      <c r="H1115" s="737" t="str">
        <f>MIN($Q$11/('Orbit Info'!G$10),$Q$8*60)</f>
        <v>#VALUE!</v>
      </c>
      <c r="I1115" s="737" t="str">
        <f>IF(D1115=1,$Q$12/'Data DownlinkStorage Budget'!$M$3,0)</f>
        <v>#VALUE!</v>
      </c>
      <c r="J1115" s="737" t="str">
        <f t="shared" si="384"/>
        <v>#VALUE!</v>
      </c>
      <c r="K1115" s="11"/>
      <c r="L1115" s="737" t="str">
        <f t="shared" si="385"/>
        <v>FOUND product plus housekeeping</v>
      </c>
      <c r="M1115" s="737" t="str">
        <f>MIN($Q$18,$Q$10*60)-IF(D1115=1,$Q$17/'Data DownlinkStorage Budget'!$M$3,0)</f>
        <v>#VALUE!</v>
      </c>
      <c r="N1115" s="182"/>
      <c r="O1115" s="737" t="str">
        <f t="shared" si="386"/>
        <v>#VALUE!</v>
      </c>
      <c r="P1115" s="11"/>
      <c r="Q1115" s="11"/>
      <c r="R1115" s="11"/>
      <c r="S1115" s="11"/>
      <c r="T1115" s="11"/>
      <c r="U1115" s="11"/>
      <c r="V1115" s="11"/>
      <c r="W1115" s="11"/>
      <c r="X1115" s="11"/>
      <c r="Y1115" s="11"/>
      <c r="Z1115" s="11"/>
      <c r="AA1115" s="11"/>
    </row>
    <row r="1116" ht="15.75" customHeight="1">
      <c r="A1116" s="737">
        <f t="shared" si="379"/>
        <v>0</v>
      </c>
      <c r="B1116" s="737">
        <f>A1116/'Orbit Info'!$G$10</f>
        <v>0</v>
      </c>
      <c r="C1116" s="737" t="str">
        <f t="shared" si="380"/>
        <v>Housekeeping and events only</v>
      </c>
      <c r="D1116" s="737">
        <f t="shared" si="381"/>
        <v>1</v>
      </c>
      <c r="E1116" s="737" t="str">
        <f t="shared" si="382"/>
        <v>#VALUE!</v>
      </c>
      <c r="F1116" s="737">
        <v>1.0</v>
      </c>
      <c r="G1116" s="737" t="str">
        <f t="shared" si="383"/>
        <v>#VALUE!</v>
      </c>
      <c r="H1116" s="737" t="str">
        <f>MIN($Q$11/('Orbit Info'!G$10),$Q$8*60)</f>
        <v>#VALUE!</v>
      </c>
      <c r="I1116" s="737" t="str">
        <f>IF(D1116=1,$Q$12/'Data DownlinkStorage Budget'!$M$3,0)</f>
        <v>#VALUE!</v>
      </c>
      <c r="J1116" s="737" t="str">
        <f t="shared" si="384"/>
        <v>#VALUE!</v>
      </c>
      <c r="K1116" s="11"/>
      <c r="L1116" s="737" t="str">
        <f t="shared" si="385"/>
        <v>FOUND product plus housekeeping</v>
      </c>
      <c r="M1116" s="737" t="str">
        <f>MIN($Q$18,$Q$10*60)-IF(D1116=1,$Q$17/'Data DownlinkStorage Budget'!$M$3,0)</f>
        <v>#VALUE!</v>
      </c>
      <c r="N1116" s="182"/>
      <c r="O1116" s="737" t="str">
        <f t="shared" si="386"/>
        <v>#VALUE!</v>
      </c>
      <c r="P1116" s="11"/>
      <c r="Q1116" s="11"/>
      <c r="R1116" s="11"/>
      <c r="S1116" s="11"/>
      <c r="T1116" s="11"/>
      <c r="U1116" s="11"/>
      <c r="V1116" s="11"/>
      <c r="W1116" s="11"/>
      <c r="X1116" s="11"/>
      <c r="Y1116" s="11"/>
      <c r="Z1116" s="11"/>
      <c r="AA1116" s="11"/>
    </row>
    <row r="1117" ht="15.75" customHeight="1">
      <c r="A1117" s="737">
        <f t="shared" si="379"/>
        <v>0</v>
      </c>
      <c r="B1117" s="737">
        <f>A1117/'Orbit Info'!$G$10</f>
        <v>0</v>
      </c>
      <c r="C1117" s="737" t="str">
        <f t="shared" si="380"/>
        <v>Housekeeping and events only</v>
      </c>
      <c r="D1117" s="737">
        <f t="shared" si="381"/>
        <v>1</v>
      </c>
      <c r="E1117" s="737" t="str">
        <f t="shared" si="382"/>
        <v>#VALUE!</v>
      </c>
      <c r="F1117" s="737">
        <v>1.0</v>
      </c>
      <c r="G1117" s="737" t="str">
        <f t="shared" si="383"/>
        <v>#VALUE!</v>
      </c>
      <c r="H1117" s="737" t="str">
        <f>MIN($Q$11/('Orbit Info'!G$10),$Q$8*60)</f>
        <v>#VALUE!</v>
      </c>
      <c r="I1117" s="737" t="str">
        <f>IF(D1117=1,$Q$12/'Data DownlinkStorage Budget'!$M$3,0)</f>
        <v>#VALUE!</v>
      </c>
      <c r="J1117" s="737" t="str">
        <f t="shared" si="384"/>
        <v>#VALUE!</v>
      </c>
      <c r="K1117" s="11"/>
      <c r="L1117" s="737" t="str">
        <f t="shared" si="385"/>
        <v>FOUND product plus housekeeping</v>
      </c>
      <c r="M1117" s="737" t="str">
        <f>MIN($Q$18,$Q$10*60)-IF(D1117=1,$Q$17/'Data DownlinkStorage Budget'!$M$3,0)</f>
        <v>#VALUE!</v>
      </c>
      <c r="N1117" s="182"/>
      <c r="O1117" s="737" t="str">
        <f t="shared" si="386"/>
        <v>#VALUE!</v>
      </c>
      <c r="P1117" s="11"/>
      <c r="Q1117" s="11"/>
      <c r="R1117" s="11"/>
      <c r="S1117" s="11"/>
      <c r="T1117" s="11"/>
      <c r="U1117" s="11"/>
      <c r="V1117" s="11"/>
      <c r="W1117" s="11"/>
      <c r="X1117" s="11"/>
      <c r="Y1117" s="11"/>
      <c r="Z1117" s="11"/>
      <c r="AA1117" s="11"/>
    </row>
    <row r="1118" ht="15.75" customHeight="1">
      <c r="A1118" s="737">
        <f t="shared" si="379"/>
        <v>0</v>
      </c>
      <c r="B1118" s="737">
        <f>A1118/'Orbit Info'!$G$10</f>
        <v>0</v>
      </c>
      <c r="C1118" s="737" t="str">
        <f t="shared" si="380"/>
        <v>Housekeeping and events only</v>
      </c>
      <c r="D1118" s="737">
        <f t="shared" si="381"/>
        <v>1</v>
      </c>
      <c r="E1118" s="737" t="str">
        <f t="shared" si="382"/>
        <v>#VALUE!</v>
      </c>
      <c r="F1118" s="737">
        <v>1.0</v>
      </c>
      <c r="G1118" s="737" t="str">
        <f t="shared" si="383"/>
        <v>#VALUE!</v>
      </c>
      <c r="H1118" s="737" t="str">
        <f>MIN($Q$11/('Orbit Info'!G$10),$Q$8*60)</f>
        <v>#VALUE!</v>
      </c>
      <c r="I1118" s="737" t="str">
        <f>IF(D1118=1,$Q$12/'Data DownlinkStorage Budget'!$M$3,0)</f>
        <v>#VALUE!</v>
      </c>
      <c r="J1118" s="737" t="str">
        <f t="shared" si="384"/>
        <v>#VALUE!</v>
      </c>
      <c r="K1118" s="11"/>
      <c r="L1118" s="737" t="str">
        <f t="shared" si="385"/>
        <v>FOUND product plus housekeeping</v>
      </c>
      <c r="M1118" s="737" t="str">
        <f>MIN($Q$18,$Q$10*60)-IF(D1118=1,$Q$17/'Data DownlinkStorage Budget'!$M$3,0)</f>
        <v>#VALUE!</v>
      </c>
      <c r="N1118" s="182"/>
      <c r="O1118" s="737" t="str">
        <f t="shared" si="386"/>
        <v>#VALUE!</v>
      </c>
      <c r="P1118" s="11"/>
      <c r="Q1118" s="11"/>
      <c r="R1118" s="11"/>
      <c r="S1118" s="11"/>
      <c r="T1118" s="11"/>
      <c r="U1118" s="11"/>
      <c r="V1118" s="11"/>
      <c r="W1118" s="11"/>
      <c r="X1118" s="11"/>
      <c r="Y1118" s="11"/>
      <c r="Z1118" s="11"/>
      <c r="AA1118" s="11"/>
    </row>
    <row r="1119" ht="15.75" customHeight="1">
      <c r="A1119" s="737">
        <f t="shared" si="379"/>
        <v>0</v>
      </c>
      <c r="B1119" s="737">
        <f>A1119/'Orbit Info'!$G$10</f>
        <v>0</v>
      </c>
      <c r="C1119" s="737" t="str">
        <f t="shared" si="380"/>
        <v>Housekeeping and events only</v>
      </c>
      <c r="D1119" s="737">
        <f t="shared" si="381"/>
        <v>1</v>
      </c>
      <c r="E1119" s="737" t="str">
        <f t="shared" si="382"/>
        <v>#VALUE!</v>
      </c>
      <c r="F1119" s="737">
        <v>1.0</v>
      </c>
      <c r="G1119" s="737" t="str">
        <f t="shared" si="383"/>
        <v>#VALUE!</v>
      </c>
      <c r="H1119" s="737" t="str">
        <f>MIN($Q$11/('Orbit Info'!G$10),$Q$8*60)</f>
        <v>#VALUE!</v>
      </c>
      <c r="I1119" s="737" t="str">
        <f>IF(D1119=1,$Q$12/'Data DownlinkStorage Budget'!$M$3,0)</f>
        <v>#VALUE!</v>
      </c>
      <c r="J1119" s="737" t="str">
        <f t="shared" si="384"/>
        <v>#VALUE!</v>
      </c>
      <c r="K1119" s="11"/>
      <c r="L1119" s="737" t="str">
        <f t="shared" si="385"/>
        <v>FOUND product plus housekeeping</v>
      </c>
      <c r="M1119" s="737" t="str">
        <f>MIN($Q$18,$Q$10*60)-IF(D1119=1,$Q$17/'Data DownlinkStorage Budget'!$M$3,0)</f>
        <v>#VALUE!</v>
      </c>
      <c r="N1119" s="182"/>
      <c r="O1119" s="737" t="str">
        <f t="shared" si="386"/>
        <v>#VALUE!</v>
      </c>
      <c r="P1119" s="11"/>
      <c r="Q1119" s="11"/>
      <c r="R1119" s="11"/>
      <c r="S1119" s="11"/>
      <c r="T1119" s="11"/>
      <c r="U1119" s="11"/>
      <c r="V1119" s="11"/>
      <c r="W1119" s="11"/>
      <c r="X1119" s="11"/>
      <c r="Y1119" s="11"/>
      <c r="Z1119" s="11"/>
      <c r="AA1119" s="11"/>
    </row>
    <row r="1120" ht="15.75" customHeight="1">
      <c r="A1120" s="737">
        <f t="shared" si="379"/>
        <v>0</v>
      </c>
      <c r="B1120" s="737">
        <f>A1120/'Orbit Info'!$G$10</f>
        <v>0</v>
      </c>
      <c r="C1120" s="737" t="str">
        <f t="shared" si="380"/>
        <v>Housekeeping and events only</v>
      </c>
      <c r="D1120" s="737">
        <f t="shared" si="381"/>
        <v>1</v>
      </c>
      <c r="E1120" s="737" t="str">
        <f t="shared" si="382"/>
        <v>#VALUE!</v>
      </c>
      <c r="F1120" s="737">
        <v>1.0</v>
      </c>
      <c r="G1120" s="737" t="str">
        <f t="shared" si="383"/>
        <v>#VALUE!</v>
      </c>
      <c r="H1120" s="737" t="str">
        <f>MIN($Q$11/('Orbit Info'!G$10),$Q$8*60)</f>
        <v>#VALUE!</v>
      </c>
      <c r="I1120" s="737" t="str">
        <f>IF(D1120=1,$Q$12/'Data DownlinkStorage Budget'!$M$3,0)</f>
        <v>#VALUE!</v>
      </c>
      <c r="J1120" s="737" t="str">
        <f t="shared" si="384"/>
        <v>#VALUE!</v>
      </c>
      <c r="K1120" s="11"/>
      <c r="L1120" s="737" t="str">
        <f t="shared" si="385"/>
        <v>FOUND product plus housekeeping</v>
      </c>
      <c r="M1120" s="737" t="str">
        <f>MIN($Q$18,$Q$10*60)-IF(D1120=1,$Q$17/'Data DownlinkStorage Budget'!$M$3,0)</f>
        <v>#VALUE!</v>
      </c>
      <c r="N1120" s="182"/>
      <c r="O1120" s="737" t="str">
        <f t="shared" si="386"/>
        <v>#VALUE!</v>
      </c>
      <c r="P1120" s="11"/>
      <c r="Q1120" s="11"/>
      <c r="R1120" s="11"/>
      <c r="S1120" s="11"/>
      <c r="T1120" s="11"/>
      <c r="U1120" s="11"/>
      <c r="V1120" s="11"/>
      <c r="W1120" s="11"/>
      <c r="X1120" s="11"/>
      <c r="Y1120" s="11"/>
      <c r="Z1120" s="11"/>
      <c r="AA1120" s="11"/>
    </row>
    <row r="1121" ht="15.75" customHeight="1">
      <c r="A1121" s="737">
        <f t="shared" si="379"/>
        <v>0</v>
      </c>
      <c r="B1121" s="737">
        <f>A1121/'Orbit Info'!$G$10</f>
        <v>0</v>
      </c>
      <c r="C1121" s="737" t="str">
        <f t="shared" si="380"/>
        <v>Housekeeping and events only</v>
      </c>
      <c r="D1121" s="737">
        <f t="shared" si="381"/>
        <v>1</v>
      </c>
      <c r="E1121" s="737" t="str">
        <f t="shared" si="382"/>
        <v>#VALUE!</v>
      </c>
      <c r="F1121" s="737">
        <v>1.0</v>
      </c>
      <c r="G1121" s="737" t="str">
        <f t="shared" si="383"/>
        <v>#VALUE!</v>
      </c>
      <c r="H1121" s="737" t="str">
        <f>MIN($Q$11/('Orbit Info'!G$10),$Q$8*60)</f>
        <v>#VALUE!</v>
      </c>
      <c r="I1121" s="737" t="str">
        <f>IF(D1121=1,$Q$12/'Data DownlinkStorage Budget'!$M$3,0)</f>
        <v>#VALUE!</v>
      </c>
      <c r="J1121" s="737" t="str">
        <f t="shared" si="384"/>
        <v>#VALUE!</v>
      </c>
      <c r="K1121" s="11"/>
      <c r="L1121" s="737" t="str">
        <f t="shared" si="385"/>
        <v>FOUND product plus housekeeping</v>
      </c>
      <c r="M1121" s="737" t="str">
        <f>MIN($Q$18,$Q$10*60)-IF(D1121=1,$Q$17/'Data DownlinkStorage Budget'!$M$3,0)</f>
        <v>#VALUE!</v>
      </c>
      <c r="N1121" s="182"/>
      <c r="O1121" s="737" t="str">
        <f t="shared" si="386"/>
        <v>#VALUE!</v>
      </c>
      <c r="P1121" s="11"/>
      <c r="Q1121" s="11"/>
      <c r="R1121" s="11"/>
      <c r="S1121" s="11"/>
      <c r="T1121" s="11"/>
      <c r="U1121" s="11"/>
      <c r="V1121" s="11"/>
      <c r="W1121" s="11"/>
      <c r="X1121" s="11"/>
      <c r="Y1121" s="11"/>
      <c r="Z1121" s="11"/>
      <c r="AA1121" s="11"/>
    </row>
    <row r="1122" ht="15.75" customHeight="1">
      <c r="A1122" s="737">
        <f t="shared" si="379"/>
        <v>0</v>
      </c>
      <c r="B1122" s="737">
        <f>A1122/'Orbit Info'!$G$10</f>
        <v>0</v>
      </c>
      <c r="C1122" s="737" t="str">
        <f t="shared" si="380"/>
        <v>Housekeeping and events only</v>
      </c>
      <c r="D1122" s="737">
        <f t="shared" si="381"/>
        <v>1</v>
      </c>
      <c r="E1122" s="737" t="str">
        <f t="shared" si="382"/>
        <v>#VALUE!</v>
      </c>
      <c r="F1122" s="737">
        <v>1.0</v>
      </c>
      <c r="G1122" s="737" t="str">
        <f t="shared" si="383"/>
        <v>#VALUE!</v>
      </c>
      <c r="H1122" s="737" t="str">
        <f>MIN($Q$11/('Orbit Info'!G$10),$Q$8*60)</f>
        <v>#VALUE!</v>
      </c>
      <c r="I1122" s="737" t="str">
        <f>IF(D1122=1,$Q$12/'Data DownlinkStorage Budget'!$M$3,0)</f>
        <v>#VALUE!</v>
      </c>
      <c r="J1122" s="737" t="str">
        <f t="shared" si="384"/>
        <v>#VALUE!</v>
      </c>
      <c r="K1122" s="11"/>
      <c r="L1122" s="737" t="str">
        <f t="shared" si="385"/>
        <v>FOUND product plus housekeeping</v>
      </c>
      <c r="M1122" s="737" t="str">
        <f>MIN($Q$18,$Q$10*60)-IF(D1122=1,$Q$17/'Data DownlinkStorage Budget'!$M$3,0)</f>
        <v>#VALUE!</v>
      </c>
      <c r="N1122" s="182"/>
      <c r="O1122" s="737" t="str">
        <f t="shared" si="386"/>
        <v>#VALUE!</v>
      </c>
      <c r="P1122" s="11"/>
      <c r="Q1122" s="11"/>
      <c r="R1122" s="11"/>
      <c r="S1122" s="11"/>
      <c r="T1122" s="11"/>
      <c r="U1122" s="11"/>
      <c r="V1122" s="11"/>
      <c r="W1122" s="11"/>
      <c r="X1122" s="11"/>
      <c r="Y1122" s="11"/>
      <c r="Z1122" s="11"/>
      <c r="AA1122" s="11"/>
    </row>
    <row r="1123" ht="15.75" customHeight="1">
      <c r="A1123" s="737">
        <f t="shared" si="379"/>
        <v>0</v>
      </c>
      <c r="B1123" s="737">
        <f>A1123/'Orbit Info'!$G$10</f>
        <v>0</v>
      </c>
      <c r="C1123" s="737" t="str">
        <f t="shared" si="380"/>
        <v>Housekeeping and events only</v>
      </c>
      <c r="D1123" s="737">
        <f t="shared" si="381"/>
        <v>1</v>
      </c>
      <c r="E1123" s="737" t="str">
        <f t="shared" si="382"/>
        <v>#VALUE!</v>
      </c>
      <c r="F1123" s="737">
        <v>1.0</v>
      </c>
      <c r="G1123" s="737" t="str">
        <f t="shared" si="383"/>
        <v>#VALUE!</v>
      </c>
      <c r="H1123" s="737" t="str">
        <f>MIN($Q$11/('Orbit Info'!G$10),$Q$8*60)</f>
        <v>#VALUE!</v>
      </c>
      <c r="I1123" s="737" t="str">
        <f>IF(D1123=1,$Q$12/'Data DownlinkStorage Budget'!$M$3,0)</f>
        <v>#VALUE!</v>
      </c>
      <c r="J1123" s="737" t="str">
        <f t="shared" si="384"/>
        <v>#VALUE!</v>
      </c>
      <c r="K1123" s="11"/>
      <c r="L1123" s="737" t="str">
        <f t="shared" si="385"/>
        <v>FOUND product plus housekeeping</v>
      </c>
      <c r="M1123" s="737" t="str">
        <f>MIN($Q$18,$Q$10*60)-IF(D1123=1,$Q$17/'Data DownlinkStorage Budget'!$M$3,0)</f>
        <v>#VALUE!</v>
      </c>
      <c r="N1123" s="182"/>
      <c r="O1123" s="737" t="str">
        <f t="shared" si="386"/>
        <v>#VALUE!</v>
      </c>
      <c r="P1123" s="11"/>
      <c r="Q1123" s="11"/>
      <c r="R1123" s="11"/>
      <c r="S1123" s="11"/>
      <c r="T1123" s="11"/>
      <c r="U1123" s="11"/>
      <c r="V1123" s="11"/>
      <c r="W1123" s="11"/>
      <c r="X1123" s="11"/>
      <c r="Y1123" s="11"/>
      <c r="Z1123" s="11"/>
      <c r="AA1123" s="11"/>
    </row>
    <row r="1124" ht="15.75" customHeight="1">
      <c r="A1124" s="737">
        <f t="shared" si="379"/>
        <v>0</v>
      </c>
      <c r="B1124" s="737">
        <f>A1124/'Orbit Info'!$G$10</f>
        <v>0</v>
      </c>
      <c r="C1124" s="737" t="str">
        <f t="shared" si="380"/>
        <v>Housekeeping and events only</v>
      </c>
      <c r="D1124" s="737">
        <f t="shared" si="381"/>
        <v>1</v>
      </c>
      <c r="E1124" s="737" t="str">
        <f t="shared" si="382"/>
        <v>#VALUE!</v>
      </c>
      <c r="F1124" s="737">
        <v>1.0</v>
      </c>
      <c r="G1124" s="737" t="str">
        <f t="shared" si="383"/>
        <v>#VALUE!</v>
      </c>
      <c r="H1124" s="737" t="str">
        <f>MIN($Q$11/('Orbit Info'!G$10),$Q$8*60)</f>
        <v>#VALUE!</v>
      </c>
      <c r="I1124" s="737" t="str">
        <f>IF(D1124=1,$Q$12/'Data DownlinkStorage Budget'!$M$3,0)</f>
        <v>#VALUE!</v>
      </c>
      <c r="J1124" s="737" t="str">
        <f t="shared" si="384"/>
        <v>#VALUE!</v>
      </c>
      <c r="K1124" s="11"/>
      <c r="L1124" s="737" t="str">
        <f t="shared" si="385"/>
        <v>FOUND product plus housekeeping</v>
      </c>
      <c r="M1124" s="737" t="str">
        <f>MIN($Q$18,$Q$10*60)-IF(D1124=1,$Q$17/'Data DownlinkStorage Budget'!$M$3,0)</f>
        <v>#VALUE!</v>
      </c>
      <c r="N1124" s="182"/>
      <c r="O1124" s="737" t="str">
        <f t="shared" si="386"/>
        <v>#VALUE!</v>
      </c>
      <c r="P1124" s="11"/>
      <c r="Q1124" s="11"/>
      <c r="R1124" s="11"/>
      <c r="S1124" s="11"/>
      <c r="T1124" s="11"/>
      <c r="U1124" s="11"/>
      <c r="V1124" s="11"/>
      <c r="W1124" s="11"/>
      <c r="X1124" s="11"/>
      <c r="Y1124" s="11"/>
      <c r="Z1124" s="11"/>
      <c r="AA1124" s="11"/>
    </row>
    <row r="1125" ht="15.75" customHeight="1">
      <c r="A1125" s="737">
        <f t="shared" si="379"/>
        <v>0</v>
      </c>
      <c r="B1125" s="737">
        <f>A1125/'Orbit Info'!$G$10</f>
        <v>0</v>
      </c>
      <c r="C1125" s="737" t="str">
        <f t="shared" si="380"/>
        <v>Housekeeping and events only</v>
      </c>
      <c r="D1125" s="737">
        <f t="shared" si="381"/>
        <v>1</v>
      </c>
      <c r="E1125" s="737" t="str">
        <f t="shared" si="382"/>
        <v>#VALUE!</v>
      </c>
      <c r="F1125" s="737">
        <v>1.0</v>
      </c>
      <c r="G1125" s="737" t="str">
        <f t="shared" si="383"/>
        <v>#VALUE!</v>
      </c>
      <c r="H1125" s="737" t="str">
        <f>MIN($Q$11/('Orbit Info'!G$10),$Q$8*60)</f>
        <v>#VALUE!</v>
      </c>
      <c r="I1125" s="737" t="str">
        <f>IF(D1125=1,$Q$12/'Data DownlinkStorage Budget'!$M$3,0)</f>
        <v>#VALUE!</v>
      </c>
      <c r="J1125" s="737" t="str">
        <f t="shared" si="384"/>
        <v>#VALUE!</v>
      </c>
      <c r="K1125" s="11"/>
      <c r="L1125" s="737" t="str">
        <f t="shared" si="385"/>
        <v>FOUND product plus housekeeping</v>
      </c>
      <c r="M1125" s="737" t="str">
        <f>MIN($Q$18,$Q$10*60)-IF(D1125=1,$Q$17/'Data DownlinkStorage Budget'!$M$3,0)</f>
        <v>#VALUE!</v>
      </c>
      <c r="N1125" s="182"/>
      <c r="O1125" s="737" t="str">
        <f t="shared" si="386"/>
        <v>#VALUE!</v>
      </c>
      <c r="P1125" s="11"/>
      <c r="Q1125" s="11"/>
      <c r="R1125" s="11"/>
      <c r="S1125" s="11"/>
      <c r="T1125" s="11"/>
      <c r="U1125" s="11"/>
      <c r="V1125" s="11"/>
      <c r="W1125" s="11"/>
      <c r="X1125" s="11"/>
      <c r="Y1125" s="11"/>
      <c r="Z1125" s="11"/>
      <c r="AA1125" s="11"/>
    </row>
    <row r="1126" ht="15.75" customHeight="1">
      <c r="A1126" s="737">
        <f t="shared" si="379"/>
        <v>0</v>
      </c>
      <c r="B1126" s="737">
        <f>A1126/'Orbit Info'!$G$10</f>
        <v>0</v>
      </c>
      <c r="C1126" s="737" t="str">
        <f t="shared" si="380"/>
        <v>Housekeeping and events only</v>
      </c>
      <c r="D1126" s="737">
        <f t="shared" si="381"/>
        <v>1</v>
      </c>
      <c r="E1126" s="737" t="str">
        <f t="shared" si="382"/>
        <v>#VALUE!</v>
      </c>
      <c r="F1126" s="737">
        <v>1.0</v>
      </c>
      <c r="G1126" s="737" t="str">
        <f t="shared" si="383"/>
        <v>#VALUE!</v>
      </c>
      <c r="H1126" s="737" t="str">
        <f>MIN($Q$11/('Orbit Info'!G$10),$Q$8*60)</f>
        <v>#VALUE!</v>
      </c>
      <c r="I1126" s="737" t="str">
        <f>IF(D1126=1,$Q$12/'Data DownlinkStorage Budget'!$M$3,0)</f>
        <v>#VALUE!</v>
      </c>
      <c r="J1126" s="737" t="str">
        <f t="shared" si="384"/>
        <v>#VALUE!</v>
      </c>
      <c r="K1126" s="11"/>
      <c r="L1126" s="737" t="str">
        <f t="shared" si="385"/>
        <v>FOUND product plus housekeeping</v>
      </c>
      <c r="M1126" s="737" t="str">
        <f>MIN($Q$18,$Q$10*60)-IF(D1126=1,$Q$17/'Data DownlinkStorage Budget'!$M$3,0)</f>
        <v>#VALUE!</v>
      </c>
      <c r="N1126" s="182"/>
      <c r="O1126" s="737" t="str">
        <f t="shared" si="386"/>
        <v>#VALUE!</v>
      </c>
      <c r="P1126" s="11"/>
      <c r="Q1126" s="11"/>
      <c r="R1126" s="11"/>
      <c r="S1126" s="11"/>
      <c r="T1126" s="11"/>
      <c r="U1126" s="11"/>
      <c r="V1126" s="11"/>
      <c r="W1126" s="11"/>
      <c r="X1126" s="11"/>
      <c r="Y1126" s="11"/>
      <c r="Z1126" s="11"/>
      <c r="AA1126" s="11"/>
    </row>
    <row r="1127" ht="15.75" customHeight="1">
      <c r="A1127" s="737">
        <f t="shared" si="379"/>
        <v>0</v>
      </c>
      <c r="B1127" s="737">
        <f>A1127/'Orbit Info'!$G$10</f>
        <v>0</v>
      </c>
      <c r="C1127" s="737" t="str">
        <f t="shared" si="380"/>
        <v>Housekeeping and events only</v>
      </c>
      <c r="D1127" s="737">
        <f t="shared" si="381"/>
        <v>1</v>
      </c>
      <c r="E1127" s="737" t="str">
        <f t="shared" si="382"/>
        <v>#VALUE!</v>
      </c>
      <c r="F1127" s="737">
        <v>1.0</v>
      </c>
      <c r="G1127" s="737" t="str">
        <f t="shared" si="383"/>
        <v>#VALUE!</v>
      </c>
      <c r="H1127" s="737" t="str">
        <f>MIN($Q$11/('Orbit Info'!G$10),$Q$8*60)</f>
        <v>#VALUE!</v>
      </c>
      <c r="I1127" s="737" t="str">
        <f>IF(D1127=1,$Q$12/'Data DownlinkStorage Budget'!$M$3,0)</f>
        <v>#VALUE!</v>
      </c>
      <c r="J1127" s="737" t="str">
        <f t="shared" si="384"/>
        <v>#VALUE!</v>
      </c>
      <c r="K1127" s="11"/>
      <c r="L1127" s="737" t="str">
        <f t="shared" si="385"/>
        <v>FOUND product plus housekeeping</v>
      </c>
      <c r="M1127" s="737" t="str">
        <f>MIN($Q$18,$Q$10*60)-IF(D1127=1,$Q$17/'Data DownlinkStorage Budget'!$M$3,0)</f>
        <v>#VALUE!</v>
      </c>
      <c r="N1127" s="182"/>
      <c r="O1127" s="737" t="str">
        <f t="shared" si="386"/>
        <v>#VALUE!</v>
      </c>
      <c r="P1127" s="11"/>
      <c r="Q1127" s="11"/>
      <c r="R1127" s="11"/>
      <c r="S1127" s="11"/>
      <c r="T1127" s="11"/>
      <c r="U1127" s="11"/>
      <c r="V1127" s="11"/>
      <c r="W1127" s="11"/>
      <c r="X1127" s="11"/>
      <c r="Y1127" s="11"/>
      <c r="Z1127" s="11"/>
      <c r="AA1127" s="11"/>
    </row>
    <row r="1128" ht="15.75" customHeight="1">
      <c r="A1128" s="737">
        <f t="shared" si="379"/>
        <v>0</v>
      </c>
      <c r="B1128" s="737">
        <f>A1128/'Orbit Info'!$G$10</f>
        <v>0</v>
      </c>
      <c r="C1128" s="737" t="str">
        <f t="shared" si="380"/>
        <v>Housekeeping and events only</v>
      </c>
      <c r="D1128" s="737">
        <f t="shared" si="381"/>
        <v>1</v>
      </c>
      <c r="E1128" s="737" t="str">
        <f t="shared" si="382"/>
        <v>#VALUE!</v>
      </c>
      <c r="F1128" s="737">
        <v>1.0</v>
      </c>
      <c r="G1128" s="737" t="str">
        <f t="shared" si="383"/>
        <v>#VALUE!</v>
      </c>
      <c r="H1128" s="737" t="str">
        <f>MIN($Q$11/('Orbit Info'!G$10),$Q$8*60)</f>
        <v>#VALUE!</v>
      </c>
      <c r="I1128" s="737" t="str">
        <f>IF(D1128=1,$Q$12/'Data DownlinkStorage Budget'!$M$3,0)</f>
        <v>#VALUE!</v>
      </c>
      <c r="J1128" s="737" t="str">
        <f t="shared" si="384"/>
        <v>#VALUE!</v>
      </c>
      <c r="K1128" s="11"/>
      <c r="L1128" s="737" t="str">
        <f t="shared" si="385"/>
        <v>FOUND product plus housekeeping</v>
      </c>
      <c r="M1128" s="737" t="str">
        <f>MIN($Q$18,$Q$10*60)-IF(D1128=1,$Q$17/'Data DownlinkStorage Budget'!$M$3,0)</f>
        <v>#VALUE!</v>
      </c>
      <c r="N1128" s="182"/>
      <c r="O1128" s="737" t="str">
        <f t="shared" si="386"/>
        <v>#VALUE!</v>
      </c>
      <c r="P1128" s="11"/>
      <c r="Q1128" s="11"/>
      <c r="R1128" s="11"/>
      <c r="S1128" s="11"/>
      <c r="T1128" s="11"/>
      <c r="U1128" s="11"/>
      <c r="V1128" s="11"/>
      <c r="W1128" s="11"/>
      <c r="X1128" s="11"/>
      <c r="Y1128" s="11"/>
      <c r="Z1128" s="11"/>
      <c r="AA1128" s="11"/>
    </row>
    <row r="1129" ht="15.75" customHeight="1">
      <c r="A1129" s="737">
        <f t="shared" si="379"/>
        <v>0</v>
      </c>
      <c r="B1129" s="737">
        <f>A1129/'Orbit Info'!$G$10</f>
        <v>0</v>
      </c>
      <c r="C1129" s="737" t="str">
        <f t="shared" si="380"/>
        <v>Housekeeping and events only</v>
      </c>
      <c r="D1129" s="737">
        <f t="shared" si="381"/>
        <v>1</v>
      </c>
      <c r="E1129" s="737" t="str">
        <f t="shared" si="382"/>
        <v>#VALUE!</v>
      </c>
      <c r="F1129" s="737">
        <v>1.0</v>
      </c>
      <c r="G1129" s="737" t="str">
        <f t="shared" si="383"/>
        <v>#VALUE!</v>
      </c>
      <c r="H1129" s="737" t="str">
        <f>MIN($Q$11/('Orbit Info'!G$10),$Q$8*60)</f>
        <v>#VALUE!</v>
      </c>
      <c r="I1129" s="737" t="str">
        <f>IF(D1129=1,$Q$12/'Data DownlinkStorage Budget'!$M$3,0)</f>
        <v>#VALUE!</v>
      </c>
      <c r="J1129" s="737" t="str">
        <f t="shared" si="384"/>
        <v>#VALUE!</v>
      </c>
      <c r="K1129" s="11"/>
      <c r="L1129" s="737" t="str">
        <f t="shared" si="385"/>
        <v>FOUND product plus housekeeping</v>
      </c>
      <c r="M1129" s="737" t="str">
        <f>MIN($Q$18,$Q$10*60)-IF(D1129=1,$Q$17/'Data DownlinkStorage Budget'!$M$3,0)</f>
        <v>#VALUE!</v>
      </c>
      <c r="N1129" s="182"/>
      <c r="O1129" s="737" t="str">
        <f t="shared" si="386"/>
        <v>#VALUE!</v>
      </c>
      <c r="P1129" s="11"/>
      <c r="Q1129" s="11"/>
      <c r="R1129" s="11"/>
      <c r="S1129" s="11"/>
      <c r="T1129" s="11"/>
      <c r="U1129" s="11"/>
      <c r="V1129" s="11"/>
      <c r="W1129" s="11"/>
      <c r="X1129" s="11"/>
      <c r="Y1129" s="11"/>
      <c r="Z1129" s="11"/>
      <c r="AA1129" s="11"/>
    </row>
    <row r="1130" ht="15.75" customHeight="1">
      <c r="A1130" s="737">
        <f t="shared" si="379"/>
        <v>0</v>
      </c>
      <c r="B1130" s="737">
        <f>A1130/'Orbit Info'!$G$10</f>
        <v>0</v>
      </c>
      <c r="C1130" s="737" t="str">
        <f t="shared" si="380"/>
        <v>Housekeeping and events only</v>
      </c>
      <c r="D1130" s="737">
        <f t="shared" si="381"/>
        <v>1</v>
      </c>
      <c r="E1130" s="737" t="str">
        <f t="shared" si="382"/>
        <v>#VALUE!</v>
      </c>
      <c r="F1130" s="737">
        <v>1.0</v>
      </c>
      <c r="G1130" s="737" t="str">
        <f t="shared" si="383"/>
        <v>#VALUE!</v>
      </c>
      <c r="H1130" s="737" t="str">
        <f>MIN($Q$11/('Orbit Info'!G$10),$Q$8*60)</f>
        <v>#VALUE!</v>
      </c>
      <c r="I1130" s="737" t="str">
        <f>IF(D1130=1,$Q$12/'Data DownlinkStorage Budget'!$M$3,0)</f>
        <v>#VALUE!</v>
      </c>
      <c r="J1130" s="737" t="str">
        <f t="shared" si="384"/>
        <v>#VALUE!</v>
      </c>
      <c r="K1130" s="11"/>
      <c r="L1130" s="737" t="str">
        <f t="shared" si="385"/>
        <v>FOUND product plus housekeeping</v>
      </c>
      <c r="M1130" s="737" t="str">
        <f>MIN($Q$18,$Q$10*60)-IF(D1130=1,$Q$17/'Data DownlinkStorage Budget'!$M$3,0)</f>
        <v>#VALUE!</v>
      </c>
      <c r="N1130" s="182"/>
      <c r="O1130" s="737" t="str">
        <f t="shared" si="386"/>
        <v>#VALUE!</v>
      </c>
      <c r="P1130" s="11"/>
      <c r="Q1130" s="11"/>
      <c r="R1130" s="11"/>
      <c r="S1130" s="11"/>
      <c r="T1130" s="11"/>
      <c r="U1130" s="11"/>
      <c r="V1130" s="11"/>
      <c r="W1130" s="11"/>
      <c r="X1130" s="11"/>
      <c r="Y1130" s="11"/>
      <c r="Z1130" s="11"/>
      <c r="AA1130" s="11"/>
    </row>
    <row r="1131" ht="15.75" customHeight="1">
      <c r="A1131" s="737">
        <f t="shared" si="379"/>
        <v>0</v>
      </c>
      <c r="B1131" s="737">
        <f>A1131/'Orbit Info'!$G$10</f>
        <v>0</v>
      </c>
      <c r="C1131" s="737" t="str">
        <f t="shared" si="380"/>
        <v>Housekeeping and events only</v>
      </c>
      <c r="D1131" s="737">
        <f t="shared" si="381"/>
        <v>1</v>
      </c>
      <c r="E1131" s="737" t="str">
        <f t="shared" si="382"/>
        <v>#VALUE!</v>
      </c>
      <c r="F1131" s="737">
        <v>1.0</v>
      </c>
      <c r="G1131" s="737" t="str">
        <f t="shared" si="383"/>
        <v>#VALUE!</v>
      </c>
      <c r="H1131" s="737" t="str">
        <f>MIN($Q$11/('Orbit Info'!G$10),$Q$8*60)</f>
        <v>#VALUE!</v>
      </c>
      <c r="I1131" s="737" t="str">
        <f>IF(D1131=1,$Q$12/'Data DownlinkStorage Budget'!$M$3,0)</f>
        <v>#VALUE!</v>
      </c>
      <c r="J1131" s="737" t="str">
        <f t="shared" si="384"/>
        <v>#VALUE!</v>
      </c>
      <c r="K1131" s="11"/>
      <c r="L1131" s="737" t="str">
        <f t="shared" si="385"/>
        <v>FOUND product plus housekeeping</v>
      </c>
      <c r="M1131" s="737" t="str">
        <f>MIN($Q$18,$Q$10*60)-IF(D1131=1,$Q$17/'Data DownlinkStorage Budget'!$M$3,0)</f>
        <v>#VALUE!</v>
      </c>
      <c r="N1131" s="182"/>
      <c r="O1131" s="737" t="str">
        <f t="shared" si="386"/>
        <v>#VALUE!</v>
      </c>
      <c r="P1131" s="11"/>
      <c r="Q1131" s="11"/>
      <c r="R1131" s="11"/>
      <c r="S1131" s="11"/>
      <c r="T1131" s="11"/>
      <c r="U1131" s="11"/>
      <c r="V1131" s="11"/>
      <c r="W1131" s="11"/>
      <c r="X1131" s="11"/>
      <c r="Y1131" s="11"/>
      <c r="Z1131" s="11"/>
      <c r="AA1131" s="11"/>
    </row>
    <row r="1132" ht="15.75" customHeight="1">
      <c r="A1132" s="737">
        <f t="shared" si="379"/>
        <v>0</v>
      </c>
      <c r="B1132" s="737">
        <f>A1132/'Orbit Info'!$G$10</f>
        <v>0</v>
      </c>
      <c r="C1132" s="737" t="str">
        <f t="shared" si="380"/>
        <v>Housekeeping and events only</v>
      </c>
      <c r="D1132" s="737">
        <f t="shared" si="381"/>
        <v>1</v>
      </c>
      <c r="E1132" s="737" t="str">
        <f t="shared" si="382"/>
        <v>#VALUE!</v>
      </c>
      <c r="F1132" s="737">
        <v>1.0</v>
      </c>
      <c r="G1132" s="737" t="str">
        <f t="shared" si="383"/>
        <v>#VALUE!</v>
      </c>
      <c r="H1132" s="737" t="str">
        <f>MIN($Q$11/('Orbit Info'!G$10),$Q$8*60)</f>
        <v>#VALUE!</v>
      </c>
      <c r="I1132" s="737" t="str">
        <f>IF(D1132=1,$Q$12/'Data DownlinkStorage Budget'!$M$3,0)</f>
        <v>#VALUE!</v>
      </c>
      <c r="J1132" s="737" t="str">
        <f t="shared" si="384"/>
        <v>#VALUE!</v>
      </c>
      <c r="K1132" s="11"/>
      <c r="L1132" s="737" t="str">
        <f t="shared" si="385"/>
        <v>FOUND product plus housekeeping</v>
      </c>
      <c r="M1132" s="737" t="str">
        <f>MIN($Q$18,$Q$10*60)-IF(D1132=1,$Q$17/'Data DownlinkStorage Budget'!$M$3,0)</f>
        <v>#VALUE!</v>
      </c>
      <c r="N1132" s="182"/>
      <c r="O1132" s="737" t="str">
        <f t="shared" si="386"/>
        <v>#VALUE!</v>
      </c>
      <c r="P1132" s="11"/>
      <c r="Q1132" s="11"/>
      <c r="R1132" s="11"/>
      <c r="S1132" s="11"/>
      <c r="T1132" s="11"/>
      <c r="U1132" s="11"/>
      <c r="V1132" s="11"/>
      <c r="W1132" s="11"/>
      <c r="X1132" s="11"/>
      <c r="Y1132" s="11"/>
      <c r="Z1132" s="11"/>
      <c r="AA1132" s="11"/>
    </row>
    <row r="1133" ht="15.75" customHeight="1">
      <c r="A1133" s="737">
        <f t="shared" si="379"/>
        <v>0</v>
      </c>
      <c r="B1133" s="737">
        <f>A1133/'Orbit Info'!$G$10</f>
        <v>0</v>
      </c>
      <c r="C1133" s="737" t="str">
        <f t="shared" si="380"/>
        <v>Housekeeping and events only</v>
      </c>
      <c r="D1133" s="737">
        <f t="shared" si="381"/>
        <v>1</v>
      </c>
      <c r="E1133" s="737" t="str">
        <f t="shared" si="382"/>
        <v>#VALUE!</v>
      </c>
      <c r="F1133" s="737">
        <v>1.0</v>
      </c>
      <c r="G1133" s="737" t="str">
        <f t="shared" si="383"/>
        <v>#VALUE!</v>
      </c>
      <c r="H1133" s="737" t="str">
        <f>MIN($Q$11/('Orbit Info'!G$10),$Q$8*60)</f>
        <v>#VALUE!</v>
      </c>
      <c r="I1133" s="737" t="str">
        <f>IF(D1133=1,$Q$12/'Data DownlinkStorage Budget'!$M$3,0)</f>
        <v>#VALUE!</v>
      </c>
      <c r="J1133" s="737" t="str">
        <f t="shared" si="384"/>
        <v>#VALUE!</v>
      </c>
      <c r="K1133" s="11"/>
      <c r="L1133" s="737" t="str">
        <f t="shared" si="385"/>
        <v>FOUND product plus housekeeping</v>
      </c>
      <c r="M1133" s="737" t="str">
        <f>MIN($Q$18,$Q$10*60)-IF(D1133=1,$Q$17/'Data DownlinkStorage Budget'!$M$3,0)</f>
        <v>#VALUE!</v>
      </c>
      <c r="N1133" s="182"/>
      <c r="O1133" s="737" t="str">
        <f t="shared" si="386"/>
        <v>#VALUE!</v>
      </c>
      <c r="P1133" s="11"/>
      <c r="Q1133" s="11"/>
      <c r="R1133" s="11"/>
      <c r="S1133" s="11"/>
      <c r="T1133" s="11"/>
      <c r="U1133" s="11"/>
      <c r="V1133" s="11"/>
      <c r="W1133" s="11"/>
      <c r="X1133" s="11"/>
      <c r="Y1133" s="11"/>
      <c r="Z1133" s="11"/>
      <c r="AA1133" s="11"/>
    </row>
    <row r="1134" ht="15.75" customHeight="1">
      <c r="A1134" s="737">
        <f t="shared" si="379"/>
        <v>0</v>
      </c>
      <c r="B1134" s="737">
        <f>A1134/'Orbit Info'!$G$10</f>
        <v>0</v>
      </c>
      <c r="C1134" s="737" t="str">
        <f t="shared" si="380"/>
        <v>Housekeeping and events only</v>
      </c>
      <c r="D1134" s="737">
        <f t="shared" si="381"/>
        <v>1</v>
      </c>
      <c r="E1134" s="737" t="str">
        <f t="shared" si="382"/>
        <v>#VALUE!</v>
      </c>
      <c r="F1134" s="737">
        <v>1.0</v>
      </c>
      <c r="G1134" s="737" t="str">
        <f t="shared" si="383"/>
        <v>#VALUE!</v>
      </c>
      <c r="H1134" s="737" t="str">
        <f>MIN($Q$11/('Orbit Info'!G$10),$Q$8*60)</f>
        <v>#VALUE!</v>
      </c>
      <c r="I1134" s="737" t="str">
        <f>IF(D1134=1,$Q$12/'Data DownlinkStorage Budget'!$M$3,0)</f>
        <v>#VALUE!</v>
      </c>
      <c r="J1134" s="737" t="str">
        <f t="shared" si="384"/>
        <v>#VALUE!</v>
      </c>
      <c r="K1134" s="11"/>
      <c r="L1134" s="737" t="str">
        <f t="shared" si="385"/>
        <v>FOUND product plus housekeeping</v>
      </c>
      <c r="M1134" s="737" t="str">
        <f>MIN($Q$18,$Q$10*60)-IF(D1134=1,$Q$17/'Data DownlinkStorage Budget'!$M$3,0)</f>
        <v>#VALUE!</v>
      </c>
      <c r="N1134" s="182"/>
      <c r="O1134" s="737" t="str">
        <f t="shared" si="386"/>
        <v>#VALUE!</v>
      </c>
      <c r="P1134" s="11"/>
      <c r="Q1134" s="11"/>
      <c r="R1134" s="11"/>
      <c r="S1134" s="11"/>
      <c r="T1134" s="11"/>
      <c r="U1134" s="11"/>
      <c r="V1134" s="11"/>
      <c r="W1134" s="11"/>
      <c r="X1134" s="11"/>
      <c r="Y1134" s="11"/>
      <c r="Z1134" s="11"/>
      <c r="AA1134" s="11"/>
    </row>
    <row r="1135" ht="15.75" customHeight="1">
      <c r="A1135" s="737">
        <f t="shared" si="379"/>
        <v>0</v>
      </c>
      <c r="B1135" s="737">
        <f>A1135/'Orbit Info'!$G$10</f>
        <v>0</v>
      </c>
      <c r="C1135" s="737" t="str">
        <f t="shared" si="380"/>
        <v>Housekeeping and events only</v>
      </c>
      <c r="D1135" s="737">
        <f t="shared" si="381"/>
        <v>1</v>
      </c>
      <c r="E1135" s="737" t="str">
        <f t="shared" si="382"/>
        <v>#VALUE!</v>
      </c>
      <c r="F1135" s="737">
        <v>1.0</v>
      </c>
      <c r="G1135" s="737" t="str">
        <f t="shared" si="383"/>
        <v>#VALUE!</v>
      </c>
      <c r="H1135" s="737" t="str">
        <f>MIN($Q$11/('Orbit Info'!G$10),$Q$8*60)</f>
        <v>#VALUE!</v>
      </c>
      <c r="I1135" s="737" t="str">
        <f>IF(D1135=1,$Q$12/'Data DownlinkStorage Budget'!$M$3,0)</f>
        <v>#VALUE!</v>
      </c>
      <c r="J1135" s="737" t="str">
        <f t="shared" si="384"/>
        <v>#VALUE!</v>
      </c>
      <c r="K1135" s="11"/>
      <c r="L1135" s="737" t="str">
        <f t="shared" si="385"/>
        <v>FOUND product plus housekeeping</v>
      </c>
      <c r="M1135" s="737" t="str">
        <f>MIN($Q$18,$Q$10*60)-IF(D1135=1,$Q$17/'Data DownlinkStorage Budget'!$M$3,0)</f>
        <v>#VALUE!</v>
      </c>
      <c r="N1135" s="182"/>
      <c r="O1135" s="737" t="str">
        <f t="shared" si="386"/>
        <v>#VALUE!</v>
      </c>
      <c r="P1135" s="11"/>
      <c r="Q1135" s="11"/>
      <c r="R1135" s="11"/>
      <c r="S1135" s="11"/>
      <c r="T1135" s="11"/>
      <c r="U1135" s="11"/>
      <c r="V1135" s="11"/>
      <c r="W1135" s="11"/>
      <c r="X1135" s="11"/>
      <c r="Y1135" s="11"/>
      <c r="Z1135" s="11"/>
      <c r="AA1135" s="11"/>
    </row>
    <row r="1136" ht="15.75" customHeight="1">
      <c r="A1136" s="737">
        <f t="shared" si="379"/>
        <v>0</v>
      </c>
      <c r="B1136" s="737">
        <f>A1136/'Orbit Info'!$G$10</f>
        <v>0</v>
      </c>
      <c r="C1136" s="737" t="str">
        <f t="shared" si="380"/>
        <v>Housekeeping and events only</v>
      </c>
      <c r="D1136" s="737">
        <f t="shared" si="381"/>
        <v>1</v>
      </c>
      <c r="E1136" s="737" t="str">
        <f t="shared" si="382"/>
        <v>#VALUE!</v>
      </c>
      <c r="F1136" s="737">
        <v>1.0</v>
      </c>
      <c r="G1136" s="737" t="str">
        <f t="shared" si="383"/>
        <v>#VALUE!</v>
      </c>
      <c r="H1136" s="737" t="str">
        <f>MIN($Q$11/('Orbit Info'!G$10),$Q$8*60)</f>
        <v>#VALUE!</v>
      </c>
      <c r="I1136" s="737" t="str">
        <f>IF(D1136=1,$Q$12/'Data DownlinkStorage Budget'!$M$3,0)</f>
        <v>#VALUE!</v>
      </c>
      <c r="J1136" s="737" t="str">
        <f t="shared" si="384"/>
        <v>#VALUE!</v>
      </c>
      <c r="K1136" s="11"/>
      <c r="L1136" s="737" t="str">
        <f t="shared" si="385"/>
        <v>FOUND product plus housekeeping</v>
      </c>
      <c r="M1136" s="737" t="str">
        <f>MIN($Q$18,$Q$10*60)-IF(D1136=1,$Q$17/'Data DownlinkStorage Budget'!$M$3,0)</f>
        <v>#VALUE!</v>
      </c>
      <c r="N1136" s="182"/>
      <c r="O1136" s="737" t="str">
        <f t="shared" si="386"/>
        <v>#VALUE!</v>
      </c>
      <c r="P1136" s="11"/>
      <c r="Q1136" s="11"/>
      <c r="R1136" s="11"/>
      <c r="S1136" s="11"/>
      <c r="T1136" s="11"/>
      <c r="U1136" s="11"/>
      <c r="V1136" s="11"/>
      <c r="W1136" s="11"/>
      <c r="X1136" s="11"/>
      <c r="Y1136" s="11"/>
      <c r="Z1136" s="11"/>
      <c r="AA1136" s="11"/>
    </row>
    <row r="1137" ht="15.75" customHeight="1">
      <c r="A1137" s="737">
        <f t="shared" si="379"/>
        <v>0</v>
      </c>
      <c r="B1137" s="737">
        <f>A1137/'Orbit Info'!$G$10</f>
        <v>0</v>
      </c>
      <c r="C1137" s="737" t="str">
        <f t="shared" si="380"/>
        <v>Housekeeping and events only</v>
      </c>
      <c r="D1137" s="737">
        <f t="shared" si="381"/>
        <v>1</v>
      </c>
      <c r="E1137" s="737" t="str">
        <f t="shared" si="382"/>
        <v>#VALUE!</v>
      </c>
      <c r="F1137" s="737">
        <v>1.0</v>
      </c>
      <c r="G1137" s="737" t="str">
        <f t="shared" si="383"/>
        <v>#VALUE!</v>
      </c>
      <c r="H1137" s="737" t="str">
        <f>MIN($Q$11/('Orbit Info'!G$10),$Q$8*60)</f>
        <v>#VALUE!</v>
      </c>
      <c r="I1137" s="737" t="str">
        <f>IF(D1137=1,$Q$12/'Data DownlinkStorage Budget'!$M$3,0)</f>
        <v>#VALUE!</v>
      </c>
      <c r="J1137" s="737" t="str">
        <f t="shared" si="384"/>
        <v>#VALUE!</v>
      </c>
      <c r="K1137" s="11"/>
      <c r="L1137" s="737" t="str">
        <f t="shared" si="385"/>
        <v>FOUND product plus housekeeping</v>
      </c>
      <c r="M1137" s="737" t="str">
        <f>MIN($Q$18,$Q$10*60)-IF(D1137=1,$Q$17/'Data DownlinkStorage Budget'!$M$3,0)</f>
        <v>#VALUE!</v>
      </c>
      <c r="N1137" s="182"/>
      <c r="O1137" s="737" t="str">
        <f t="shared" si="386"/>
        <v>#VALUE!</v>
      </c>
      <c r="P1137" s="11"/>
      <c r="Q1137" s="11"/>
      <c r="R1137" s="11"/>
      <c r="S1137" s="11"/>
      <c r="T1137" s="11"/>
      <c r="U1137" s="11"/>
      <c r="V1137" s="11"/>
      <c r="W1137" s="11"/>
      <c r="X1137" s="11"/>
      <c r="Y1137" s="11"/>
      <c r="Z1137" s="11"/>
      <c r="AA1137" s="11"/>
    </row>
    <row r="1138" ht="15.75" customHeight="1">
      <c r="A1138" s="737">
        <f t="shared" si="379"/>
        <v>0</v>
      </c>
      <c r="B1138" s="737">
        <f>A1138/'Orbit Info'!$G$10</f>
        <v>0</v>
      </c>
      <c r="C1138" s="737" t="str">
        <f t="shared" si="380"/>
        <v>Housekeeping and events only</v>
      </c>
      <c r="D1138" s="737">
        <f t="shared" si="381"/>
        <v>1</v>
      </c>
      <c r="E1138" s="737" t="str">
        <f t="shared" si="382"/>
        <v>#VALUE!</v>
      </c>
      <c r="F1138" s="737">
        <v>1.0</v>
      </c>
      <c r="G1138" s="737" t="str">
        <f t="shared" si="383"/>
        <v>#VALUE!</v>
      </c>
      <c r="H1138" s="737" t="str">
        <f>MIN($Q$11/('Orbit Info'!G$10),$Q$8*60)</f>
        <v>#VALUE!</v>
      </c>
      <c r="I1138" s="737" t="str">
        <f>IF(D1138=1,$Q$12/'Data DownlinkStorage Budget'!$M$3,0)</f>
        <v>#VALUE!</v>
      </c>
      <c r="J1138" s="737" t="str">
        <f t="shared" si="384"/>
        <v>#VALUE!</v>
      </c>
      <c r="K1138" s="11"/>
      <c r="L1138" s="737" t="str">
        <f t="shared" si="385"/>
        <v>FOUND product plus housekeeping</v>
      </c>
      <c r="M1138" s="737" t="str">
        <f>MIN($Q$18,$Q$10*60)-IF(D1138=1,$Q$17/'Data DownlinkStorage Budget'!$M$3,0)</f>
        <v>#VALUE!</v>
      </c>
      <c r="N1138" s="182"/>
      <c r="O1138" s="737" t="str">
        <f t="shared" si="386"/>
        <v>#VALUE!</v>
      </c>
      <c r="P1138" s="11"/>
      <c r="Q1138" s="11"/>
      <c r="R1138" s="11"/>
      <c r="S1138" s="11"/>
      <c r="T1138" s="11"/>
      <c r="U1138" s="11"/>
      <c r="V1138" s="11"/>
      <c r="W1138" s="11"/>
      <c r="X1138" s="11"/>
      <c r="Y1138" s="11"/>
      <c r="Z1138" s="11"/>
      <c r="AA1138" s="11"/>
    </row>
    <row r="1139" ht="15.75" customHeight="1">
      <c r="A1139" s="737">
        <f t="shared" si="379"/>
        <v>0</v>
      </c>
      <c r="B1139" s="737">
        <f>A1139/'Orbit Info'!$G$10</f>
        <v>0</v>
      </c>
      <c r="C1139" s="737" t="str">
        <f t="shared" si="380"/>
        <v>Housekeeping and events only</v>
      </c>
      <c r="D1139" s="737">
        <f t="shared" si="381"/>
        <v>1</v>
      </c>
      <c r="E1139" s="737" t="str">
        <f t="shared" si="382"/>
        <v>#VALUE!</v>
      </c>
      <c r="F1139" s="737">
        <v>1.0</v>
      </c>
      <c r="G1139" s="737" t="str">
        <f t="shared" si="383"/>
        <v>#VALUE!</v>
      </c>
      <c r="H1139" s="737" t="str">
        <f>MIN($Q$11/('Orbit Info'!G$10),$Q$8*60)</f>
        <v>#VALUE!</v>
      </c>
      <c r="I1139" s="737" t="str">
        <f>IF(D1139=1,$Q$12/'Data DownlinkStorage Budget'!$M$3,0)</f>
        <v>#VALUE!</v>
      </c>
      <c r="J1139" s="737" t="str">
        <f t="shared" si="384"/>
        <v>#VALUE!</v>
      </c>
      <c r="K1139" s="11"/>
      <c r="L1139" s="737" t="str">
        <f t="shared" si="385"/>
        <v>FOUND product plus housekeeping</v>
      </c>
      <c r="M1139" s="737" t="str">
        <f>MIN($Q$18,$Q$10*60)-IF(D1139=1,$Q$17/'Data DownlinkStorage Budget'!$M$3,0)</f>
        <v>#VALUE!</v>
      </c>
      <c r="N1139" s="182"/>
      <c r="O1139" s="737" t="str">
        <f t="shared" si="386"/>
        <v>#VALUE!</v>
      </c>
      <c r="P1139" s="11"/>
      <c r="Q1139" s="11"/>
      <c r="R1139" s="11"/>
      <c r="S1139" s="11"/>
      <c r="T1139" s="11"/>
      <c r="U1139" s="11"/>
      <c r="V1139" s="11"/>
      <c r="W1139" s="11"/>
      <c r="X1139" s="11"/>
      <c r="Y1139" s="11"/>
      <c r="Z1139" s="11"/>
      <c r="AA1139" s="11"/>
    </row>
    <row r="1140" ht="15.75" customHeight="1">
      <c r="A1140" s="737">
        <f t="shared" si="379"/>
        <v>0</v>
      </c>
      <c r="B1140" s="737">
        <f>A1140/'Orbit Info'!$G$10</f>
        <v>0</v>
      </c>
      <c r="C1140" s="737" t="str">
        <f t="shared" si="380"/>
        <v>Housekeeping and events only</v>
      </c>
      <c r="D1140" s="737">
        <f t="shared" si="381"/>
        <v>1</v>
      </c>
      <c r="E1140" s="737" t="str">
        <f t="shared" si="382"/>
        <v>#VALUE!</v>
      </c>
      <c r="F1140" s="737">
        <v>1.0</v>
      </c>
      <c r="G1140" s="737" t="str">
        <f t="shared" si="383"/>
        <v>#VALUE!</v>
      </c>
      <c r="H1140" s="737" t="str">
        <f>MIN($Q$11/('Orbit Info'!G$10),$Q$8*60)</f>
        <v>#VALUE!</v>
      </c>
      <c r="I1140" s="737" t="str">
        <f>IF(D1140=1,$Q$12/'Data DownlinkStorage Budget'!$M$3,0)</f>
        <v>#VALUE!</v>
      </c>
      <c r="J1140" s="737" t="str">
        <f t="shared" si="384"/>
        <v>#VALUE!</v>
      </c>
      <c r="K1140" s="11"/>
      <c r="L1140" s="737" t="str">
        <f t="shared" si="385"/>
        <v>FOUND product plus housekeeping</v>
      </c>
      <c r="M1140" s="737" t="str">
        <f>MIN($Q$18,$Q$10*60)-IF(D1140=1,$Q$17/'Data DownlinkStorage Budget'!$M$3,0)</f>
        <v>#VALUE!</v>
      </c>
      <c r="N1140" s="182"/>
      <c r="O1140" s="737" t="str">
        <f t="shared" si="386"/>
        <v>#VALUE!</v>
      </c>
      <c r="P1140" s="11"/>
      <c r="Q1140" s="11"/>
      <c r="R1140" s="11"/>
      <c r="S1140" s="11"/>
      <c r="T1140" s="11"/>
      <c r="U1140" s="11"/>
      <c r="V1140" s="11"/>
      <c r="W1140" s="11"/>
      <c r="X1140" s="11"/>
      <c r="Y1140" s="11"/>
      <c r="Z1140" s="11"/>
      <c r="AA1140" s="11"/>
    </row>
    <row r="1141" ht="15.75" customHeight="1">
      <c r="A1141" s="737">
        <f t="shared" si="379"/>
        <v>0</v>
      </c>
      <c r="B1141" s="737">
        <f>A1141/'Orbit Info'!$G$10</f>
        <v>0</v>
      </c>
      <c r="C1141" s="737" t="str">
        <f t="shared" si="380"/>
        <v>Housekeeping and events only</v>
      </c>
      <c r="D1141" s="737">
        <f t="shared" si="381"/>
        <v>1</v>
      </c>
      <c r="E1141" s="737" t="str">
        <f t="shared" si="382"/>
        <v>#VALUE!</v>
      </c>
      <c r="F1141" s="737">
        <v>1.0</v>
      </c>
      <c r="G1141" s="737" t="str">
        <f t="shared" si="383"/>
        <v>#VALUE!</v>
      </c>
      <c r="H1141" s="737" t="str">
        <f>MIN($Q$11/('Orbit Info'!G$10),$Q$8*60)</f>
        <v>#VALUE!</v>
      </c>
      <c r="I1141" s="737" t="str">
        <f>IF(D1141=1,$Q$12/'Data DownlinkStorage Budget'!$M$3,0)</f>
        <v>#VALUE!</v>
      </c>
      <c r="J1141" s="737" t="str">
        <f t="shared" si="384"/>
        <v>#VALUE!</v>
      </c>
      <c r="K1141" s="11"/>
      <c r="L1141" s="737" t="str">
        <f t="shared" si="385"/>
        <v>FOUND product plus housekeeping</v>
      </c>
      <c r="M1141" s="737" t="str">
        <f>MIN($Q$18,$Q$10*60)-IF(D1141=1,$Q$17/'Data DownlinkStorage Budget'!$M$3,0)</f>
        <v>#VALUE!</v>
      </c>
      <c r="N1141" s="182"/>
      <c r="O1141" s="737" t="str">
        <f t="shared" si="386"/>
        <v>#VALUE!</v>
      </c>
      <c r="P1141" s="11"/>
      <c r="Q1141" s="11"/>
      <c r="R1141" s="11"/>
      <c r="S1141" s="11"/>
      <c r="T1141" s="11"/>
      <c r="U1141" s="11"/>
      <c r="V1141" s="11"/>
      <c r="W1141" s="11"/>
      <c r="X1141" s="11"/>
      <c r="Y1141" s="11"/>
      <c r="Z1141" s="11"/>
      <c r="AA1141" s="11"/>
    </row>
    <row r="1142" ht="15.75" customHeight="1">
      <c r="A1142" s="737">
        <f t="shared" si="379"/>
        <v>0</v>
      </c>
      <c r="B1142" s="737">
        <f>A1142/'Orbit Info'!$G$10</f>
        <v>0</v>
      </c>
      <c r="C1142" s="737" t="str">
        <f t="shared" si="380"/>
        <v>Housekeeping and events only</v>
      </c>
      <c r="D1142" s="737">
        <f t="shared" si="381"/>
        <v>1</v>
      </c>
      <c r="E1142" s="737" t="str">
        <f t="shared" si="382"/>
        <v>#VALUE!</v>
      </c>
      <c r="F1142" s="737">
        <v>1.0</v>
      </c>
      <c r="G1142" s="737" t="str">
        <f t="shared" si="383"/>
        <v>#VALUE!</v>
      </c>
      <c r="H1142" s="737" t="str">
        <f>MIN($Q$11/('Orbit Info'!G$10),$Q$8*60)</f>
        <v>#VALUE!</v>
      </c>
      <c r="I1142" s="737" t="str">
        <f>IF(D1142=1,$Q$12/'Data DownlinkStorage Budget'!$M$3,0)</f>
        <v>#VALUE!</v>
      </c>
      <c r="J1142" s="737" t="str">
        <f t="shared" si="384"/>
        <v>#VALUE!</v>
      </c>
      <c r="K1142" s="11"/>
      <c r="L1142" s="737" t="str">
        <f t="shared" si="385"/>
        <v>FOUND product plus housekeeping</v>
      </c>
      <c r="M1142" s="737" t="str">
        <f>MIN($Q$18,$Q$10*60)-IF(D1142=1,$Q$17/'Data DownlinkStorage Budget'!$M$3,0)</f>
        <v>#VALUE!</v>
      </c>
      <c r="N1142" s="182"/>
      <c r="O1142" s="737" t="str">
        <f t="shared" si="386"/>
        <v>#VALUE!</v>
      </c>
      <c r="P1142" s="11"/>
      <c r="Q1142" s="11"/>
      <c r="R1142" s="11"/>
      <c r="S1142" s="11"/>
      <c r="T1142" s="11"/>
      <c r="U1142" s="11"/>
      <c r="V1142" s="11"/>
      <c r="W1142" s="11"/>
      <c r="X1142" s="11"/>
      <c r="Y1142" s="11"/>
      <c r="Z1142" s="11"/>
      <c r="AA1142" s="11"/>
    </row>
    <row r="1143" ht="15.75" customHeight="1">
      <c r="A1143" s="737">
        <f t="shared" si="379"/>
        <v>0</v>
      </c>
      <c r="B1143" s="737">
        <f>A1143/'Orbit Info'!$G$10</f>
        <v>0</v>
      </c>
      <c r="C1143" s="737" t="str">
        <f t="shared" si="380"/>
        <v>Housekeeping and events only</v>
      </c>
      <c r="D1143" s="737">
        <f t="shared" si="381"/>
        <v>1</v>
      </c>
      <c r="E1143" s="737" t="str">
        <f t="shared" si="382"/>
        <v>#VALUE!</v>
      </c>
      <c r="F1143" s="737">
        <v>1.0</v>
      </c>
      <c r="G1143" s="737" t="str">
        <f t="shared" si="383"/>
        <v>#VALUE!</v>
      </c>
      <c r="H1143" s="737" t="str">
        <f>MIN($Q$11/('Orbit Info'!G$10),$Q$8*60)</f>
        <v>#VALUE!</v>
      </c>
      <c r="I1143" s="737" t="str">
        <f>IF(D1143=1,$Q$12/'Data DownlinkStorage Budget'!$M$3,0)</f>
        <v>#VALUE!</v>
      </c>
      <c r="J1143" s="737" t="str">
        <f t="shared" si="384"/>
        <v>#VALUE!</v>
      </c>
      <c r="K1143" s="11"/>
      <c r="L1143" s="737" t="str">
        <f t="shared" si="385"/>
        <v>FOUND product plus housekeeping</v>
      </c>
      <c r="M1143" s="737" t="str">
        <f>MIN($Q$18,$Q$10*60)-IF(D1143=1,$Q$17/'Data DownlinkStorage Budget'!$M$3,0)</f>
        <v>#VALUE!</v>
      </c>
      <c r="N1143" s="182"/>
      <c r="O1143" s="737" t="str">
        <f t="shared" si="386"/>
        <v>#VALUE!</v>
      </c>
      <c r="P1143" s="11"/>
      <c r="Q1143" s="11"/>
      <c r="R1143" s="11"/>
      <c r="S1143" s="11"/>
      <c r="T1143" s="11"/>
      <c r="U1143" s="11"/>
      <c r="V1143" s="11"/>
      <c r="W1143" s="11"/>
      <c r="X1143" s="11"/>
      <c r="Y1143" s="11"/>
      <c r="Z1143" s="11"/>
      <c r="AA1143" s="11"/>
    </row>
    <row r="1144" ht="15.75" customHeight="1">
      <c r="A1144" s="737">
        <f t="shared" si="379"/>
        <v>0</v>
      </c>
      <c r="B1144" s="737">
        <f>A1144/'Orbit Info'!$G$10</f>
        <v>0</v>
      </c>
      <c r="C1144" s="737" t="str">
        <f t="shared" si="380"/>
        <v>Housekeeping and events only</v>
      </c>
      <c r="D1144" s="737">
        <f t="shared" si="381"/>
        <v>1</v>
      </c>
      <c r="E1144" s="737" t="str">
        <f t="shared" si="382"/>
        <v>#VALUE!</v>
      </c>
      <c r="F1144" s="737">
        <v>1.0</v>
      </c>
      <c r="G1144" s="737" t="str">
        <f t="shared" si="383"/>
        <v>#VALUE!</v>
      </c>
      <c r="H1144" s="737" t="str">
        <f>MIN($Q$11/('Orbit Info'!G$10),$Q$8*60)</f>
        <v>#VALUE!</v>
      </c>
      <c r="I1144" s="737" t="str">
        <f>IF(D1144=1,$Q$12/'Data DownlinkStorage Budget'!$M$3,0)</f>
        <v>#VALUE!</v>
      </c>
      <c r="J1144" s="737" t="str">
        <f t="shared" si="384"/>
        <v>#VALUE!</v>
      </c>
      <c r="K1144" s="11"/>
      <c r="L1144" s="737" t="str">
        <f t="shared" si="385"/>
        <v>FOUND product plus housekeeping</v>
      </c>
      <c r="M1144" s="737" t="str">
        <f>MIN($Q$18,$Q$10*60)-IF(D1144=1,$Q$17/'Data DownlinkStorage Budget'!$M$3,0)</f>
        <v>#VALUE!</v>
      </c>
      <c r="N1144" s="182"/>
      <c r="O1144" s="737" t="str">
        <f t="shared" si="386"/>
        <v>#VALUE!</v>
      </c>
      <c r="P1144" s="11"/>
      <c r="Q1144" s="11"/>
      <c r="R1144" s="11"/>
      <c r="S1144" s="11"/>
      <c r="T1144" s="11"/>
      <c r="U1144" s="11"/>
      <c r="V1144" s="11"/>
      <c r="W1144" s="11"/>
      <c r="X1144" s="11"/>
      <c r="Y1144" s="11"/>
      <c r="Z1144" s="11"/>
      <c r="AA1144" s="11"/>
    </row>
    <row r="1145" ht="15.75" customHeight="1">
      <c r="A1145" s="737">
        <f t="shared" si="379"/>
        <v>0</v>
      </c>
      <c r="B1145" s="737">
        <f>A1145/'Orbit Info'!$G$10</f>
        <v>0</v>
      </c>
      <c r="C1145" s="737" t="str">
        <f t="shared" si="380"/>
        <v>Housekeeping and events only</v>
      </c>
      <c r="D1145" s="737">
        <f t="shared" si="381"/>
        <v>1</v>
      </c>
      <c r="E1145" s="737" t="str">
        <f t="shared" si="382"/>
        <v>#VALUE!</v>
      </c>
      <c r="F1145" s="737">
        <v>1.0</v>
      </c>
      <c r="G1145" s="737" t="str">
        <f t="shared" si="383"/>
        <v>#VALUE!</v>
      </c>
      <c r="H1145" s="737" t="str">
        <f>MIN($Q$11/('Orbit Info'!G$10),$Q$8*60)</f>
        <v>#VALUE!</v>
      </c>
      <c r="I1145" s="737" t="str">
        <f>IF(D1145=1,$Q$12/'Data DownlinkStorage Budget'!$M$3,0)</f>
        <v>#VALUE!</v>
      </c>
      <c r="J1145" s="737" t="str">
        <f t="shared" si="384"/>
        <v>#VALUE!</v>
      </c>
      <c r="K1145" s="11"/>
      <c r="L1145" s="737" t="str">
        <f t="shared" si="385"/>
        <v>FOUND product plus housekeeping</v>
      </c>
      <c r="M1145" s="737" t="str">
        <f>MIN($Q$18,$Q$10*60)-IF(D1145=1,$Q$17/'Data DownlinkStorage Budget'!$M$3,0)</f>
        <v>#VALUE!</v>
      </c>
      <c r="N1145" s="182"/>
      <c r="O1145" s="737" t="str">
        <f t="shared" si="386"/>
        <v>#VALUE!</v>
      </c>
      <c r="P1145" s="11"/>
      <c r="Q1145" s="11"/>
      <c r="R1145" s="11"/>
      <c r="S1145" s="11"/>
      <c r="T1145" s="11"/>
      <c r="U1145" s="11"/>
      <c r="V1145" s="11"/>
      <c r="W1145" s="11"/>
      <c r="X1145" s="11"/>
      <c r="Y1145" s="11"/>
      <c r="Z1145" s="11"/>
      <c r="AA1145" s="11"/>
    </row>
    <row r="1146" ht="15.75" customHeight="1">
      <c r="A1146" s="737">
        <f t="shared" si="379"/>
        <v>0</v>
      </c>
      <c r="B1146" s="737">
        <f>A1146/'Orbit Info'!$G$10</f>
        <v>0</v>
      </c>
      <c r="C1146" s="737" t="str">
        <f t="shared" si="380"/>
        <v>Housekeeping and events only</v>
      </c>
      <c r="D1146" s="737">
        <f t="shared" si="381"/>
        <v>1</v>
      </c>
      <c r="E1146" s="737" t="str">
        <f t="shared" si="382"/>
        <v>#VALUE!</v>
      </c>
      <c r="F1146" s="737">
        <v>1.0</v>
      </c>
      <c r="G1146" s="737" t="str">
        <f t="shared" si="383"/>
        <v>#VALUE!</v>
      </c>
      <c r="H1146" s="737" t="str">
        <f>MIN($Q$11/('Orbit Info'!G$10),$Q$8*60)</f>
        <v>#VALUE!</v>
      </c>
      <c r="I1146" s="737" t="str">
        <f>IF(D1146=1,$Q$12/'Data DownlinkStorage Budget'!$M$3,0)</f>
        <v>#VALUE!</v>
      </c>
      <c r="J1146" s="737" t="str">
        <f t="shared" si="384"/>
        <v>#VALUE!</v>
      </c>
      <c r="K1146" s="11"/>
      <c r="L1146" s="737" t="str">
        <f t="shared" si="385"/>
        <v>FOUND product plus housekeeping</v>
      </c>
      <c r="M1146" s="737" t="str">
        <f>MIN($Q$18,$Q$10*60)-IF(D1146=1,$Q$17/'Data DownlinkStorage Budget'!$M$3,0)</f>
        <v>#VALUE!</v>
      </c>
      <c r="N1146" s="182"/>
      <c r="O1146" s="737" t="str">
        <f t="shared" si="386"/>
        <v>#VALUE!</v>
      </c>
      <c r="P1146" s="11"/>
      <c r="Q1146" s="11"/>
      <c r="R1146" s="11"/>
      <c r="S1146" s="11"/>
      <c r="T1146" s="11"/>
      <c r="U1146" s="11"/>
      <c r="V1146" s="11"/>
      <c r="W1146" s="11"/>
      <c r="X1146" s="11"/>
      <c r="Y1146" s="11"/>
      <c r="Z1146" s="11"/>
      <c r="AA1146" s="11"/>
    </row>
    <row r="1147" ht="15.75" customHeight="1">
      <c r="A1147" s="737">
        <f t="shared" si="379"/>
        <v>0</v>
      </c>
      <c r="B1147" s="737">
        <f>A1147/'Orbit Info'!$G$10</f>
        <v>0</v>
      </c>
      <c r="C1147" s="737" t="str">
        <f t="shared" si="380"/>
        <v>Housekeeping and events only</v>
      </c>
      <c r="D1147" s="737">
        <f t="shared" si="381"/>
        <v>1</v>
      </c>
      <c r="E1147" s="737" t="str">
        <f t="shared" si="382"/>
        <v>#VALUE!</v>
      </c>
      <c r="F1147" s="737">
        <v>1.0</v>
      </c>
      <c r="G1147" s="737" t="str">
        <f t="shared" si="383"/>
        <v>#VALUE!</v>
      </c>
      <c r="H1147" s="737" t="str">
        <f>MIN($Q$11/('Orbit Info'!G$10),$Q$8*60)</f>
        <v>#VALUE!</v>
      </c>
      <c r="I1147" s="737" t="str">
        <f>IF(D1147=1,$Q$12/'Data DownlinkStorage Budget'!$M$3,0)</f>
        <v>#VALUE!</v>
      </c>
      <c r="J1147" s="737" t="str">
        <f t="shared" si="384"/>
        <v>#VALUE!</v>
      </c>
      <c r="K1147" s="11"/>
      <c r="L1147" s="737" t="str">
        <f t="shared" si="385"/>
        <v>FOUND product plus housekeeping</v>
      </c>
      <c r="M1147" s="737" t="str">
        <f>MIN($Q$18,$Q$10*60)-IF(D1147=1,$Q$17/'Data DownlinkStorage Budget'!$M$3,0)</f>
        <v>#VALUE!</v>
      </c>
      <c r="N1147" s="182"/>
      <c r="O1147" s="737" t="str">
        <f t="shared" si="386"/>
        <v>#VALUE!</v>
      </c>
      <c r="P1147" s="11"/>
      <c r="Q1147" s="11"/>
      <c r="R1147" s="11"/>
      <c r="S1147" s="11"/>
      <c r="T1147" s="11"/>
      <c r="U1147" s="11"/>
      <c r="V1147" s="11"/>
      <c r="W1147" s="11"/>
      <c r="X1147" s="11"/>
      <c r="Y1147" s="11"/>
      <c r="Z1147" s="11"/>
      <c r="AA1147" s="11"/>
    </row>
    <row r="1148" ht="15.75" customHeight="1">
      <c r="A1148" s="737">
        <f t="shared" si="379"/>
        <v>0</v>
      </c>
      <c r="B1148" s="737">
        <f>A1148/'Orbit Info'!$G$10</f>
        <v>0</v>
      </c>
      <c r="C1148" s="737" t="str">
        <f t="shared" si="380"/>
        <v>Housekeeping and events only</v>
      </c>
      <c r="D1148" s="737">
        <f t="shared" si="381"/>
        <v>1</v>
      </c>
      <c r="E1148" s="737" t="str">
        <f t="shared" si="382"/>
        <v>#VALUE!</v>
      </c>
      <c r="F1148" s="737">
        <v>1.0</v>
      </c>
      <c r="G1148" s="737" t="str">
        <f t="shared" si="383"/>
        <v>#VALUE!</v>
      </c>
      <c r="H1148" s="737" t="str">
        <f>MIN($Q$11/('Orbit Info'!G$10),$Q$8*60)</f>
        <v>#VALUE!</v>
      </c>
      <c r="I1148" s="737" t="str">
        <f>IF(D1148=1,$Q$12/'Data DownlinkStorage Budget'!$M$3,0)</f>
        <v>#VALUE!</v>
      </c>
      <c r="J1148" s="737" t="str">
        <f t="shared" si="384"/>
        <v>#VALUE!</v>
      </c>
      <c r="K1148" s="11"/>
      <c r="L1148" s="737" t="str">
        <f t="shared" si="385"/>
        <v>FOUND product plus housekeeping</v>
      </c>
      <c r="M1148" s="737" t="str">
        <f>MIN($Q$18,$Q$10*60)-IF(D1148=1,$Q$17/'Data DownlinkStorage Budget'!$M$3,0)</f>
        <v>#VALUE!</v>
      </c>
      <c r="N1148" s="182"/>
      <c r="O1148" s="737" t="str">
        <f t="shared" si="386"/>
        <v>#VALUE!</v>
      </c>
      <c r="P1148" s="11"/>
      <c r="Q1148" s="11"/>
      <c r="R1148" s="11"/>
      <c r="S1148" s="11"/>
      <c r="T1148" s="11"/>
      <c r="U1148" s="11"/>
      <c r="V1148" s="11"/>
      <c r="W1148" s="11"/>
      <c r="X1148" s="11"/>
      <c r="Y1148" s="11"/>
      <c r="Z1148" s="11"/>
      <c r="AA1148" s="11"/>
    </row>
    <row r="1149" ht="15.75" customHeight="1">
      <c r="A1149" s="737">
        <f t="shared" si="379"/>
        <v>0</v>
      </c>
      <c r="B1149" s="737">
        <f>A1149/'Orbit Info'!$G$10</f>
        <v>0</v>
      </c>
      <c r="C1149" s="737" t="str">
        <f t="shared" si="380"/>
        <v>Housekeeping and events only</v>
      </c>
      <c r="D1149" s="737">
        <f t="shared" si="381"/>
        <v>1</v>
      </c>
      <c r="E1149" s="737" t="str">
        <f t="shared" si="382"/>
        <v>#VALUE!</v>
      </c>
      <c r="F1149" s="737">
        <v>1.0</v>
      </c>
      <c r="G1149" s="737" t="str">
        <f t="shared" si="383"/>
        <v>#VALUE!</v>
      </c>
      <c r="H1149" s="737" t="str">
        <f>MIN($Q$11/('Orbit Info'!G$10),$Q$8*60)</f>
        <v>#VALUE!</v>
      </c>
      <c r="I1149" s="737" t="str">
        <f>IF(D1149=1,$Q$12/'Data DownlinkStorage Budget'!$M$3,0)</f>
        <v>#VALUE!</v>
      </c>
      <c r="J1149" s="737" t="str">
        <f t="shared" si="384"/>
        <v>#VALUE!</v>
      </c>
      <c r="K1149" s="11"/>
      <c r="L1149" s="737" t="str">
        <f t="shared" si="385"/>
        <v>FOUND product plus housekeeping</v>
      </c>
      <c r="M1149" s="737" t="str">
        <f>MIN($Q$18,$Q$10*60)-IF(D1149=1,$Q$17/'Data DownlinkStorage Budget'!$M$3,0)</f>
        <v>#VALUE!</v>
      </c>
      <c r="N1149" s="182"/>
      <c r="O1149" s="737" t="str">
        <f t="shared" si="386"/>
        <v>#VALUE!</v>
      </c>
      <c r="P1149" s="11"/>
      <c r="Q1149" s="11"/>
      <c r="R1149" s="11"/>
      <c r="S1149" s="11"/>
      <c r="T1149" s="11"/>
      <c r="U1149" s="11"/>
      <c r="V1149" s="11"/>
      <c r="W1149" s="11"/>
      <c r="X1149" s="11"/>
      <c r="Y1149" s="11"/>
      <c r="Z1149" s="11"/>
      <c r="AA1149" s="11"/>
    </row>
    <row r="1150" ht="15.75" customHeight="1">
      <c r="A1150" s="737">
        <f t="shared" si="379"/>
        <v>0</v>
      </c>
      <c r="B1150" s="737">
        <f>A1150/'Orbit Info'!$G$10</f>
        <v>0</v>
      </c>
      <c r="C1150" s="737" t="str">
        <f t="shared" si="380"/>
        <v>Housekeeping and events only</v>
      </c>
      <c r="D1150" s="737">
        <f t="shared" si="381"/>
        <v>1</v>
      </c>
      <c r="E1150" s="737" t="str">
        <f t="shared" si="382"/>
        <v>#VALUE!</v>
      </c>
      <c r="F1150" s="737">
        <v>1.0</v>
      </c>
      <c r="G1150" s="737" t="str">
        <f t="shared" si="383"/>
        <v>#VALUE!</v>
      </c>
      <c r="H1150" s="737" t="str">
        <f>MIN($Q$11/('Orbit Info'!G$10),$Q$8*60)</f>
        <v>#VALUE!</v>
      </c>
      <c r="I1150" s="737" t="str">
        <f>IF(D1150=1,$Q$12/'Data DownlinkStorage Budget'!$M$3,0)</f>
        <v>#VALUE!</v>
      </c>
      <c r="J1150" s="737" t="str">
        <f t="shared" si="384"/>
        <v>#VALUE!</v>
      </c>
      <c r="K1150" s="11"/>
      <c r="L1150" s="737" t="str">
        <f t="shared" si="385"/>
        <v>FOUND product plus housekeeping</v>
      </c>
      <c r="M1150" s="737" t="str">
        <f>MIN($Q$18,$Q$10*60)-IF(D1150=1,$Q$17/'Data DownlinkStorage Budget'!$M$3,0)</f>
        <v>#VALUE!</v>
      </c>
      <c r="N1150" s="182"/>
      <c r="O1150" s="737" t="str">
        <f t="shared" si="386"/>
        <v>#VALUE!</v>
      </c>
      <c r="P1150" s="11"/>
      <c r="Q1150" s="11"/>
      <c r="R1150" s="11"/>
      <c r="S1150" s="11"/>
      <c r="T1150" s="11"/>
      <c r="U1150" s="11"/>
      <c r="V1150" s="11"/>
      <c r="W1150" s="11"/>
      <c r="X1150" s="11"/>
      <c r="Y1150" s="11"/>
      <c r="Z1150" s="11"/>
      <c r="AA1150" s="11"/>
    </row>
    <row r="1151" ht="15.75" customHeight="1">
      <c r="A1151" s="737">
        <f t="shared" si="379"/>
        <v>0</v>
      </c>
      <c r="B1151" s="737">
        <f>A1151/'Orbit Info'!$G$10</f>
        <v>0</v>
      </c>
      <c r="C1151" s="737" t="str">
        <f t="shared" si="380"/>
        <v>Housekeeping and events only</v>
      </c>
      <c r="D1151" s="737">
        <f t="shared" si="381"/>
        <v>1</v>
      </c>
      <c r="E1151" s="737" t="str">
        <f t="shared" si="382"/>
        <v>#VALUE!</v>
      </c>
      <c r="F1151" s="737">
        <v>1.0</v>
      </c>
      <c r="G1151" s="737" t="str">
        <f t="shared" si="383"/>
        <v>#VALUE!</v>
      </c>
      <c r="H1151" s="737" t="str">
        <f>MIN($Q$11/('Orbit Info'!G$10),$Q$8*60)</f>
        <v>#VALUE!</v>
      </c>
      <c r="I1151" s="737" t="str">
        <f>IF(D1151=1,$Q$12/'Data DownlinkStorage Budget'!$M$3,0)</f>
        <v>#VALUE!</v>
      </c>
      <c r="J1151" s="737" t="str">
        <f t="shared" si="384"/>
        <v>#VALUE!</v>
      </c>
      <c r="K1151" s="11"/>
      <c r="L1151" s="737" t="str">
        <f t="shared" si="385"/>
        <v>FOUND product plus housekeeping</v>
      </c>
      <c r="M1151" s="737" t="str">
        <f>MIN($Q$18,$Q$10*60)-IF(D1151=1,$Q$17/'Data DownlinkStorage Budget'!$M$3,0)</f>
        <v>#VALUE!</v>
      </c>
      <c r="N1151" s="182"/>
      <c r="O1151" s="737" t="str">
        <f t="shared" si="386"/>
        <v>#VALUE!</v>
      </c>
      <c r="P1151" s="11"/>
      <c r="Q1151" s="11"/>
      <c r="R1151" s="11"/>
      <c r="S1151" s="11"/>
      <c r="T1151" s="11"/>
      <c r="U1151" s="11"/>
      <c r="V1151" s="11"/>
      <c r="W1151" s="11"/>
      <c r="X1151" s="11"/>
      <c r="Y1151" s="11"/>
      <c r="Z1151" s="11"/>
      <c r="AA1151" s="11"/>
    </row>
    <row r="1152" ht="15.75" customHeight="1">
      <c r="A1152" s="737">
        <f t="shared" si="379"/>
        <v>0</v>
      </c>
      <c r="B1152" s="737">
        <f>A1152/'Orbit Info'!$G$10</f>
        <v>0</v>
      </c>
      <c r="C1152" s="737" t="str">
        <f t="shared" si="380"/>
        <v>Housekeeping and events only</v>
      </c>
      <c r="D1152" s="737">
        <f t="shared" si="381"/>
        <v>1</v>
      </c>
      <c r="E1152" s="737" t="str">
        <f t="shared" si="382"/>
        <v>#VALUE!</v>
      </c>
      <c r="F1152" s="737">
        <v>1.0</v>
      </c>
      <c r="G1152" s="737" t="str">
        <f t="shared" si="383"/>
        <v>#VALUE!</v>
      </c>
      <c r="H1152" s="737" t="str">
        <f>MIN($Q$11/('Orbit Info'!G$10),$Q$8*60)</f>
        <v>#VALUE!</v>
      </c>
      <c r="I1152" s="737" t="str">
        <f>IF(D1152=1,$Q$12/'Data DownlinkStorage Budget'!$M$3,0)</f>
        <v>#VALUE!</v>
      </c>
      <c r="J1152" s="737" t="str">
        <f t="shared" si="384"/>
        <v>#VALUE!</v>
      </c>
      <c r="K1152" s="11"/>
      <c r="L1152" s="737" t="str">
        <f t="shared" si="385"/>
        <v>FOUND product plus housekeeping</v>
      </c>
      <c r="M1152" s="737" t="str">
        <f>MIN($Q$18,$Q$10*60)-IF(D1152=1,$Q$17/'Data DownlinkStorage Budget'!$M$3,0)</f>
        <v>#VALUE!</v>
      </c>
      <c r="N1152" s="182"/>
      <c r="O1152" s="737" t="str">
        <f t="shared" si="386"/>
        <v>#VALUE!</v>
      </c>
      <c r="P1152" s="11"/>
      <c r="Q1152" s="11"/>
      <c r="R1152" s="11"/>
      <c r="S1152" s="11"/>
      <c r="T1152" s="11"/>
      <c r="U1152" s="11"/>
      <c r="V1152" s="11"/>
      <c r="W1152" s="11"/>
      <c r="X1152" s="11"/>
      <c r="Y1152" s="11"/>
      <c r="Z1152" s="11"/>
      <c r="AA1152" s="11"/>
    </row>
    <row r="1153" ht="15.75" customHeight="1">
      <c r="A1153" s="737">
        <f t="shared" si="379"/>
        <v>0</v>
      </c>
      <c r="B1153" s="737">
        <f>A1153/'Orbit Info'!$G$10</f>
        <v>0</v>
      </c>
      <c r="C1153" s="737" t="str">
        <f t="shared" si="380"/>
        <v>Housekeeping and events only</v>
      </c>
      <c r="D1153" s="737">
        <f t="shared" si="381"/>
        <v>1</v>
      </c>
      <c r="E1153" s="737" t="str">
        <f t="shared" si="382"/>
        <v>#VALUE!</v>
      </c>
      <c r="F1153" s="737">
        <v>1.0</v>
      </c>
      <c r="G1153" s="737" t="str">
        <f t="shared" si="383"/>
        <v>#VALUE!</v>
      </c>
      <c r="H1153" s="737" t="str">
        <f>MIN($Q$11/('Orbit Info'!G$10),$Q$8*60)</f>
        <v>#VALUE!</v>
      </c>
      <c r="I1153" s="737" t="str">
        <f>IF(D1153=1,$Q$12/'Data DownlinkStorage Budget'!$M$3,0)</f>
        <v>#VALUE!</v>
      </c>
      <c r="J1153" s="737" t="str">
        <f t="shared" si="384"/>
        <v>#VALUE!</v>
      </c>
      <c r="K1153" s="11"/>
      <c r="L1153" s="737" t="str">
        <f t="shared" si="385"/>
        <v>FOUND product plus housekeeping</v>
      </c>
      <c r="M1153" s="737" t="str">
        <f>MIN($Q$18,$Q$10*60)-IF(D1153=1,$Q$17/'Data DownlinkStorage Budget'!$M$3,0)</f>
        <v>#VALUE!</v>
      </c>
      <c r="N1153" s="182"/>
      <c r="O1153" s="737" t="str">
        <f t="shared" si="386"/>
        <v>#VALUE!</v>
      </c>
      <c r="P1153" s="11"/>
      <c r="Q1153" s="11"/>
      <c r="R1153" s="11"/>
      <c r="S1153" s="11"/>
      <c r="T1153" s="11"/>
      <c r="U1153" s="11"/>
      <c r="V1153" s="11"/>
      <c r="W1153" s="11"/>
      <c r="X1153" s="11"/>
      <c r="Y1153" s="11"/>
      <c r="Z1153" s="11"/>
      <c r="AA1153" s="11"/>
    </row>
    <row r="1154" ht="15.75" customHeight="1">
      <c r="A1154" s="737">
        <f t="shared" si="379"/>
        <v>0</v>
      </c>
      <c r="B1154" s="737">
        <f>A1154/'Orbit Info'!$G$10</f>
        <v>0</v>
      </c>
      <c r="C1154" s="737" t="str">
        <f t="shared" si="380"/>
        <v>Housekeeping and events only</v>
      </c>
      <c r="D1154" s="737">
        <f t="shared" si="381"/>
        <v>1</v>
      </c>
      <c r="E1154" s="737" t="str">
        <f t="shared" si="382"/>
        <v>#VALUE!</v>
      </c>
      <c r="F1154" s="737">
        <v>1.0</v>
      </c>
      <c r="G1154" s="737" t="str">
        <f t="shared" si="383"/>
        <v>#VALUE!</v>
      </c>
      <c r="H1154" s="737" t="str">
        <f>MIN($Q$11/('Orbit Info'!G$10),$Q$8*60)</f>
        <v>#VALUE!</v>
      </c>
      <c r="I1154" s="737" t="str">
        <f>IF(D1154=1,$Q$12/'Data DownlinkStorage Budget'!$M$3,0)</f>
        <v>#VALUE!</v>
      </c>
      <c r="J1154" s="737" t="str">
        <f t="shared" si="384"/>
        <v>#VALUE!</v>
      </c>
      <c r="K1154" s="11"/>
      <c r="L1154" s="737" t="str">
        <f t="shared" si="385"/>
        <v>FOUND product plus housekeeping</v>
      </c>
      <c r="M1154" s="737" t="str">
        <f>MIN($Q$18,$Q$10*60)-IF(D1154=1,$Q$17/'Data DownlinkStorage Budget'!$M$3,0)</f>
        <v>#VALUE!</v>
      </c>
      <c r="N1154" s="182"/>
      <c r="O1154" s="737" t="str">
        <f t="shared" si="386"/>
        <v>#VALUE!</v>
      </c>
      <c r="P1154" s="11"/>
      <c r="Q1154" s="11"/>
      <c r="R1154" s="11"/>
      <c r="S1154" s="11"/>
      <c r="T1154" s="11"/>
      <c r="U1154" s="11"/>
      <c r="V1154" s="11"/>
      <c r="W1154" s="11"/>
      <c r="X1154" s="11"/>
      <c r="Y1154" s="11"/>
      <c r="Z1154" s="11"/>
      <c r="AA1154" s="11"/>
    </row>
    <row r="1155" ht="15.75" customHeight="1">
      <c r="A1155" s="737">
        <f t="shared" si="379"/>
        <v>0</v>
      </c>
      <c r="B1155" s="737">
        <f>A1155/'Orbit Info'!$G$10</f>
        <v>0</v>
      </c>
      <c r="C1155" s="737" t="str">
        <f t="shared" si="380"/>
        <v>Housekeeping and events only</v>
      </c>
      <c r="D1155" s="737">
        <f t="shared" si="381"/>
        <v>1</v>
      </c>
      <c r="E1155" s="737" t="str">
        <f t="shared" si="382"/>
        <v>#VALUE!</v>
      </c>
      <c r="F1155" s="737">
        <v>1.0</v>
      </c>
      <c r="G1155" s="737" t="str">
        <f t="shared" si="383"/>
        <v>#VALUE!</v>
      </c>
      <c r="H1155" s="737" t="str">
        <f>MIN($Q$11/('Orbit Info'!G$10),$Q$8*60)</f>
        <v>#VALUE!</v>
      </c>
      <c r="I1155" s="737" t="str">
        <f>IF(D1155=1,$Q$12/'Data DownlinkStorage Budget'!$M$3,0)</f>
        <v>#VALUE!</v>
      </c>
      <c r="J1155" s="737" t="str">
        <f t="shared" si="384"/>
        <v>#VALUE!</v>
      </c>
      <c r="K1155" s="11"/>
      <c r="L1155" s="737" t="str">
        <f t="shared" si="385"/>
        <v>FOUND product plus housekeeping</v>
      </c>
      <c r="M1155" s="737" t="str">
        <f>MIN($Q$18,$Q$10*60)-IF(D1155=1,$Q$17/'Data DownlinkStorage Budget'!$M$3,0)</f>
        <v>#VALUE!</v>
      </c>
      <c r="N1155" s="182"/>
      <c r="O1155" s="737" t="str">
        <f t="shared" si="386"/>
        <v>#VALUE!</v>
      </c>
      <c r="P1155" s="11"/>
      <c r="Q1155" s="11"/>
      <c r="R1155" s="11"/>
      <c r="S1155" s="11"/>
      <c r="T1155" s="11"/>
      <c r="U1155" s="11"/>
      <c r="V1155" s="11"/>
      <c r="W1155" s="11"/>
      <c r="X1155" s="11"/>
      <c r="Y1155" s="11"/>
      <c r="Z1155" s="11"/>
      <c r="AA1155" s="11"/>
    </row>
    <row r="1156" ht="15.75" customHeight="1">
      <c r="A1156" s="737">
        <f t="shared" si="379"/>
        <v>0</v>
      </c>
      <c r="B1156" s="737">
        <f>A1156/'Orbit Info'!$G$10</f>
        <v>0</v>
      </c>
      <c r="C1156" s="737" t="str">
        <f t="shared" si="380"/>
        <v>Housekeeping and events only</v>
      </c>
      <c r="D1156" s="737">
        <f t="shared" si="381"/>
        <v>1</v>
      </c>
      <c r="E1156" s="737" t="str">
        <f t="shared" si="382"/>
        <v>#VALUE!</v>
      </c>
      <c r="F1156" s="737">
        <v>1.0</v>
      </c>
      <c r="G1156" s="737" t="str">
        <f t="shared" si="383"/>
        <v>#VALUE!</v>
      </c>
      <c r="H1156" s="737" t="str">
        <f>MIN($Q$11/('Orbit Info'!G$10),$Q$8*60)</f>
        <v>#VALUE!</v>
      </c>
      <c r="I1156" s="737" t="str">
        <f>IF(D1156=1,$Q$12/'Data DownlinkStorage Budget'!$M$3,0)</f>
        <v>#VALUE!</v>
      </c>
      <c r="J1156" s="737" t="str">
        <f t="shared" si="384"/>
        <v>#VALUE!</v>
      </c>
      <c r="K1156" s="11"/>
      <c r="L1156" s="737" t="str">
        <f t="shared" si="385"/>
        <v>FOUND product plus housekeeping</v>
      </c>
      <c r="M1156" s="737" t="str">
        <f>MIN($Q$18,$Q$10*60)-IF(D1156=1,$Q$17/'Data DownlinkStorage Budget'!$M$3,0)</f>
        <v>#VALUE!</v>
      </c>
      <c r="N1156" s="182"/>
      <c r="O1156" s="737" t="str">
        <f t="shared" si="386"/>
        <v>#VALUE!</v>
      </c>
      <c r="P1156" s="11"/>
      <c r="Q1156" s="11"/>
      <c r="R1156" s="11"/>
      <c r="S1156" s="11"/>
      <c r="T1156" s="11"/>
      <c r="U1156" s="11"/>
      <c r="V1156" s="11"/>
      <c r="W1156" s="11"/>
      <c r="X1156" s="11"/>
      <c r="Y1156" s="11"/>
      <c r="Z1156" s="11"/>
      <c r="AA1156" s="11"/>
    </row>
    <row r="1157" ht="15.75" customHeight="1">
      <c r="A1157" s="737">
        <f t="shared" si="379"/>
        <v>0</v>
      </c>
      <c r="B1157" s="737">
        <f>A1157/'Orbit Info'!$G$10</f>
        <v>0</v>
      </c>
      <c r="C1157" s="737" t="str">
        <f t="shared" si="380"/>
        <v>Housekeeping and events only</v>
      </c>
      <c r="D1157" s="737">
        <f t="shared" si="381"/>
        <v>1</v>
      </c>
      <c r="E1157" s="737" t="str">
        <f t="shared" si="382"/>
        <v>#VALUE!</v>
      </c>
      <c r="F1157" s="737">
        <v>1.0</v>
      </c>
      <c r="G1157" s="737" t="str">
        <f t="shared" si="383"/>
        <v>#VALUE!</v>
      </c>
      <c r="H1157" s="737" t="str">
        <f>MIN($Q$11/('Orbit Info'!G$10),$Q$8*60)</f>
        <v>#VALUE!</v>
      </c>
      <c r="I1157" s="737" t="str">
        <f>IF(D1157=1,$Q$12/'Data DownlinkStorage Budget'!$M$3,0)</f>
        <v>#VALUE!</v>
      </c>
      <c r="J1157" s="737" t="str">
        <f t="shared" si="384"/>
        <v>#VALUE!</v>
      </c>
      <c r="K1157" s="11"/>
      <c r="L1157" s="737" t="str">
        <f t="shared" si="385"/>
        <v>FOUND product plus housekeeping</v>
      </c>
      <c r="M1157" s="737" t="str">
        <f>MIN($Q$18,$Q$10*60)-IF(D1157=1,$Q$17/'Data DownlinkStorage Budget'!$M$3,0)</f>
        <v>#VALUE!</v>
      </c>
      <c r="N1157" s="182"/>
      <c r="O1157" s="737" t="str">
        <f t="shared" si="386"/>
        <v>#VALUE!</v>
      </c>
      <c r="P1157" s="11"/>
      <c r="Q1157" s="11"/>
      <c r="R1157" s="11"/>
      <c r="S1157" s="11"/>
      <c r="T1157" s="11"/>
      <c r="U1157" s="11"/>
      <c r="V1157" s="11"/>
      <c r="W1157" s="11"/>
      <c r="X1157" s="11"/>
      <c r="Y1157" s="11"/>
      <c r="Z1157" s="11"/>
      <c r="AA1157" s="11"/>
    </row>
    <row r="1158" ht="15.75" customHeight="1">
      <c r="A1158" s="737">
        <f t="shared" si="379"/>
        <v>0</v>
      </c>
      <c r="B1158" s="737">
        <f>A1158/'Orbit Info'!$G$10</f>
        <v>0</v>
      </c>
      <c r="C1158" s="737" t="str">
        <f t="shared" si="380"/>
        <v>Housekeeping and events only</v>
      </c>
      <c r="D1158" s="737">
        <f t="shared" si="381"/>
        <v>1</v>
      </c>
      <c r="E1158" s="737" t="str">
        <f t="shared" si="382"/>
        <v>#VALUE!</v>
      </c>
      <c r="F1158" s="737">
        <v>1.0</v>
      </c>
      <c r="G1158" s="737" t="str">
        <f t="shared" si="383"/>
        <v>#VALUE!</v>
      </c>
      <c r="H1158" s="737" t="str">
        <f>MIN($Q$11/('Orbit Info'!G$10),$Q$8*60)</f>
        <v>#VALUE!</v>
      </c>
      <c r="I1158" s="737" t="str">
        <f>IF(D1158=1,$Q$12/'Data DownlinkStorage Budget'!$M$3,0)</f>
        <v>#VALUE!</v>
      </c>
      <c r="J1158" s="737" t="str">
        <f t="shared" si="384"/>
        <v>#VALUE!</v>
      </c>
      <c r="K1158" s="11"/>
      <c r="L1158" s="737" t="str">
        <f t="shared" si="385"/>
        <v>FOUND product plus housekeeping</v>
      </c>
      <c r="M1158" s="737" t="str">
        <f>MIN($Q$18,$Q$10*60)-IF(D1158=1,$Q$17/'Data DownlinkStorage Budget'!$M$3,0)</f>
        <v>#VALUE!</v>
      </c>
      <c r="N1158" s="182"/>
      <c r="O1158" s="737" t="str">
        <f t="shared" si="386"/>
        <v>#VALUE!</v>
      </c>
      <c r="P1158" s="11"/>
      <c r="Q1158" s="11"/>
      <c r="R1158" s="11"/>
      <c r="S1158" s="11"/>
      <c r="T1158" s="11"/>
      <c r="U1158" s="11"/>
      <c r="V1158" s="11"/>
      <c r="W1158" s="11"/>
      <c r="X1158" s="11"/>
      <c r="Y1158" s="11"/>
      <c r="Z1158" s="11"/>
      <c r="AA1158" s="11"/>
    </row>
    <row r="1159" ht="15.75" customHeight="1">
      <c r="A1159" s="737">
        <f t="shared" si="379"/>
        <v>0</v>
      </c>
      <c r="B1159" s="737">
        <f>A1159/'Orbit Info'!$G$10</f>
        <v>0</v>
      </c>
      <c r="C1159" s="737" t="str">
        <f t="shared" si="380"/>
        <v>Housekeeping and events only</v>
      </c>
      <c r="D1159" s="737">
        <f t="shared" si="381"/>
        <v>1</v>
      </c>
      <c r="E1159" s="737" t="str">
        <f t="shared" si="382"/>
        <v>#VALUE!</v>
      </c>
      <c r="F1159" s="737">
        <v>1.0</v>
      </c>
      <c r="G1159" s="737" t="str">
        <f t="shared" si="383"/>
        <v>#VALUE!</v>
      </c>
      <c r="H1159" s="737" t="str">
        <f>MIN($Q$11/('Orbit Info'!G$10),$Q$8*60)</f>
        <v>#VALUE!</v>
      </c>
      <c r="I1159" s="737" t="str">
        <f>IF(D1159=1,$Q$12/'Data DownlinkStorage Budget'!$M$3,0)</f>
        <v>#VALUE!</v>
      </c>
      <c r="J1159" s="737" t="str">
        <f t="shared" si="384"/>
        <v>#VALUE!</v>
      </c>
      <c r="K1159" s="11"/>
      <c r="L1159" s="737" t="str">
        <f t="shared" si="385"/>
        <v>FOUND product plus housekeeping</v>
      </c>
      <c r="M1159" s="737" t="str">
        <f>MIN($Q$18,$Q$10*60)-IF(D1159=1,$Q$17/'Data DownlinkStorage Budget'!$M$3,0)</f>
        <v>#VALUE!</v>
      </c>
      <c r="N1159" s="182"/>
      <c r="O1159" s="737" t="str">
        <f t="shared" si="386"/>
        <v>#VALUE!</v>
      </c>
      <c r="P1159" s="11"/>
      <c r="Q1159" s="11"/>
      <c r="R1159" s="11"/>
      <c r="S1159" s="11"/>
      <c r="T1159" s="11"/>
      <c r="U1159" s="11"/>
      <c r="V1159" s="11"/>
      <c r="W1159" s="11"/>
      <c r="X1159" s="11"/>
      <c r="Y1159" s="11"/>
      <c r="Z1159" s="11"/>
      <c r="AA1159" s="11"/>
    </row>
    <row r="1160" ht="15.75" customHeight="1">
      <c r="A1160" s="737">
        <f t="shared" si="379"/>
        <v>0</v>
      </c>
      <c r="B1160" s="737">
        <f>A1160/'Orbit Info'!$G$10</f>
        <v>0</v>
      </c>
      <c r="C1160" s="737" t="str">
        <f t="shared" si="380"/>
        <v>Housekeeping and events only</v>
      </c>
      <c r="D1160" s="737">
        <f t="shared" si="381"/>
        <v>1</v>
      </c>
      <c r="E1160" s="737" t="str">
        <f t="shared" si="382"/>
        <v>#VALUE!</v>
      </c>
      <c r="F1160" s="737">
        <v>1.0</v>
      </c>
      <c r="G1160" s="737" t="str">
        <f t="shared" si="383"/>
        <v>#VALUE!</v>
      </c>
      <c r="H1160" s="737" t="str">
        <f>MIN($Q$11/('Orbit Info'!G$10),$Q$8*60)</f>
        <v>#VALUE!</v>
      </c>
      <c r="I1160" s="737" t="str">
        <f>IF(D1160=1,$Q$12/'Data DownlinkStorage Budget'!$M$3,0)</f>
        <v>#VALUE!</v>
      </c>
      <c r="J1160" s="737" t="str">
        <f t="shared" si="384"/>
        <v>#VALUE!</v>
      </c>
      <c r="K1160" s="11"/>
      <c r="L1160" s="737" t="str">
        <f t="shared" si="385"/>
        <v>FOUND product plus housekeeping</v>
      </c>
      <c r="M1160" s="737" t="str">
        <f>MIN($Q$18,$Q$10*60)-IF(D1160=1,$Q$17/'Data DownlinkStorage Budget'!$M$3,0)</f>
        <v>#VALUE!</v>
      </c>
      <c r="N1160" s="182"/>
      <c r="O1160" s="737" t="str">
        <f t="shared" si="386"/>
        <v>#VALUE!</v>
      </c>
      <c r="P1160" s="11"/>
      <c r="Q1160" s="11"/>
      <c r="R1160" s="11"/>
      <c r="S1160" s="11"/>
      <c r="T1160" s="11"/>
      <c r="U1160" s="11"/>
      <c r="V1160" s="11"/>
      <c r="W1160" s="11"/>
      <c r="X1160" s="11"/>
      <c r="Y1160" s="11"/>
      <c r="Z1160" s="11"/>
      <c r="AA1160" s="11"/>
    </row>
    <row r="1161" ht="15.75" customHeight="1">
      <c r="A1161" s="737">
        <f t="shared" si="379"/>
        <v>0</v>
      </c>
      <c r="B1161" s="737">
        <f>A1161/'Orbit Info'!$G$10</f>
        <v>0</v>
      </c>
      <c r="C1161" s="737" t="str">
        <f t="shared" si="380"/>
        <v>Housekeeping and events only</v>
      </c>
      <c r="D1161" s="737">
        <f t="shared" si="381"/>
        <v>1</v>
      </c>
      <c r="E1161" s="737" t="str">
        <f t="shared" si="382"/>
        <v>#VALUE!</v>
      </c>
      <c r="F1161" s="737">
        <v>1.0</v>
      </c>
      <c r="G1161" s="737" t="str">
        <f t="shared" si="383"/>
        <v>#VALUE!</v>
      </c>
      <c r="H1161" s="737" t="str">
        <f>MIN($Q$11/('Orbit Info'!G$10),$Q$8*60)</f>
        <v>#VALUE!</v>
      </c>
      <c r="I1161" s="737" t="str">
        <f>IF(D1161=1,$Q$12/'Data DownlinkStorage Budget'!$M$3,0)</f>
        <v>#VALUE!</v>
      </c>
      <c r="J1161" s="737" t="str">
        <f t="shared" si="384"/>
        <v>#VALUE!</v>
      </c>
      <c r="K1161" s="11"/>
      <c r="L1161" s="737" t="str">
        <f t="shared" si="385"/>
        <v>FOUND product plus housekeeping</v>
      </c>
      <c r="M1161" s="737" t="str">
        <f>MIN($Q$18,$Q$10*60)-IF(D1161=1,$Q$17/'Data DownlinkStorage Budget'!$M$3,0)</f>
        <v>#VALUE!</v>
      </c>
      <c r="N1161" s="182"/>
      <c r="O1161" s="737" t="str">
        <f t="shared" si="386"/>
        <v>#VALUE!</v>
      </c>
      <c r="P1161" s="11"/>
      <c r="Q1161" s="11"/>
      <c r="R1161" s="11"/>
      <c r="S1161" s="11"/>
      <c r="T1161" s="11"/>
      <c r="U1161" s="11"/>
      <c r="V1161" s="11"/>
      <c r="W1161" s="11"/>
      <c r="X1161" s="11"/>
      <c r="Y1161" s="11"/>
      <c r="Z1161" s="11"/>
      <c r="AA1161" s="11"/>
    </row>
    <row r="1162" ht="15.75" customHeight="1">
      <c r="A1162" s="737">
        <f t="shared" si="379"/>
        <v>0</v>
      </c>
      <c r="B1162" s="737">
        <f>A1162/'Orbit Info'!$G$10</f>
        <v>0</v>
      </c>
      <c r="C1162" s="737" t="str">
        <f t="shared" si="380"/>
        <v>Housekeeping and events only</v>
      </c>
      <c r="D1162" s="737">
        <f t="shared" si="381"/>
        <v>1</v>
      </c>
      <c r="E1162" s="737" t="str">
        <f t="shared" si="382"/>
        <v>#VALUE!</v>
      </c>
      <c r="F1162" s="737">
        <v>1.0</v>
      </c>
      <c r="G1162" s="737" t="str">
        <f t="shared" si="383"/>
        <v>#VALUE!</v>
      </c>
      <c r="H1162" s="737" t="str">
        <f>MIN($Q$11/('Orbit Info'!G$10),$Q$8*60)</f>
        <v>#VALUE!</v>
      </c>
      <c r="I1162" s="737" t="str">
        <f>IF(D1162=1,$Q$12/'Data DownlinkStorage Budget'!$M$3,0)</f>
        <v>#VALUE!</v>
      </c>
      <c r="J1162" s="737" t="str">
        <f t="shared" si="384"/>
        <v>#VALUE!</v>
      </c>
      <c r="K1162" s="11"/>
      <c r="L1162" s="737" t="str">
        <f t="shared" si="385"/>
        <v>FOUND product plus housekeeping</v>
      </c>
      <c r="M1162" s="737" t="str">
        <f>MIN($Q$18,$Q$10*60)-IF(D1162=1,$Q$17/'Data DownlinkStorage Budget'!$M$3,0)</f>
        <v>#VALUE!</v>
      </c>
      <c r="N1162" s="182"/>
      <c r="O1162" s="737" t="str">
        <f t="shared" si="386"/>
        <v>#VALUE!</v>
      </c>
      <c r="P1162" s="11"/>
      <c r="Q1162" s="11"/>
      <c r="R1162" s="11"/>
      <c r="S1162" s="11"/>
      <c r="T1162" s="11"/>
      <c r="U1162" s="11"/>
      <c r="V1162" s="11"/>
      <c r="W1162" s="11"/>
      <c r="X1162" s="11"/>
      <c r="Y1162" s="11"/>
      <c r="Z1162" s="11"/>
      <c r="AA1162" s="11"/>
    </row>
    <row r="1163" ht="15.75" customHeight="1">
      <c r="A1163" s="737">
        <f t="shared" si="379"/>
        <v>0</v>
      </c>
      <c r="B1163" s="737">
        <f>A1163/'Orbit Info'!$G$10</f>
        <v>0</v>
      </c>
      <c r="C1163" s="737" t="str">
        <f t="shared" si="380"/>
        <v>Housekeeping and events only</v>
      </c>
      <c r="D1163" s="737">
        <f t="shared" si="381"/>
        <v>1</v>
      </c>
      <c r="E1163" s="737" t="str">
        <f t="shared" si="382"/>
        <v>#VALUE!</v>
      </c>
      <c r="F1163" s="737">
        <v>1.0</v>
      </c>
      <c r="G1163" s="737" t="str">
        <f t="shared" si="383"/>
        <v>#VALUE!</v>
      </c>
      <c r="H1163" s="737" t="str">
        <f>MIN($Q$11/('Orbit Info'!G$10),$Q$8*60)</f>
        <v>#VALUE!</v>
      </c>
      <c r="I1163" s="737" t="str">
        <f>IF(D1163=1,$Q$12/'Data DownlinkStorage Budget'!$M$3,0)</f>
        <v>#VALUE!</v>
      </c>
      <c r="J1163" s="737" t="str">
        <f t="shared" si="384"/>
        <v>#VALUE!</v>
      </c>
      <c r="K1163" s="11"/>
      <c r="L1163" s="737" t="str">
        <f t="shared" si="385"/>
        <v>FOUND product plus housekeeping</v>
      </c>
      <c r="M1163" s="737" t="str">
        <f>MIN($Q$18,$Q$10*60)-IF(D1163=1,$Q$17/'Data DownlinkStorage Budget'!$M$3,0)</f>
        <v>#VALUE!</v>
      </c>
      <c r="N1163" s="182"/>
      <c r="O1163" s="737" t="str">
        <f t="shared" si="386"/>
        <v>#VALUE!</v>
      </c>
      <c r="P1163" s="11"/>
      <c r="Q1163" s="11"/>
      <c r="R1163" s="11"/>
      <c r="S1163" s="11"/>
      <c r="T1163" s="11"/>
      <c r="U1163" s="11"/>
      <c r="V1163" s="11"/>
      <c r="W1163" s="11"/>
      <c r="X1163" s="11"/>
      <c r="Y1163" s="11"/>
      <c r="Z1163" s="11"/>
      <c r="AA1163" s="11"/>
    </row>
    <row r="1164" ht="15.75" customHeight="1">
      <c r="A1164" s="737">
        <f t="shared" si="379"/>
        <v>0</v>
      </c>
      <c r="B1164" s="737">
        <f>A1164/'Orbit Info'!$G$10</f>
        <v>0</v>
      </c>
      <c r="C1164" s="737" t="str">
        <f t="shared" si="380"/>
        <v>Housekeeping and events only</v>
      </c>
      <c r="D1164" s="737">
        <f t="shared" si="381"/>
        <v>1</v>
      </c>
      <c r="E1164" s="737" t="str">
        <f t="shared" si="382"/>
        <v>#VALUE!</v>
      </c>
      <c r="F1164" s="737">
        <v>1.0</v>
      </c>
      <c r="G1164" s="737" t="str">
        <f t="shared" si="383"/>
        <v>#VALUE!</v>
      </c>
      <c r="H1164" s="737" t="str">
        <f>MIN($Q$11/('Orbit Info'!G$10),$Q$8*60)</f>
        <v>#VALUE!</v>
      </c>
      <c r="I1164" s="737" t="str">
        <f>IF(D1164=1,$Q$12/'Data DownlinkStorage Budget'!$M$3,0)</f>
        <v>#VALUE!</v>
      </c>
      <c r="J1164" s="737" t="str">
        <f t="shared" si="384"/>
        <v>#VALUE!</v>
      </c>
      <c r="K1164" s="11"/>
      <c r="L1164" s="737" t="str">
        <f t="shared" si="385"/>
        <v>FOUND product plus housekeeping</v>
      </c>
      <c r="M1164" s="737" t="str">
        <f>MIN($Q$18,$Q$10*60)-IF(D1164=1,$Q$17/'Data DownlinkStorage Budget'!$M$3,0)</f>
        <v>#VALUE!</v>
      </c>
      <c r="N1164" s="182"/>
      <c r="O1164" s="737" t="str">
        <f t="shared" si="386"/>
        <v>#VALUE!</v>
      </c>
      <c r="P1164" s="11"/>
      <c r="Q1164" s="11"/>
      <c r="R1164" s="11"/>
      <c r="S1164" s="11"/>
      <c r="T1164" s="11"/>
      <c r="U1164" s="11"/>
      <c r="V1164" s="11"/>
      <c r="W1164" s="11"/>
      <c r="X1164" s="11"/>
      <c r="Y1164" s="11"/>
      <c r="Z1164" s="11"/>
      <c r="AA1164" s="11"/>
    </row>
    <row r="1165" ht="15.75" customHeight="1">
      <c r="A1165" s="737">
        <f t="shared" si="379"/>
        <v>0</v>
      </c>
      <c r="B1165" s="737">
        <f>A1165/'Orbit Info'!$G$10</f>
        <v>0</v>
      </c>
      <c r="C1165" s="737" t="str">
        <f t="shared" si="380"/>
        <v>Housekeeping and events only</v>
      </c>
      <c r="D1165" s="737">
        <f t="shared" si="381"/>
        <v>1</v>
      </c>
      <c r="E1165" s="737" t="str">
        <f t="shared" si="382"/>
        <v>#VALUE!</v>
      </c>
      <c r="F1165" s="737">
        <v>1.0</v>
      </c>
      <c r="G1165" s="737" t="str">
        <f t="shared" si="383"/>
        <v>#VALUE!</v>
      </c>
      <c r="H1165" s="737" t="str">
        <f>MIN($Q$11/('Orbit Info'!G$10),$Q$8*60)</f>
        <v>#VALUE!</v>
      </c>
      <c r="I1165" s="737" t="str">
        <f>IF(D1165=1,$Q$12/'Data DownlinkStorage Budget'!$M$3,0)</f>
        <v>#VALUE!</v>
      </c>
      <c r="J1165" s="737" t="str">
        <f t="shared" si="384"/>
        <v>#VALUE!</v>
      </c>
      <c r="K1165" s="11"/>
      <c r="L1165" s="737" t="str">
        <f t="shared" si="385"/>
        <v>FOUND product plus housekeeping</v>
      </c>
      <c r="M1165" s="737" t="str">
        <f>MIN($Q$18,$Q$10*60)-IF(D1165=1,$Q$17/'Data DownlinkStorage Budget'!$M$3,0)</f>
        <v>#VALUE!</v>
      </c>
      <c r="N1165" s="182"/>
      <c r="O1165" s="737" t="str">
        <f t="shared" si="386"/>
        <v>#VALUE!</v>
      </c>
      <c r="P1165" s="11"/>
      <c r="Q1165" s="11"/>
      <c r="R1165" s="11"/>
      <c r="S1165" s="11"/>
      <c r="T1165" s="11"/>
      <c r="U1165" s="11"/>
      <c r="V1165" s="11"/>
      <c r="W1165" s="11"/>
      <c r="X1165" s="11"/>
      <c r="Y1165" s="11"/>
      <c r="Z1165" s="11"/>
      <c r="AA1165" s="11"/>
    </row>
    <row r="1166" ht="15.75" customHeight="1">
      <c r="A1166" s="737">
        <f t="shared" si="379"/>
        <v>0</v>
      </c>
      <c r="B1166" s="737">
        <f>A1166/'Orbit Info'!$G$10</f>
        <v>0</v>
      </c>
      <c r="C1166" s="737" t="str">
        <f t="shared" si="380"/>
        <v>Housekeeping and events only</v>
      </c>
      <c r="D1166" s="737">
        <f t="shared" si="381"/>
        <v>1</v>
      </c>
      <c r="E1166" s="737" t="str">
        <f t="shared" si="382"/>
        <v>#VALUE!</v>
      </c>
      <c r="F1166" s="737">
        <v>1.0</v>
      </c>
      <c r="G1166" s="737" t="str">
        <f t="shared" si="383"/>
        <v>#VALUE!</v>
      </c>
      <c r="H1166" s="737" t="str">
        <f>MIN($Q$11/('Orbit Info'!G$10),$Q$8*60)</f>
        <v>#VALUE!</v>
      </c>
      <c r="I1166" s="737" t="str">
        <f>IF(D1166=1,$Q$12/'Data DownlinkStorage Budget'!$M$3,0)</f>
        <v>#VALUE!</v>
      </c>
      <c r="J1166" s="737" t="str">
        <f t="shared" si="384"/>
        <v>#VALUE!</v>
      </c>
      <c r="K1166" s="11"/>
      <c r="L1166" s="737" t="str">
        <f t="shared" si="385"/>
        <v>FOUND product plus housekeeping</v>
      </c>
      <c r="M1166" s="737" t="str">
        <f>MIN($Q$18,$Q$10*60)-IF(D1166=1,$Q$17/'Data DownlinkStorage Budget'!$M$3,0)</f>
        <v>#VALUE!</v>
      </c>
      <c r="N1166" s="182"/>
      <c r="O1166" s="737" t="str">
        <f t="shared" si="386"/>
        <v>#VALUE!</v>
      </c>
      <c r="P1166" s="11"/>
      <c r="Q1166" s="11"/>
      <c r="R1166" s="11"/>
      <c r="S1166" s="11"/>
      <c r="T1166" s="11"/>
      <c r="U1166" s="11"/>
      <c r="V1166" s="11"/>
      <c r="W1166" s="11"/>
      <c r="X1166" s="11"/>
      <c r="Y1166" s="11"/>
      <c r="Z1166" s="11"/>
      <c r="AA1166" s="11"/>
    </row>
    <row r="1167" ht="15.75" customHeight="1">
      <c r="A1167" s="737">
        <f t="shared" si="379"/>
        <v>0</v>
      </c>
      <c r="B1167" s="737">
        <f>A1167/'Orbit Info'!$G$10</f>
        <v>0</v>
      </c>
      <c r="C1167" s="737" t="str">
        <f t="shared" si="380"/>
        <v>Housekeeping and events only</v>
      </c>
      <c r="D1167" s="737">
        <f t="shared" si="381"/>
        <v>1</v>
      </c>
      <c r="E1167" s="737" t="str">
        <f t="shared" si="382"/>
        <v>#VALUE!</v>
      </c>
      <c r="F1167" s="737">
        <v>1.0</v>
      </c>
      <c r="G1167" s="737" t="str">
        <f t="shared" si="383"/>
        <v>#VALUE!</v>
      </c>
      <c r="H1167" s="737" t="str">
        <f>MIN($Q$11/('Orbit Info'!G$10),$Q$8*60)</f>
        <v>#VALUE!</v>
      </c>
      <c r="I1167" s="737" t="str">
        <f>IF(D1167=1,$Q$12/'Data DownlinkStorage Budget'!$M$3,0)</f>
        <v>#VALUE!</v>
      </c>
      <c r="J1167" s="737" t="str">
        <f t="shared" si="384"/>
        <v>#VALUE!</v>
      </c>
      <c r="K1167" s="11"/>
      <c r="L1167" s="737" t="str">
        <f t="shared" si="385"/>
        <v>FOUND product plus housekeeping</v>
      </c>
      <c r="M1167" s="737" t="str">
        <f>MIN($Q$18,$Q$10*60)-IF(D1167=1,$Q$17/'Data DownlinkStorage Budget'!$M$3,0)</f>
        <v>#VALUE!</v>
      </c>
      <c r="N1167" s="182"/>
      <c r="O1167" s="737" t="str">
        <f t="shared" si="386"/>
        <v>#VALUE!</v>
      </c>
      <c r="P1167" s="11"/>
      <c r="Q1167" s="11"/>
      <c r="R1167" s="11"/>
      <c r="S1167" s="11"/>
      <c r="T1167" s="11"/>
      <c r="U1167" s="11"/>
      <c r="V1167" s="11"/>
      <c r="W1167" s="11"/>
      <c r="X1167" s="11"/>
      <c r="Y1167" s="11"/>
      <c r="Z1167" s="11"/>
      <c r="AA1167" s="11"/>
    </row>
    <row r="1168" ht="15.75" customHeight="1">
      <c r="A1168" s="737">
        <f t="shared" si="379"/>
        <v>0</v>
      </c>
      <c r="B1168" s="737">
        <f>A1168/'Orbit Info'!$G$10</f>
        <v>0</v>
      </c>
      <c r="C1168" s="737" t="str">
        <f t="shared" si="380"/>
        <v>Housekeeping and events only</v>
      </c>
      <c r="D1168" s="737">
        <f t="shared" si="381"/>
        <v>1</v>
      </c>
      <c r="E1168" s="737" t="str">
        <f t="shared" si="382"/>
        <v>#VALUE!</v>
      </c>
      <c r="F1168" s="737">
        <v>1.0</v>
      </c>
      <c r="G1168" s="737" t="str">
        <f t="shared" si="383"/>
        <v>#VALUE!</v>
      </c>
      <c r="H1168" s="737" t="str">
        <f>MIN($Q$11/('Orbit Info'!G$10),$Q$8*60)</f>
        <v>#VALUE!</v>
      </c>
      <c r="I1168" s="737" t="str">
        <f>IF(D1168=1,$Q$12/'Data DownlinkStorage Budget'!$M$3,0)</f>
        <v>#VALUE!</v>
      </c>
      <c r="J1168" s="737" t="str">
        <f t="shared" si="384"/>
        <v>#VALUE!</v>
      </c>
      <c r="K1168" s="11"/>
      <c r="L1168" s="737" t="str">
        <f t="shared" si="385"/>
        <v>FOUND product plus housekeeping</v>
      </c>
      <c r="M1168" s="737" t="str">
        <f>MIN($Q$18,$Q$10*60)-IF(D1168=1,$Q$17/'Data DownlinkStorage Budget'!$M$3,0)</f>
        <v>#VALUE!</v>
      </c>
      <c r="N1168" s="182"/>
      <c r="O1168" s="737" t="str">
        <f t="shared" si="386"/>
        <v>#VALUE!</v>
      </c>
      <c r="P1168" s="11"/>
      <c r="Q1168" s="11"/>
      <c r="R1168" s="11"/>
      <c r="S1168" s="11"/>
      <c r="T1168" s="11"/>
      <c r="U1168" s="11"/>
      <c r="V1168" s="11"/>
      <c r="W1168" s="11"/>
      <c r="X1168" s="11"/>
      <c r="Y1168" s="11"/>
      <c r="Z1168" s="11"/>
      <c r="AA1168" s="11"/>
    </row>
    <row r="1169" ht="15.75" customHeight="1">
      <c r="A1169" s="737">
        <f t="shared" si="379"/>
        <v>0</v>
      </c>
      <c r="B1169" s="737">
        <f>A1169/'Orbit Info'!$G$10</f>
        <v>0</v>
      </c>
      <c r="C1169" s="737" t="str">
        <f t="shared" si="380"/>
        <v>Housekeeping and events only</v>
      </c>
      <c r="D1169" s="737">
        <f t="shared" si="381"/>
        <v>1</v>
      </c>
      <c r="E1169" s="737" t="str">
        <f t="shared" si="382"/>
        <v>#VALUE!</v>
      </c>
      <c r="F1169" s="737">
        <v>1.0</v>
      </c>
      <c r="G1169" s="737" t="str">
        <f t="shared" si="383"/>
        <v>#VALUE!</v>
      </c>
      <c r="H1169" s="737" t="str">
        <f>MIN($Q$11/('Orbit Info'!G$10),$Q$8*60)</f>
        <v>#VALUE!</v>
      </c>
      <c r="I1169" s="737" t="str">
        <f>IF(D1169=1,$Q$12/'Data DownlinkStorage Budget'!$M$3,0)</f>
        <v>#VALUE!</v>
      </c>
      <c r="J1169" s="737" t="str">
        <f t="shared" si="384"/>
        <v>#VALUE!</v>
      </c>
      <c r="K1169" s="11"/>
      <c r="L1169" s="737" t="str">
        <f t="shared" si="385"/>
        <v>FOUND product plus housekeeping</v>
      </c>
      <c r="M1169" s="737" t="str">
        <f>MIN($Q$18,$Q$10*60)-IF(D1169=1,$Q$17/'Data DownlinkStorage Budget'!$M$3,0)</f>
        <v>#VALUE!</v>
      </c>
      <c r="N1169" s="182"/>
      <c r="O1169" s="737" t="str">
        <f t="shared" si="386"/>
        <v>#VALUE!</v>
      </c>
      <c r="P1169" s="11"/>
      <c r="Q1169" s="11"/>
      <c r="R1169" s="11"/>
      <c r="S1169" s="11"/>
      <c r="T1169" s="11"/>
      <c r="U1169" s="11"/>
      <c r="V1169" s="11"/>
      <c r="W1169" s="11"/>
      <c r="X1169" s="11"/>
      <c r="Y1169" s="11"/>
      <c r="Z1169" s="11"/>
      <c r="AA1169" s="11"/>
    </row>
    <row r="1170" ht="15.75" customHeight="1">
      <c r="A1170" s="737">
        <f t="shared" si="379"/>
        <v>0</v>
      </c>
      <c r="B1170" s="737">
        <f>A1170/'Orbit Info'!$G$10</f>
        <v>0</v>
      </c>
      <c r="C1170" s="737" t="str">
        <f t="shared" si="380"/>
        <v>Housekeeping and events only</v>
      </c>
      <c r="D1170" s="737">
        <f t="shared" si="381"/>
        <v>1</v>
      </c>
      <c r="E1170" s="737" t="str">
        <f t="shared" si="382"/>
        <v>#VALUE!</v>
      </c>
      <c r="F1170" s="737">
        <v>1.0</v>
      </c>
      <c r="G1170" s="737" t="str">
        <f t="shared" si="383"/>
        <v>#VALUE!</v>
      </c>
      <c r="H1170" s="737" t="str">
        <f>MIN($Q$11/('Orbit Info'!G$10),$Q$8*60)</f>
        <v>#VALUE!</v>
      </c>
      <c r="I1170" s="737" t="str">
        <f>IF(D1170=1,$Q$12/'Data DownlinkStorage Budget'!$M$3,0)</f>
        <v>#VALUE!</v>
      </c>
      <c r="J1170" s="737" t="str">
        <f t="shared" si="384"/>
        <v>#VALUE!</v>
      </c>
      <c r="K1170" s="11"/>
      <c r="L1170" s="737" t="str">
        <f t="shared" si="385"/>
        <v>FOUND product plus housekeeping</v>
      </c>
      <c r="M1170" s="737" t="str">
        <f>MIN($Q$18,$Q$10*60)-IF(D1170=1,$Q$17/'Data DownlinkStorage Budget'!$M$3,0)</f>
        <v>#VALUE!</v>
      </c>
      <c r="N1170" s="182"/>
      <c r="O1170" s="737" t="str">
        <f t="shared" si="386"/>
        <v>#VALUE!</v>
      </c>
      <c r="P1170" s="11"/>
      <c r="Q1170" s="11"/>
      <c r="R1170" s="11"/>
      <c r="S1170" s="11"/>
      <c r="T1170" s="11"/>
      <c r="U1170" s="11"/>
      <c r="V1170" s="11"/>
      <c r="W1170" s="11"/>
      <c r="X1170" s="11"/>
      <c r="Y1170" s="11"/>
      <c r="Z1170" s="11"/>
      <c r="AA1170" s="11"/>
    </row>
    <row r="1171" ht="15.75" customHeight="1">
      <c r="A1171" s="737">
        <f t="shared" si="379"/>
        <v>0</v>
      </c>
      <c r="B1171" s="737">
        <f>A1171/'Orbit Info'!$G$10</f>
        <v>0</v>
      </c>
      <c r="C1171" s="737" t="str">
        <f t="shared" si="380"/>
        <v>Housekeeping and events only</v>
      </c>
      <c r="D1171" s="737">
        <f t="shared" si="381"/>
        <v>1</v>
      </c>
      <c r="E1171" s="737" t="str">
        <f t="shared" si="382"/>
        <v>#VALUE!</v>
      </c>
      <c r="F1171" s="737">
        <v>1.0</v>
      </c>
      <c r="G1171" s="737" t="str">
        <f t="shared" si="383"/>
        <v>#VALUE!</v>
      </c>
      <c r="H1171" s="737" t="str">
        <f>MIN($Q$11/('Orbit Info'!G$10),$Q$8*60)</f>
        <v>#VALUE!</v>
      </c>
      <c r="I1171" s="737" t="str">
        <f>IF(D1171=1,$Q$12/'Data DownlinkStorage Budget'!$M$3,0)</f>
        <v>#VALUE!</v>
      </c>
      <c r="J1171" s="737" t="str">
        <f t="shared" si="384"/>
        <v>#VALUE!</v>
      </c>
      <c r="K1171" s="11"/>
      <c r="L1171" s="737" t="str">
        <f t="shared" si="385"/>
        <v>FOUND product plus housekeeping</v>
      </c>
      <c r="M1171" s="737" t="str">
        <f>MIN($Q$18,$Q$10*60)-IF(D1171=1,$Q$17/'Data DownlinkStorage Budget'!$M$3,0)</f>
        <v>#VALUE!</v>
      </c>
      <c r="N1171" s="182"/>
      <c r="O1171" s="737" t="str">
        <f t="shared" si="386"/>
        <v>#VALUE!</v>
      </c>
      <c r="P1171" s="11"/>
      <c r="Q1171" s="11"/>
      <c r="R1171" s="11"/>
      <c r="S1171" s="11"/>
      <c r="T1171" s="11"/>
      <c r="U1171" s="11"/>
      <c r="V1171" s="11"/>
      <c r="W1171" s="11"/>
      <c r="X1171" s="11"/>
      <c r="Y1171" s="11"/>
      <c r="Z1171" s="11"/>
      <c r="AA1171" s="11"/>
    </row>
    <row r="1172" ht="15.75" customHeight="1">
      <c r="A1172" s="737">
        <f t="shared" si="379"/>
        <v>0</v>
      </c>
      <c r="B1172" s="737">
        <f>A1172/'Orbit Info'!$G$10</f>
        <v>0</v>
      </c>
      <c r="C1172" s="737" t="str">
        <f t="shared" si="380"/>
        <v>Housekeeping and events only</v>
      </c>
      <c r="D1172" s="737">
        <f t="shared" si="381"/>
        <v>1</v>
      </c>
      <c r="E1172" s="737" t="str">
        <f t="shared" si="382"/>
        <v>#VALUE!</v>
      </c>
      <c r="F1172" s="737">
        <v>1.0</v>
      </c>
      <c r="G1172" s="737" t="str">
        <f t="shared" si="383"/>
        <v>#VALUE!</v>
      </c>
      <c r="H1172" s="737" t="str">
        <f>MIN($Q$11/('Orbit Info'!G$10),$Q$8*60)</f>
        <v>#VALUE!</v>
      </c>
      <c r="I1172" s="737" t="str">
        <f>IF(D1172=1,$Q$12/'Data DownlinkStorage Budget'!$M$3,0)</f>
        <v>#VALUE!</v>
      </c>
      <c r="J1172" s="737" t="str">
        <f t="shared" si="384"/>
        <v>#VALUE!</v>
      </c>
      <c r="K1172" s="11"/>
      <c r="L1172" s="737" t="str">
        <f t="shared" si="385"/>
        <v>FOUND product plus housekeeping</v>
      </c>
      <c r="M1172" s="737" t="str">
        <f>MIN($Q$18,$Q$10*60)-IF(D1172=1,$Q$17/'Data DownlinkStorage Budget'!$M$3,0)</f>
        <v>#VALUE!</v>
      </c>
      <c r="N1172" s="182"/>
      <c r="O1172" s="737" t="str">
        <f t="shared" si="386"/>
        <v>#VALUE!</v>
      </c>
      <c r="P1172" s="11"/>
      <c r="Q1172" s="11"/>
      <c r="R1172" s="11"/>
      <c r="S1172" s="11"/>
      <c r="T1172" s="11"/>
      <c r="U1172" s="11"/>
      <c r="V1172" s="11"/>
      <c r="W1172" s="11"/>
      <c r="X1172" s="11"/>
      <c r="Y1172" s="11"/>
      <c r="Z1172" s="11"/>
      <c r="AA1172" s="11"/>
    </row>
    <row r="1173" ht="15.75" customHeight="1">
      <c r="A1173" s="737">
        <f t="shared" si="379"/>
        <v>0</v>
      </c>
      <c r="B1173" s="737">
        <f>A1173/'Orbit Info'!$G$10</f>
        <v>0</v>
      </c>
      <c r="C1173" s="737" t="str">
        <f t="shared" si="380"/>
        <v>Housekeeping and events only</v>
      </c>
      <c r="D1173" s="737">
        <f t="shared" si="381"/>
        <v>1</v>
      </c>
      <c r="E1173" s="737" t="str">
        <f t="shared" si="382"/>
        <v>#VALUE!</v>
      </c>
      <c r="F1173" s="737">
        <v>1.0</v>
      </c>
      <c r="G1173" s="737" t="str">
        <f t="shared" si="383"/>
        <v>#VALUE!</v>
      </c>
      <c r="H1173" s="737" t="str">
        <f>MIN($Q$11/('Orbit Info'!G$10),$Q$8*60)</f>
        <v>#VALUE!</v>
      </c>
      <c r="I1173" s="737" t="str">
        <f>IF(D1173=1,$Q$12/'Data DownlinkStorage Budget'!$M$3,0)</f>
        <v>#VALUE!</v>
      </c>
      <c r="J1173" s="737" t="str">
        <f t="shared" si="384"/>
        <v>#VALUE!</v>
      </c>
      <c r="K1173" s="11"/>
      <c r="L1173" s="737" t="str">
        <f t="shared" si="385"/>
        <v>FOUND product plus housekeeping</v>
      </c>
      <c r="M1173" s="737" t="str">
        <f>MIN($Q$18,$Q$10*60)-IF(D1173=1,$Q$17/'Data DownlinkStorage Budget'!$M$3,0)</f>
        <v>#VALUE!</v>
      </c>
      <c r="N1173" s="182"/>
      <c r="O1173" s="737" t="str">
        <f t="shared" si="386"/>
        <v>#VALUE!</v>
      </c>
      <c r="P1173" s="11"/>
      <c r="Q1173" s="11"/>
      <c r="R1173" s="11"/>
      <c r="S1173" s="11"/>
      <c r="T1173" s="11"/>
      <c r="U1173" s="11"/>
      <c r="V1173" s="11"/>
      <c r="W1173" s="11"/>
      <c r="X1173" s="11"/>
      <c r="Y1173" s="11"/>
      <c r="Z1173" s="11"/>
      <c r="AA1173" s="11"/>
    </row>
    <row r="1174" ht="15.75" customHeight="1">
      <c r="A1174" s="737">
        <f t="shared" si="379"/>
        <v>0</v>
      </c>
      <c r="B1174" s="737">
        <f>A1174/'Orbit Info'!$G$10</f>
        <v>0</v>
      </c>
      <c r="C1174" s="737" t="str">
        <f t="shared" si="380"/>
        <v>Housekeeping and events only</v>
      </c>
      <c r="D1174" s="737">
        <f t="shared" si="381"/>
        <v>1</v>
      </c>
      <c r="E1174" s="737" t="str">
        <f t="shared" si="382"/>
        <v>#VALUE!</v>
      </c>
      <c r="F1174" s="737">
        <v>1.0</v>
      </c>
      <c r="G1174" s="737" t="str">
        <f t="shared" si="383"/>
        <v>#VALUE!</v>
      </c>
      <c r="H1174" s="737" t="str">
        <f>MIN($Q$11/('Orbit Info'!G$10),$Q$8*60)</f>
        <v>#VALUE!</v>
      </c>
      <c r="I1174" s="737" t="str">
        <f>IF(D1174=1,$Q$12/'Data DownlinkStorage Budget'!$M$3,0)</f>
        <v>#VALUE!</v>
      </c>
      <c r="J1174" s="737" t="str">
        <f t="shared" si="384"/>
        <v>#VALUE!</v>
      </c>
      <c r="K1174" s="11"/>
      <c r="L1174" s="737" t="str">
        <f t="shared" si="385"/>
        <v>FOUND product plus housekeeping</v>
      </c>
      <c r="M1174" s="737" t="str">
        <f>MIN($Q$18,$Q$10*60)-IF(D1174=1,$Q$17/'Data DownlinkStorage Budget'!$M$3,0)</f>
        <v>#VALUE!</v>
      </c>
      <c r="N1174" s="182"/>
      <c r="O1174" s="737" t="str">
        <f t="shared" si="386"/>
        <v>#VALUE!</v>
      </c>
      <c r="P1174" s="11"/>
      <c r="Q1174" s="11"/>
      <c r="R1174" s="11"/>
      <c r="S1174" s="11"/>
      <c r="T1174" s="11"/>
      <c r="U1174" s="11"/>
      <c r="V1174" s="11"/>
      <c r="W1174" s="11"/>
      <c r="X1174" s="11"/>
      <c r="Y1174" s="11"/>
      <c r="Z1174" s="11"/>
      <c r="AA1174" s="11"/>
    </row>
    <row r="1175" ht="15.75" customHeight="1">
      <c r="A1175" s="737">
        <f t="shared" si="379"/>
        <v>0</v>
      </c>
      <c r="B1175" s="737">
        <f>A1175/'Orbit Info'!$G$10</f>
        <v>0</v>
      </c>
      <c r="C1175" s="737" t="str">
        <f t="shared" si="380"/>
        <v>Housekeeping and events only</v>
      </c>
      <c r="D1175" s="737">
        <f t="shared" si="381"/>
        <v>1</v>
      </c>
      <c r="E1175" s="737" t="str">
        <f t="shared" si="382"/>
        <v>#VALUE!</v>
      </c>
      <c r="F1175" s="737">
        <v>1.0</v>
      </c>
      <c r="G1175" s="737" t="str">
        <f t="shared" si="383"/>
        <v>#VALUE!</v>
      </c>
      <c r="H1175" s="737" t="str">
        <f>MIN($Q$11/('Orbit Info'!G$10),$Q$8*60)</f>
        <v>#VALUE!</v>
      </c>
      <c r="I1175" s="737" t="str">
        <f>IF(D1175=1,$Q$12/'Data DownlinkStorage Budget'!$M$3,0)</f>
        <v>#VALUE!</v>
      </c>
      <c r="J1175" s="737" t="str">
        <f t="shared" si="384"/>
        <v>#VALUE!</v>
      </c>
      <c r="K1175" s="11"/>
      <c r="L1175" s="737" t="str">
        <f t="shared" si="385"/>
        <v>FOUND product plus housekeeping</v>
      </c>
      <c r="M1175" s="737" t="str">
        <f>MIN($Q$18,$Q$10*60)-IF(D1175=1,$Q$17/'Data DownlinkStorage Budget'!$M$3,0)</f>
        <v>#VALUE!</v>
      </c>
      <c r="N1175" s="182"/>
      <c r="O1175" s="737" t="str">
        <f t="shared" si="386"/>
        <v>#VALUE!</v>
      </c>
      <c r="P1175" s="11"/>
      <c r="Q1175" s="11"/>
      <c r="R1175" s="11"/>
      <c r="S1175" s="11"/>
      <c r="T1175" s="11"/>
      <c r="U1175" s="11"/>
      <c r="V1175" s="11"/>
      <c r="W1175" s="11"/>
      <c r="X1175" s="11"/>
      <c r="Y1175" s="11"/>
      <c r="Z1175" s="11"/>
      <c r="AA1175" s="11"/>
    </row>
    <row r="1176" ht="15.75" customHeight="1">
      <c r="A1176" s="737">
        <f t="shared" si="379"/>
        <v>0</v>
      </c>
      <c r="B1176" s="737">
        <f>A1176/'Orbit Info'!$G$10</f>
        <v>0</v>
      </c>
      <c r="C1176" s="737" t="str">
        <f t="shared" si="380"/>
        <v>Housekeeping and events only</v>
      </c>
      <c r="D1176" s="737">
        <f t="shared" si="381"/>
        <v>1</v>
      </c>
      <c r="E1176" s="737" t="str">
        <f t="shared" si="382"/>
        <v>#VALUE!</v>
      </c>
      <c r="F1176" s="737">
        <v>1.0</v>
      </c>
      <c r="G1176" s="737" t="str">
        <f t="shared" si="383"/>
        <v>#VALUE!</v>
      </c>
      <c r="H1176" s="737" t="str">
        <f>MIN($Q$11/('Orbit Info'!G$10),$Q$8*60)</f>
        <v>#VALUE!</v>
      </c>
      <c r="I1176" s="737" t="str">
        <f>IF(D1176=1,$Q$12/'Data DownlinkStorage Budget'!$M$3,0)</f>
        <v>#VALUE!</v>
      </c>
      <c r="J1176" s="737" t="str">
        <f t="shared" si="384"/>
        <v>#VALUE!</v>
      </c>
      <c r="K1176" s="11"/>
      <c r="L1176" s="737" t="str">
        <f t="shared" si="385"/>
        <v>FOUND product plus housekeeping</v>
      </c>
      <c r="M1176" s="737" t="str">
        <f>MIN($Q$18,$Q$10*60)-IF(D1176=1,$Q$17/'Data DownlinkStorage Budget'!$M$3,0)</f>
        <v>#VALUE!</v>
      </c>
      <c r="N1176" s="182"/>
      <c r="O1176" s="737" t="str">
        <f t="shared" si="386"/>
        <v>#VALUE!</v>
      </c>
      <c r="P1176" s="11"/>
      <c r="Q1176" s="11"/>
      <c r="R1176" s="11"/>
      <c r="S1176" s="11"/>
      <c r="T1176" s="11"/>
      <c r="U1176" s="11"/>
      <c r="V1176" s="11"/>
      <c r="W1176" s="11"/>
      <c r="X1176" s="11"/>
      <c r="Y1176" s="11"/>
      <c r="Z1176" s="11"/>
      <c r="AA1176" s="11"/>
    </row>
    <row r="1177" ht="15.75" customHeight="1">
      <c r="A1177" s="737">
        <f t="shared" si="379"/>
        <v>0</v>
      </c>
      <c r="B1177" s="737">
        <f>A1177/'Orbit Info'!$G$10</f>
        <v>0</v>
      </c>
      <c r="C1177" s="737" t="str">
        <f t="shared" si="380"/>
        <v>Housekeeping and events only</v>
      </c>
      <c r="D1177" s="737">
        <f t="shared" si="381"/>
        <v>1</v>
      </c>
      <c r="E1177" s="737" t="str">
        <f t="shared" si="382"/>
        <v>#VALUE!</v>
      </c>
      <c r="F1177" s="737">
        <v>1.0</v>
      </c>
      <c r="G1177" s="737" t="str">
        <f t="shared" si="383"/>
        <v>#VALUE!</v>
      </c>
      <c r="H1177" s="737" t="str">
        <f>MIN($Q$11/('Orbit Info'!G$10),$Q$8*60)</f>
        <v>#VALUE!</v>
      </c>
      <c r="I1177" s="737" t="str">
        <f>IF(D1177=1,$Q$12/'Data DownlinkStorage Budget'!$M$3,0)</f>
        <v>#VALUE!</v>
      </c>
      <c r="J1177" s="737" t="str">
        <f t="shared" si="384"/>
        <v>#VALUE!</v>
      </c>
      <c r="K1177" s="11"/>
      <c r="L1177" s="737" t="str">
        <f t="shared" si="385"/>
        <v>FOUND product plus housekeeping</v>
      </c>
      <c r="M1177" s="737" t="str">
        <f>MIN($Q$18,$Q$10*60)-IF(D1177=1,$Q$17/'Data DownlinkStorage Budget'!$M$3,0)</f>
        <v>#VALUE!</v>
      </c>
      <c r="N1177" s="182"/>
      <c r="O1177" s="737" t="str">
        <f t="shared" si="386"/>
        <v>#VALUE!</v>
      </c>
      <c r="P1177" s="11"/>
      <c r="Q1177" s="11"/>
      <c r="R1177" s="11"/>
      <c r="S1177" s="11"/>
      <c r="T1177" s="11"/>
      <c r="U1177" s="11"/>
      <c r="V1177" s="11"/>
      <c r="W1177" s="11"/>
      <c r="X1177" s="11"/>
      <c r="Y1177" s="11"/>
      <c r="Z1177" s="11"/>
      <c r="AA1177" s="11"/>
    </row>
    <row r="1178" ht="15.75" customHeight="1">
      <c r="A1178" s="737">
        <f t="shared" si="379"/>
        <v>0</v>
      </c>
      <c r="B1178" s="737">
        <f>A1178/'Orbit Info'!$G$10</f>
        <v>0</v>
      </c>
      <c r="C1178" s="737" t="str">
        <f t="shared" si="380"/>
        <v>Housekeeping and events only</v>
      </c>
      <c r="D1178" s="737">
        <f t="shared" si="381"/>
        <v>1</v>
      </c>
      <c r="E1178" s="737" t="str">
        <f t="shared" si="382"/>
        <v>#VALUE!</v>
      </c>
      <c r="F1178" s="737">
        <v>1.0</v>
      </c>
      <c r="G1178" s="737" t="str">
        <f t="shared" si="383"/>
        <v>#VALUE!</v>
      </c>
      <c r="H1178" s="737" t="str">
        <f>MIN($Q$11/('Orbit Info'!G$10),$Q$8*60)</f>
        <v>#VALUE!</v>
      </c>
      <c r="I1178" s="737" t="str">
        <f>IF(D1178=1,$Q$12/'Data DownlinkStorage Budget'!$M$3,0)</f>
        <v>#VALUE!</v>
      </c>
      <c r="J1178" s="737" t="str">
        <f t="shared" si="384"/>
        <v>#VALUE!</v>
      </c>
      <c r="K1178" s="11"/>
      <c r="L1178" s="737" t="str">
        <f t="shared" si="385"/>
        <v>FOUND product plus housekeeping</v>
      </c>
      <c r="M1178" s="737" t="str">
        <f>MIN($Q$18,$Q$10*60)-IF(D1178=1,$Q$17/'Data DownlinkStorage Budget'!$M$3,0)</f>
        <v>#VALUE!</v>
      </c>
      <c r="N1178" s="182"/>
      <c r="O1178" s="737" t="str">
        <f t="shared" si="386"/>
        <v>#VALUE!</v>
      </c>
      <c r="P1178" s="11"/>
      <c r="Q1178" s="11"/>
      <c r="R1178" s="11"/>
      <c r="S1178" s="11"/>
      <c r="T1178" s="11"/>
      <c r="U1178" s="11"/>
      <c r="V1178" s="11"/>
      <c r="W1178" s="11"/>
      <c r="X1178" s="11"/>
      <c r="Y1178" s="11"/>
      <c r="Z1178" s="11"/>
      <c r="AA1178" s="11"/>
    </row>
    <row r="1179" ht="15.75" customHeight="1">
      <c r="A1179" s="737">
        <f t="shared" si="379"/>
        <v>0</v>
      </c>
      <c r="B1179" s="737">
        <f>A1179/'Orbit Info'!$G$10</f>
        <v>0</v>
      </c>
      <c r="C1179" s="737" t="str">
        <f t="shared" si="380"/>
        <v>Housekeeping and events only</v>
      </c>
      <c r="D1179" s="737">
        <f t="shared" si="381"/>
        <v>1</v>
      </c>
      <c r="E1179" s="737" t="str">
        <f t="shared" si="382"/>
        <v>#VALUE!</v>
      </c>
      <c r="F1179" s="737">
        <v>1.0</v>
      </c>
      <c r="G1179" s="737" t="str">
        <f t="shared" si="383"/>
        <v>#VALUE!</v>
      </c>
      <c r="H1179" s="737" t="str">
        <f>MIN($Q$11/('Orbit Info'!G$10),$Q$8*60)</f>
        <v>#VALUE!</v>
      </c>
      <c r="I1179" s="737" t="str">
        <f>IF(D1179=1,$Q$12/'Data DownlinkStorage Budget'!$M$3,0)</f>
        <v>#VALUE!</v>
      </c>
      <c r="J1179" s="737" t="str">
        <f t="shared" si="384"/>
        <v>#VALUE!</v>
      </c>
      <c r="K1179" s="11"/>
      <c r="L1179" s="737" t="str">
        <f t="shared" si="385"/>
        <v>FOUND product plus housekeeping</v>
      </c>
      <c r="M1179" s="737" t="str">
        <f>MIN($Q$18,$Q$10*60)-IF(D1179=1,$Q$17/'Data DownlinkStorage Budget'!$M$3,0)</f>
        <v>#VALUE!</v>
      </c>
      <c r="N1179" s="182"/>
      <c r="O1179" s="737" t="str">
        <f t="shared" si="386"/>
        <v>#VALUE!</v>
      </c>
      <c r="P1179" s="11"/>
      <c r="Q1179" s="11"/>
      <c r="R1179" s="11"/>
      <c r="S1179" s="11"/>
      <c r="T1179" s="11"/>
      <c r="U1179" s="11"/>
      <c r="V1179" s="11"/>
      <c r="W1179" s="11"/>
      <c r="X1179" s="11"/>
      <c r="Y1179" s="11"/>
      <c r="Z1179" s="11"/>
      <c r="AA1179" s="11"/>
    </row>
    <row r="1180" ht="15.75" customHeight="1">
      <c r="A1180" s="737">
        <f t="shared" si="379"/>
        <v>0</v>
      </c>
      <c r="B1180" s="737">
        <f>A1180/'Orbit Info'!$G$10</f>
        <v>0</v>
      </c>
      <c r="C1180" s="737" t="str">
        <f t="shared" si="380"/>
        <v>Housekeeping and events only</v>
      </c>
      <c r="D1180" s="737">
        <f t="shared" si="381"/>
        <v>1</v>
      </c>
      <c r="E1180" s="737" t="str">
        <f t="shared" si="382"/>
        <v>#VALUE!</v>
      </c>
      <c r="F1180" s="737">
        <v>1.0</v>
      </c>
      <c r="G1180" s="737" t="str">
        <f t="shared" si="383"/>
        <v>#VALUE!</v>
      </c>
      <c r="H1180" s="737" t="str">
        <f>MIN($Q$11/('Orbit Info'!G$10),$Q$8*60)</f>
        <v>#VALUE!</v>
      </c>
      <c r="I1180" s="737" t="str">
        <f>IF(D1180=1,$Q$12/'Data DownlinkStorage Budget'!$M$3,0)</f>
        <v>#VALUE!</v>
      </c>
      <c r="J1180" s="737" t="str">
        <f t="shared" si="384"/>
        <v>#VALUE!</v>
      </c>
      <c r="K1180" s="11"/>
      <c r="L1180" s="737" t="str">
        <f t="shared" si="385"/>
        <v>FOUND product plus housekeeping</v>
      </c>
      <c r="M1180" s="737" t="str">
        <f>MIN($Q$18,$Q$10*60)-IF(D1180=1,$Q$17/'Data DownlinkStorage Budget'!$M$3,0)</f>
        <v>#VALUE!</v>
      </c>
      <c r="N1180" s="182"/>
      <c r="O1180" s="737" t="str">
        <f t="shared" si="386"/>
        <v>#VALUE!</v>
      </c>
      <c r="P1180" s="11"/>
      <c r="Q1180" s="11"/>
      <c r="R1180" s="11"/>
      <c r="S1180" s="11"/>
      <c r="T1180" s="11"/>
      <c r="U1180" s="11"/>
      <c r="V1180" s="11"/>
      <c r="W1180" s="11"/>
      <c r="X1180" s="11"/>
      <c r="Y1180" s="11"/>
      <c r="Z1180" s="11"/>
      <c r="AA1180" s="11"/>
    </row>
    <row r="1181" ht="15.75" customHeight="1">
      <c r="A1181" s="737">
        <f t="shared" si="379"/>
        <v>0</v>
      </c>
      <c r="B1181" s="737">
        <f>A1181/'Orbit Info'!$G$10</f>
        <v>0</v>
      </c>
      <c r="C1181" s="737" t="str">
        <f t="shared" si="380"/>
        <v>Housekeeping and events only</v>
      </c>
      <c r="D1181" s="737">
        <f t="shared" si="381"/>
        <v>1</v>
      </c>
      <c r="E1181" s="737" t="str">
        <f t="shared" si="382"/>
        <v>#VALUE!</v>
      </c>
      <c r="F1181" s="737">
        <v>1.0</v>
      </c>
      <c r="G1181" s="737" t="str">
        <f t="shared" si="383"/>
        <v>#VALUE!</v>
      </c>
      <c r="H1181" s="737" t="str">
        <f>MIN($Q$11/('Orbit Info'!G$10),$Q$8*60)</f>
        <v>#VALUE!</v>
      </c>
      <c r="I1181" s="737" t="str">
        <f>IF(D1181=1,$Q$12/'Data DownlinkStorage Budget'!$M$3,0)</f>
        <v>#VALUE!</v>
      </c>
      <c r="J1181" s="737" t="str">
        <f t="shared" si="384"/>
        <v>#VALUE!</v>
      </c>
      <c r="K1181" s="11"/>
      <c r="L1181" s="737" t="str">
        <f t="shared" si="385"/>
        <v>FOUND product plus housekeeping</v>
      </c>
      <c r="M1181" s="737" t="str">
        <f>MIN($Q$18,$Q$10*60)-IF(D1181=1,$Q$17/'Data DownlinkStorage Budget'!$M$3,0)</f>
        <v>#VALUE!</v>
      </c>
      <c r="N1181" s="182"/>
      <c r="O1181" s="737" t="str">
        <f t="shared" si="386"/>
        <v>#VALUE!</v>
      </c>
      <c r="P1181" s="11"/>
      <c r="Q1181" s="11"/>
      <c r="R1181" s="11"/>
      <c r="S1181" s="11"/>
      <c r="T1181" s="11"/>
      <c r="U1181" s="11"/>
      <c r="V1181" s="11"/>
      <c r="W1181" s="11"/>
      <c r="X1181" s="11"/>
      <c r="Y1181" s="11"/>
      <c r="Z1181" s="11"/>
      <c r="AA1181" s="11"/>
    </row>
    <row r="1182" ht="15.75" customHeight="1">
      <c r="A1182" s="737">
        <f t="shared" si="379"/>
        <v>0</v>
      </c>
      <c r="B1182" s="737">
        <f>A1182/'Orbit Info'!$G$10</f>
        <v>0</v>
      </c>
      <c r="C1182" s="737" t="str">
        <f t="shared" si="380"/>
        <v>Housekeeping and events only</v>
      </c>
      <c r="D1182" s="737">
        <f t="shared" si="381"/>
        <v>1</v>
      </c>
      <c r="E1182" s="737" t="str">
        <f t="shared" si="382"/>
        <v>#VALUE!</v>
      </c>
      <c r="F1182" s="737">
        <v>1.0</v>
      </c>
      <c r="G1182" s="737" t="str">
        <f t="shared" si="383"/>
        <v>#VALUE!</v>
      </c>
      <c r="H1182" s="737" t="str">
        <f>MIN($Q$11/('Orbit Info'!G$10),$Q$8*60)</f>
        <v>#VALUE!</v>
      </c>
      <c r="I1182" s="737" t="str">
        <f>IF(D1182=1,$Q$12/'Data DownlinkStorage Budget'!$M$3,0)</f>
        <v>#VALUE!</v>
      </c>
      <c r="J1182" s="737" t="str">
        <f t="shared" si="384"/>
        <v>#VALUE!</v>
      </c>
      <c r="K1182" s="11"/>
      <c r="L1182" s="737" t="str">
        <f t="shared" si="385"/>
        <v>FOUND product plus housekeeping</v>
      </c>
      <c r="M1182" s="737" t="str">
        <f>MIN($Q$18,$Q$10*60)-IF(D1182=1,$Q$17/'Data DownlinkStorage Budget'!$M$3,0)</f>
        <v>#VALUE!</v>
      </c>
      <c r="N1182" s="182"/>
      <c r="O1182" s="737" t="str">
        <f t="shared" si="386"/>
        <v>#VALUE!</v>
      </c>
      <c r="P1182" s="11"/>
      <c r="Q1182" s="11"/>
      <c r="R1182" s="11"/>
      <c r="S1182" s="11"/>
      <c r="T1182" s="11"/>
      <c r="U1182" s="11"/>
      <c r="V1182" s="11"/>
      <c r="W1182" s="11"/>
      <c r="X1182" s="11"/>
      <c r="Y1182" s="11"/>
      <c r="Z1182" s="11"/>
      <c r="AA1182" s="11"/>
    </row>
    <row r="1183" ht="15.75" customHeight="1">
      <c r="A1183" s="737">
        <f t="shared" si="379"/>
        <v>0</v>
      </c>
      <c r="B1183" s="737">
        <f>A1183/'Orbit Info'!$G$10</f>
        <v>0</v>
      </c>
      <c r="C1183" s="737" t="str">
        <f t="shared" si="380"/>
        <v>Housekeeping and events only</v>
      </c>
      <c r="D1183" s="737">
        <f t="shared" si="381"/>
        <v>1</v>
      </c>
      <c r="E1183" s="737" t="str">
        <f t="shared" si="382"/>
        <v>#VALUE!</v>
      </c>
      <c r="F1183" s="737">
        <v>1.0</v>
      </c>
      <c r="G1183" s="737" t="str">
        <f t="shared" si="383"/>
        <v>#VALUE!</v>
      </c>
      <c r="H1183" s="737" t="str">
        <f>MIN($Q$11/('Orbit Info'!G$10),$Q$8*60)</f>
        <v>#VALUE!</v>
      </c>
      <c r="I1183" s="737" t="str">
        <f>IF(D1183=1,$Q$12/'Data DownlinkStorage Budget'!$M$3,0)</f>
        <v>#VALUE!</v>
      </c>
      <c r="J1183" s="737" t="str">
        <f t="shared" si="384"/>
        <v>#VALUE!</v>
      </c>
      <c r="K1183" s="11"/>
      <c r="L1183" s="737" t="str">
        <f t="shared" si="385"/>
        <v>FOUND product plus housekeeping</v>
      </c>
      <c r="M1183" s="737" t="str">
        <f>MIN($Q$18,$Q$10*60)-IF(D1183=1,$Q$17/'Data DownlinkStorage Budget'!$M$3,0)</f>
        <v>#VALUE!</v>
      </c>
      <c r="N1183" s="182"/>
      <c r="O1183" s="737" t="str">
        <f t="shared" si="386"/>
        <v>#VALUE!</v>
      </c>
      <c r="P1183" s="11"/>
      <c r="Q1183" s="11"/>
      <c r="R1183" s="11"/>
      <c r="S1183" s="11"/>
      <c r="T1183" s="11"/>
      <c r="U1183" s="11"/>
      <c r="V1183" s="11"/>
      <c r="W1183" s="11"/>
      <c r="X1183" s="11"/>
      <c r="Y1183" s="11"/>
      <c r="Z1183" s="11"/>
      <c r="AA1183" s="11"/>
    </row>
    <row r="1184" ht="15.75" customHeight="1">
      <c r="A1184" s="737">
        <f t="shared" si="379"/>
        <v>0</v>
      </c>
      <c r="B1184" s="737">
        <f>A1184/'Orbit Info'!$G$10</f>
        <v>0</v>
      </c>
      <c r="C1184" s="737" t="str">
        <f t="shared" si="380"/>
        <v>Housekeeping and events only</v>
      </c>
      <c r="D1184" s="737">
        <f t="shared" si="381"/>
        <v>1</v>
      </c>
      <c r="E1184" s="737" t="str">
        <f t="shared" si="382"/>
        <v>#VALUE!</v>
      </c>
      <c r="F1184" s="737">
        <v>1.0</v>
      </c>
      <c r="G1184" s="737" t="str">
        <f t="shared" si="383"/>
        <v>#VALUE!</v>
      </c>
      <c r="H1184" s="737" t="str">
        <f>MIN($Q$11/('Orbit Info'!G$10),$Q$8*60)</f>
        <v>#VALUE!</v>
      </c>
      <c r="I1184" s="737" t="str">
        <f>IF(D1184=1,$Q$12/'Data DownlinkStorage Budget'!$M$3,0)</f>
        <v>#VALUE!</v>
      </c>
      <c r="J1184" s="737" t="str">
        <f t="shared" si="384"/>
        <v>#VALUE!</v>
      </c>
      <c r="K1184" s="11"/>
      <c r="L1184" s="737" t="str">
        <f t="shared" si="385"/>
        <v>FOUND product plus housekeeping</v>
      </c>
      <c r="M1184" s="737" t="str">
        <f>MIN($Q$18,$Q$10*60)-IF(D1184=1,$Q$17/'Data DownlinkStorage Budget'!$M$3,0)</f>
        <v>#VALUE!</v>
      </c>
      <c r="N1184" s="182"/>
      <c r="O1184" s="737" t="str">
        <f t="shared" si="386"/>
        <v>#VALUE!</v>
      </c>
      <c r="P1184" s="11"/>
      <c r="Q1184" s="11"/>
      <c r="R1184" s="11"/>
      <c r="S1184" s="11"/>
      <c r="T1184" s="11"/>
      <c r="U1184" s="11"/>
      <c r="V1184" s="11"/>
      <c r="W1184" s="11"/>
      <c r="X1184" s="11"/>
      <c r="Y1184" s="11"/>
      <c r="Z1184" s="11"/>
      <c r="AA1184" s="11"/>
    </row>
    <row r="1185" ht="15.75" customHeight="1">
      <c r="A1185" s="737">
        <f t="shared" si="379"/>
        <v>0</v>
      </c>
      <c r="B1185" s="737">
        <f>A1185/'Orbit Info'!$G$10</f>
        <v>0</v>
      </c>
      <c r="C1185" s="737" t="str">
        <f t="shared" si="380"/>
        <v>Housekeeping and events only</v>
      </c>
      <c r="D1185" s="737">
        <f t="shared" si="381"/>
        <v>1</v>
      </c>
      <c r="E1185" s="737" t="str">
        <f t="shared" si="382"/>
        <v>#VALUE!</v>
      </c>
      <c r="F1185" s="737">
        <v>1.0</v>
      </c>
      <c r="G1185" s="737" t="str">
        <f t="shared" si="383"/>
        <v>#VALUE!</v>
      </c>
      <c r="H1185" s="737" t="str">
        <f>MIN($Q$11/('Orbit Info'!G$10),$Q$8*60)</f>
        <v>#VALUE!</v>
      </c>
      <c r="I1185" s="737" t="str">
        <f>IF(D1185=1,$Q$12/'Data DownlinkStorage Budget'!$M$3,0)</f>
        <v>#VALUE!</v>
      </c>
      <c r="J1185" s="737" t="str">
        <f t="shared" si="384"/>
        <v>#VALUE!</v>
      </c>
      <c r="K1185" s="11"/>
      <c r="L1185" s="737" t="str">
        <f t="shared" si="385"/>
        <v>FOUND product plus housekeeping</v>
      </c>
      <c r="M1185" s="737" t="str">
        <f>MIN($Q$18,$Q$10*60)-IF(D1185=1,$Q$17/'Data DownlinkStorage Budget'!$M$3,0)</f>
        <v>#VALUE!</v>
      </c>
      <c r="N1185" s="182"/>
      <c r="O1185" s="737" t="str">
        <f t="shared" si="386"/>
        <v>#VALUE!</v>
      </c>
      <c r="P1185" s="11"/>
      <c r="Q1185" s="11"/>
      <c r="R1185" s="11"/>
      <c r="S1185" s="11"/>
      <c r="T1185" s="11"/>
      <c r="U1185" s="11"/>
      <c r="V1185" s="11"/>
      <c r="W1185" s="11"/>
      <c r="X1185" s="11"/>
      <c r="Y1185" s="11"/>
      <c r="Z1185" s="11"/>
      <c r="AA1185" s="11"/>
    </row>
    <row r="1186" ht="15.75" customHeight="1">
      <c r="A1186" s="737">
        <f t="shared" si="379"/>
        <v>0</v>
      </c>
      <c r="B1186" s="737">
        <f>A1186/'Orbit Info'!$G$10</f>
        <v>0</v>
      </c>
      <c r="C1186" s="737" t="str">
        <f t="shared" si="380"/>
        <v>Housekeeping and events only</v>
      </c>
      <c r="D1186" s="737">
        <f t="shared" si="381"/>
        <v>1</v>
      </c>
      <c r="E1186" s="737" t="str">
        <f t="shared" si="382"/>
        <v>#VALUE!</v>
      </c>
      <c r="F1186" s="737">
        <v>1.0</v>
      </c>
      <c r="G1186" s="737" t="str">
        <f t="shared" si="383"/>
        <v>#VALUE!</v>
      </c>
      <c r="H1186" s="737" t="str">
        <f>MIN($Q$11/('Orbit Info'!G$10),$Q$8*60)</f>
        <v>#VALUE!</v>
      </c>
      <c r="I1186" s="737" t="str">
        <f>IF(D1186=1,$Q$12/'Data DownlinkStorage Budget'!$M$3,0)</f>
        <v>#VALUE!</v>
      </c>
      <c r="J1186" s="737" t="str">
        <f t="shared" si="384"/>
        <v>#VALUE!</v>
      </c>
      <c r="K1186" s="11"/>
      <c r="L1186" s="737" t="str">
        <f t="shared" si="385"/>
        <v>FOUND product plus housekeeping</v>
      </c>
      <c r="M1186" s="737" t="str">
        <f>MIN($Q$18,$Q$10*60)-IF(D1186=1,$Q$17/'Data DownlinkStorage Budget'!$M$3,0)</f>
        <v>#VALUE!</v>
      </c>
      <c r="N1186" s="182"/>
      <c r="O1186" s="737" t="str">
        <f t="shared" si="386"/>
        <v>#VALUE!</v>
      </c>
      <c r="P1186" s="11"/>
      <c r="Q1186" s="11"/>
      <c r="R1186" s="11"/>
      <c r="S1186" s="11"/>
      <c r="T1186" s="11"/>
      <c r="U1186" s="11"/>
      <c r="V1186" s="11"/>
      <c r="W1186" s="11"/>
      <c r="X1186" s="11"/>
      <c r="Y1186" s="11"/>
      <c r="Z1186" s="11"/>
      <c r="AA1186" s="11"/>
    </row>
    <row r="1187" ht="15.75" customHeight="1">
      <c r="A1187" s="737">
        <f t="shared" si="379"/>
        <v>0</v>
      </c>
      <c r="B1187" s="737">
        <f>A1187/'Orbit Info'!$G$10</f>
        <v>0</v>
      </c>
      <c r="C1187" s="737" t="str">
        <f t="shared" si="380"/>
        <v>Housekeeping and events only</v>
      </c>
      <c r="D1187" s="737">
        <f t="shared" si="381"/>
        <v>1</v>
      </c>
      <c r="E1187" s="737" t="str">
        <f t="shared" si="382"/>
        <v>#VALUE!</v>
      </c>
      <c r="F1187" s="737">
        <v>1.0</v>
      </c>
      <c r="G1187" s="737" t="str">
        <f t="shared" si="383"/>
        <v>#VALUE!</v>
      </c>
      <c r="H1187" s="737" t="str">
        <f>MIN($Q$11/('Orbit Info'!G$10),$Q$8*60)</f>
        <v>#VALUE!</v>
      </c>
      <c r="I1187" s="737" t="str">
        <f>IF(D1187=1,$Q$12/'Data DownlinkStorage Budget'!$M$3,0)</f>
        <v>#VALUE!</v>
      </c>
      <c r="J1187" s="737" t="str">
        <f t="shared" si="384"/>
        <v>#VALUE!</v>
      </c>
      <c r="K1187" s="11"/>
      <c r="L1187" s="737" t="str">
        <f t="shared" si="385"/>
        <v>FOUND product plus housekeeping</v>
      </c>
      <c r="M1187" s="737" t="str">
        <f>MIN($Q$18,$Q$10*60)-IF(D1187=1,$Q$17/'Data DownlinkStorage Budget'!$M$3,0)</f>
        <v>#VALUE!</v>
      </c>
      <c r="N1187" s="182"/>
      <c r="O1187" s="737" t="str">
        <f t="shared" si="386"/>
        <v>#VALUE!</v>
      </c>
      <c r="P1187" s="11"/>
      <c r="Q1187" s="11"/>
      <c r="R1187" s="11"/>
      <c r="S1187" s="11"/>
      <c r="T1187" s="11"/>
      <c r="U1187" s="11"/>
      <c r="V1187" s="11"/>
      <c r="W1187" s="11"/>
      <c r="X1187" s="11"/>
      <c r="Y1187" s="11"/>
      <c r="Z1187" s="11"/>
      <c r="AA1187" s="11"/>
    </row>
    <row r="1188" ht="15.75" customHeight="1">
      <c r="A1188" s="737">
        <f t="shared" si="379"/>
        <v>0</v>
      </c>
      <c r="B1188" s="737">
        <f>A1188/'Orbit Info'!$G$10</f>
        <v>0</v>
      </c>
      <c r="C1188" s="737" t="str">
        <f t="shared" si="380"/>
        <v>Housekeeping and events only</v>
      </c>
      <c r="D1188" s="737">
        <f t="shared" si="381"/>
        <v>1</v>
      </c>
      <c r="E1188" s="737" t="str">
        <f t="shared" si="382"/>
        <v>#VALUE!</v>
      </c>
      <c r="F1188" s="737">
        <v>1.0</v>
      </c>
      <c r="G1188" s="737" t="str">
        <f t="shared" si="383"/>
        <v>#VALUE!</v>
      </c>
      <c r="H1188" s="737" t="str">
        <f>MIN($Q$11/('Orbit Info'!G$10),$Q$8*60)</f>
        <v>#VALUE!</v>
      </c>
      <c r="I1188" s="737" t="str">
        <f>IF(D1188=1,$Q$12/'Data DownlinkStorage Budget'!$M$3,0)</f>
        <v>#VALUE!</v>
      </c>
      <c r="J1188" s="737" t="str">
        <f t="shared" si="384"/>
        <v>#VALUE!</v>
      </c>
      <c r="K1188" s="11"/>
      <c r="L1188" s="737" t="str">
        <f t="shared" si="385"/>
        <v>FOUND product plus housekeeping</v>
      </c>
      <c r="M1188" s="737" t="str">
        <f>MIN($Q$18,$Q$10*60)-IF(D1188=1,$Q$17/'Data DownlinkStorage Budget'!$M$3,0)</f>
        <v>#VALUE!</v>
      </c>
      <c r="N1188" s="182"/>
      <c r="O1188" s="737" t="str">
        <f t="shared" si="386"/>
        <v>#VALUE!</v>
      </c>
      <c r="P1188" s="11"/>
      <c r="Q1188" s="11"/>
      <c r="R1188" s="11"/>
      <c r="S1188" s="11"/>
      <c r="T1188" s="11"/>
      <c r="U1188" s="11"/>
      <c r="V1188" s="11"/>
      <c r="W1188" s="11"/>
      <c r="X1188" s="11"/>
      <c r="Y1188" s="11"/>
      <c r="Z1188" s="11"/>
      <c r="AA1188" s="11"/>
    </row>
    <row r="1189" ht="15.75" customHeight="1">
      <c r="A1189" s="737">
        <f t="shared" si="379"/>
        <v>0</v>
      </c>
      <c r="B1189" s="737">
        <f>A1189/'Orbit Info'!$G$10</f>
        <v>0</v>
      </c>
      <c r="C1189" s="737" t="str">
        <f t="shared" si="380"/>
        <v>Housekeeping and events only</v>
      </c>
      <c r="D1189" s="737">
        <f t="shared" si="381"/>
        <v>1</v>
      </c>
      <c r="E1189" s="737" t="str">
        <f t="shared" si="382"/>
        <v>#VALUE!</v>
      </c>
      <c r="F1189" s="737">
        <v>1.0</v>
      </c>
      <c r="G1189" s="737" t="str">
        <f t="shared" si="383"/>
        <v>#VALUE!</v>
      </c>
      <c r="H1189" s="737" t="str">
        <f>MIN($Q$11/('Orbit Info'!G$10),$Q$8*60)</f>
        <v>#VALUE!</v>
      </c>
      <c r="I1189" s="737" t="str">
        <f>IF(D1189=1,$Q$12/'Data DownlinkStorage Budget'!$M$3,0)</f>
        <v>#VALUE!</v>
      </c>
      <c r="J1189" s="737" t="str">
        <f t="shared" si="384"/>
        <v>#VALUE!</v>
      </c>
      <c r="K1189" s="11"/>
      <c r="L1189" s="737" t="str">
        <f t="shared" si="385"/>
        <v>FOUND product plus housekeeping</v>
      </c>
      <c r="M1189" s="737" t="str">
        <f>MIN($Q$18,$Q$10*60)-IF(D1189=1,$Q$17/'Data DownlinkStorage Budget'!$M$3,0)</f>
        <v>#VALUE!</v>
      </c>
      <c r="N1189" s="182"/>
      <c r="O1189" s="737" t="str">
        <f t="shared" si="386"/>
        <v>#VALUE!</v>
      </c>
      <c r="P1189" s="11"/>
      <c r="Q1189" s="11"/>
      <c r="R1189" s="11"/>
      <c r="S1189" s="11"/>
      <c r="T1189" s="11"/>
      <c r="U1189" s="11"/>
      <c r="V1189" s="11"/>
      <c r="W1189" s="11"/>
      <c r="X1189" s="11"/>
      <c r="Y1189" s="11"/>
      <c r="Z1189" s="11"/>
      <c r="AA1189" s="11"/>
    </row>
    <row r="1190" ht="15.75" customHeight="1">
      <c r="A1190" s="737">
        <f t="shared" si="379"/>
        <v>0</v>
      </c>
      <c r="B1190" s="737">
        <f>A1190/'Orbit Info'!$G$10</f>
        <v>0</v>
      </c>
      <c r="C1190" s="737" t="str">
        <f t="shared" si="380"/>
        <v>Housekeeping and events only</v>
      </c>
      <c r="D1190" s="737">
        <f t="shared" si="381"/>
        <v>1</v>
      </c>
      <c r="E1190" s="737" t="str">
        <f t="shared" si="382"/>
        <v>#VALUE!</v>
      </c>
      <c r="F1190" s="737">
        <v>1.0</v>
      </c>
      <c r="G1190" s="737" t="str">
        <f t="shared" si="383"/>
        <v>#VALUE!</v>
      </c>
      <c r="H1190" s="737" t="str">
        <f>MIN($Q$11/('Orbit Info'!G$10),$Q$8*60)</f>
        <v>#VALUE!</v>
      </c>
      <c r="I1190" s="737" t="str">
        <f>IF(D1190=1,$Q$12/'Data DownlinkStorage Budget'!$M$3,0)</f>
        <v>#VALUE!</v>
      </c>
      <c r="J1190" s="737" t="str">
        <f t="shared" si="384"/>
        <v>#VALUE!</v>
      </c>
      <c r="K1190" s="11"/>
      <c r="L1190" s="737" t="str">
        <f t="shared" si="385"/>
        <v>FOUND product plus housekeeping</v>
      </c>
      <c r="M1190" s="737" t="str">
        <f>MIN($Q$18,$Q$10*60)-IF(D1190=1,$Q$17/'Data DownlinkStorage Budget'!$M$3,0)</f>
        <v>#VALUE!</v>
      </c>
      <c r="N1190" s="182"/>
      <c r="O1190" s="737" t="str">
        <f t="shared" si="386"/>
        <v>#VALUE!</v>
      </c>
      <c r="P1190" s="11"/>
      <c r="Q1190" s="11"/>
      <c r="R1190" s="11"/>
      <c r="S1190" s="11"/>
      <c r="T1190" s="11"/>
      <c r="U1190" s="11"/>
      <c r="V1190" s="11"/>
      <c r="W1190" s="11"/>
      <c r="X1190" s="11"/>
      <c r="Y1190" s="11"/>
      <c r="Z1190" s="11"/>
      <c r="AA1190" s="11"/>
    </row>
    <row r="1191" ht="15.75" customHeight="1">
      <c r="A1191" s="737">
        <f t="shared" si="379"/>
        <v>0</v>
      </c>
      <c r="B1191" s="737">
        <f>A1191/'Orbit Info'!$G$10</f>
        <v>0</v>
      </c>
      <c r="C1191" s="737" t="str">
        <f t="shared" si="380"/>
        <v>Housekeeping and events only</v>
      </c>
      <c r="D1191" s="737">
        <f t="shared" si="381"/>
        <v>1</v>
      </c>
      <c r="E1191" s="737" t="str">
        <f t="shared" si="382"/>
        <v>#VALUE!</v>
      </c>
      <c r="F1191" s="737">
        <v>1.0</v>
      </c>
      <c r="G1191" s="737" t="str">
        <f t="shared" si="383"/>
        <v>#VALUE!</v>
      </c>
      <c r="H1191" s="737" t="str">
        <f>MIN($Q$11/('Orbit Info'!G$10),$Q$8*60)</f>
        <v>#VALUE!</v>
      </c>
      <c r="I1191" s="737" t="str">
        <f>IF(D1191=1,$Q$12/'Data DownlinkStorage Budget'!$M$3,0)</f>
        <v>#VALUE!</v>
      </c>
      <c r="J1191" s="737" t="str">
        <f t="shared" si="384"/>
        <v>#VALUE!</v>
      </c>
      <c r="K1191" s="11"/>
      <c r="L1191" s="737" t="str">
        <f t="shared" si="385"/>
        <v>FOUND product plus housekeeping</v>
      </c>
      <c r="M1191" s="737" t="str">
        <f>MIN($Q$18,$Q$10*60)-IF(D1191=1,$Q$17/'Data DownlinkStorage Budget'!$M$3,0)</f>
        <v>#VALUE!</v>
      </c>
      <c r="N1191" s="182"/>
      <c r="O1191" s="737" t="str">
        <f t="shared" si="386"/>
        <v>#VALUE!</v>
      </c>
      <c r="P1191" s="11"/>
      <c r="Q1191" s="11"/>
      <c r="R1191" s="11"/>
      <c r="S1191" s="11"/>
      <c r="T1191" s="11"/>
      <c r="U1191" s="11"/>
      <c r="V1191" s="11"/>
      <c r="W1191" s="11"/>
      <c r="X1191" s="11"/>
      <c r="Y1191" s="11"/>
      <c r="Z1191" s="11"/>
      <c r="AA1191" s="11"/>
    </row>
    <row r="1192" ht="15.75" customHeight="1">
      <c r="A1192" s="737">
        <f t="shared" si="379"/>
        <v>0</v>
      </c>
      <c r="B1192" s="737">
        <f>A1192/'Orbit Info'!$G$10</f>
        <v>0</v>
      </c>
      <c r="C1192" s="737" t="str">
        <f t="shared" si="380"/>
        <v>Housekeeping and events only</v>
      </c>
      <c r="D1192" s="737">
        <f t="shared" si="381"/>
        <v>1</v>
      </c>
      <c r="E1192" s="737" t="str">
        <f t="shared" si="382"/>
        <v>#VALUE!</v>
      </c>
      <c r="F1192" s="737">
        <v>1.0</v>
      </c>
      <c r="G1192" s="737" t="str">
        <f t="shared" si="383"/>
        <v>#VALUE!</v>
      </c>
      <c r="H1192" s="737" t="str">
        <f>MIN($Q$11/('Orbit Info'!G$10),$Q$8*60)</f>
        <v>#VALUE!</v>
      </c>
      <c r="I1192" s="737" t="str">
        <f>IF(D1192=1,$Q$12/'Data DownlinkStorage Budget'!$M$3,0)</f>
        <v>#VALUE!</v>
      </c>
      <c r="J1192" s="737" t="str">
        <f t="shared" si="384"/>
        <v>#VALUE!</v>
      </c>
      <c r="K1192" s="11"/>
      <c r="L1192" s="737" t="str">
        <f t="shared" si="385"/>
        <v>FOUND product plus housekeeping</v>
      </c>
      <c r="M1192" s="737" t="str">
        <f>MIN($Q$18,$Q$10*60)-IF(D1192=1,$Q$17/'Data DownlinkStorage Budget'!$M$3,0)</f>
        <v>#VALUE!</v>
      </c>
      <c r="N1192" s="182"/>
      <c r="O1192" s="737" t="str">
        <f t="shared" si="386"/>
        <v>#VALUE!</v>
      </c>
      <c r="P1192" s="11"/>
      <c r="Q1192" s="11"/>
      <c r="R1192" s="11"/>
      <c r="S1192" s="11"/>
      <c r="T1192" s="11"/>
      <c r="U1192" s="11"/>
      <c r="V1192" s="11"/>
      <c r="W1192" s="11"/>
      <c r="X1192" s="11"/>
      <c r="Y1192" s="11"/>
      <c r="Z1192" s="11"/>
      <c r="AA1192" s="11"/>
    </row>
    <row r="1193" ht="15.75" customHeight="1">
      <c r="A1193" s="737">
        <f t="shared" si="379"/>
        <v>0</v>
      </c>
      <c r="B1193" s="737">
        <f>A1193/'Orbit Info'!$G$10</f>
        <v>0</v>
      </c>
      <c r="C1193" s="737" t="str">
        <f t="shared" si="380"/>
        <v>Housekeeping and events only</v>
      </c>
      <c r="D1193" s="737">
        <f t="shared" si="381"/>
        <v>1</v>
      </c>
      <c r="E1193" s="737" t="str">
        <f t="shared" si="382"/>
        <v>#VALUE!</v>
      </c>
      <c r="F1193" s="737">
        <v>1.0</v>
      </c>
      <c r="G1193" s="737" t="str">
        <f t="shared" si="383"/>
        <v>#VALUE!</v>
      </c>
      <c r="H1193" s="737" t="str">
        <f>MIN($Q$11/('Orbit Info'!G$10),$Q$8*60)</f>
        <v>#VALUE!</v>
      </c>
      <c r="I1193" s="737" t="str">
        <f>IF(D1193=1,$Q$12/'Data DownlinkStorage Budget'!$M$3,0)</f>
        <v>#VALUE!</v>
      </c>
      <c r="J1193" s="737" t="str">
        <f t="shared" si="384"/>
        <v>#VALUE!</v>
      </c>
      <c r="K1193" s="11"/>
      <c r="L1193" s="737" t="str">
        <f t="shared" si="385"/>
        <v>FOUND product plus housekeeping</v>
      </c>
      <c r="M1193" s="737" t="str">
        <f>MIN($Q$18,$Q$10*60)-IF(D1193=1,$Q$17/'Data DownlinkStorage Budget'!$M$3,0)</f>
        <v>#VALUE!</v>
      </c>
      <c r="N1193" s="182"/>
      <c r="O1193" s="737" t="str">
        <f t="shared" si="386"/>
        <v>#VALUE!</v>
      </c>
      <c r="P1193" s="11"/>
      <c r="Q1193" s="11"/>
      <c r="R1193" s="11"/>
      <c r="S1193" s="11"/>
      <c r="T1193" s="11"/>
      <c r="U1193" s="11"/>
      <c r="V1193" s="11"/>
      <c r="W1193" s="11"/>
      <c r="X1193" s="11"/>
      <c r="Y1193" s="11"/>
      <c r="Z1193" s="11"/>
      <c r="AA1193" s="11"/>
    </row>
    <row r="1194" ht="15.75" customHeight="1">
      <c r="A1194" s="737">
        <f t="shared" si="379"/>
        <v>0</v>
      </c>
      <c r="B1194" s="737">
        <f>A1194/'Orbit Info'!$G$10</f>
        <v>0</v>
      </c>
      <c r="C1194" s="737" t="str">
        <f t="shared" si="380"/>
        <v>Housekeeping and events only</v>
      </c>
      <c r="D1194" s="737">
        <f t="shared" si="381"/>
        <v>1</v>
      </c>
      <c r="E1194" s="737" t="str">
        <f t="shared" si="382"/>
        <v>#VALUE!</v>
      </c>
      <c r="F1194" s="737">
        <v>1.0</v>
      </c>
      <c r="G1194" s="737" t="str">
        <f t="shared" si="383"/>
        <v>#VALUE!</v>
      </c>
      <c r="H1194" s="737" t="str">
        <f>MIN($Q$11/('Orbit Info'!G$10),$Q$8*60)</f>
        <v>#VALUE!</v>
      </c>
      <c r="I1194" s="737" t="str">
        <f>IF(D1194=1,$Q$12/'Data DownlinkStorage Budget'!$M$3,0)</f>
        <v>#VALUE!</v>
      </c>
      <c r="J1194" s="737" t="str">
        <f t="shared" si="384"/>
        <v>#VALUE!</v>
      </c>
      <c r="K1194" s="11"/>
      <c r="L1194" s="737" t="str">
        <f t="shared" si="385"/>
        <v>FOUND product plus housekeeping</v>
      </c>
      <c r="M1194" s="737" t="str">
        <f>MIN($Q$18,$Q$10*60)-IF(D1194=1,$Q$17/'Data DownlinkStorage Budget'!$M$3,0)</f>
        <v>#VALUE!</v>
      </c>
      <c r="N1194" s="182"/>
      <c r="O1194" s="737" t="str">
        <f t="shared" si="386"/>
        <v>#VALUE!</v>
      </c>
      <c r="P1194" s="11"/>
      <c r="Q1194" s="11"/>
      <c r="R1194" s="11"/>
      <c r="S1194" s="11"/>
      <c r="T1194" s="11"/>
      <c r="U1194" s="11"/>
      <c r="V1194" s="11"/>
      <c r="W1194" s="11"/>
      <c r="X1194" s="11"/>
      <c r="Y1194" s="11"/>
      <c r="Z1194" s="11"/>
      <c r="AA1194" s="11"/>
    </row>
    <row r="1195" ht="15.75" customHeight="1">
      <c r="A1195" s="737">
        <f t="shared" si="379"/>
        <v>0</v>
      </c>
      <c r="B1195" s="737">
        <f>A1195/'Orbit Info'!$G$10</f>
        <v>0</v>
      </c>
      <c r="C1195" s="737" t="str">
        <f t="shared" si="380"/>
        <v>Housekeeping and events only</v>
      </c>
      <c r="D1195" s="737">
        <f t="shared" si="381"/>
        <v>1</v>
      </c>
      <c r="E1195" s="737" t="str">
        <f t="shared" si="382"/>
        <v>#VALUE!</v>
      </c>
      <c r="F1195" s="737">
        <v>1.0</v>
      </c>
      <c r="G1195" s="737" t="str">
        <f t="shared" si="383"/>
        <v>#VALUE!</v>
      </c>
      <c r="H1195" s="737" t="str">
        <f>MIN($Q$11/('Orbit Info'!G$10),$Q$8*60)</f>
        <v>#VALUE!</v>
      </c>
      <c r="I1195" s="737" t="str">
        <f>IF(D1195=1,$Q$12/'Data DownlinkStorage Budget'!$M$3,0)</f>
        <v>#VALUE!</v>
      </c>
      <c r="J1195" s="737" t="str">
        <f t="shared" si="384"/>
        <v>#VALUE!</v>
      </c>
      <c r="K1195" s="11"/>
      <c r="L1195" s="737" t="str">
        <f t="shared" si="385"/>
        <v>FOUND product plus housekeeping</v>
      </c>
      <c r="M1195" s="737" t="str">
        <f>MIN($Q$18,$Q$10*60)-IF(D1195=1,$Q$17/'Data DownlinkStorage Budget'!$M$3,0)</f>
        <v>#VALUE!</v>
      </c>
      <c r="N1195" s="182"/>
      <c r="O1195" s="737" t="str">
        <f t="shared" si="386"/>
        <v>#VALUE!</v>
      </c>
      <c r="P1195" s="11"/>
      <c r="Q1195" s="11"/>
      <c r="R1195" s="11"/>
      <c r="S1195" s="11"/>
      <c r="T1195" s="11"/>
      <c r="U1195" s="11"/>
      <c r="V1195" s="11"/>
      <c r="W1195" s="11"/>
      <c r="X1195" s="11"/>
      <c r="Y1195" s="11"/>
      <c r="Z1195" s="11"/>
      <c r="AA1195" s="11"/>
    </row>
    <row r="1196" ht="15.75" customHeight="1">
      <c r="A1196" s="737">
        <f t="shared" si="379"/>
        <v>0</v>
      </c>
      <c r="B1196" s="737">
        <f>A1196/'Orbit Info'!$G$10</f>
        <v>0</v>
      </c>
      <c r="C1196" s="737" t="str">
        <f t="shared" si="380"/>
        <v>Housekeeping and events only</v>
      </c>
      <c r="D1196" s="737">
        <f t="shared" si="381"/>
        <v>1</v>
      </c>
      <c r="E1196" s="737" t="str">
        <f t="shared" si="382"/>
        <v>#VALUE!</v>
      </c>
      <c r="F1196" s="737">
        <v>1.0</v>
      </c>
      <c r="G1196" s="737" t="str">
        <f t="shared" si="383"/>
        <v>#VALUE!</v>
      </c>
      <c r="H1196" s="737" t="str">
        <f>MIN($Q$11/('Orbit Info'!G$10),$Q$8*60)</f>
        <v>#VALUE!</v>
      </c>
      <c r="I1196" s="737" t="str">
        <f>IF(D1196=1,$Q$12/'Data DownlinkStorage Budget'!$M$3,0)</f>
        <v>#VALUE!</v>
      </c>
      <c r="J1196" s="737" t="str">
        <f t="shared" si="384"/>
        <v>#VALUE!</v>
      </c>
      <c r="K1196" s="11"/>
      <c r="L1196" s="737" t="str">
        <f t="shared" si="385"/>
        <v>FOUND product plus housekeeping</v>
      </c>
      <c r="M1196" s="737" t="str">
        <f>MIN($Q$18,$Q$10*60)-IF(D1196=1,$Q$17/'Data DownlinkStorage Budget'!$M$3,0)</f>
        <v>#VALUE!</v>
      </c>
      <c r="N1196" s="182"/>
      <c r="O1196" s="737" t="str">
        <f t="shared" si="386"/>
        <v>#VALUE!</v>
      </c>
      <c r="P1196" s="11"/>
      <c r="Q1196" s="11"/>
      <c r="R1196" s="11"/>
      <c r="S1196" s="11"/>
      <c r="T1196" s="11"/>
      <c r="U1196" s="11"/>
      <c r="V1196" s="11"/>
      <c r="W1196" s="11"/>
      <c r="X1196" s="11"/>
      <c r="Y1196" s="11"/>
      <c r="Z1196" s="11"/>
      <c r="AA1196" s="11"/>
    </row>
    <row r="1197" ht="15.75" customHeight="1">
      <c r="A1197" s="737">
        <f t="shared" si="379"/>
        <v>0</v>
      </c>
      <c r="B1197" s="737">
        <f>A1197/'Orbit Info'!$G$10</f>
        <v>0</v>
      </c>
      <c r="C1197" s="737" t="str">
        <f t="shared" si="380"/>
        <v>Housekeeping and events only</v>
      </c>
      <c r="D1197" s="737">
        <f t="shared" si="381"/>
        <v>1</v>
      </c>
      <c r="E1197" s="737" t="str">
        <f t="shared" si="382"/>
        <v>#VALUE!</v>
      </c>
      <c r="F1197" s="737">
        <v>1.0</v>
      </c>
      <c r="G1197" s="737" t="str">
        <f t="shared" si="383"/>
        <v>#VALUE!</v>
      </c>
      <c r="H1197" s="737" t="str">
        <f>MIN($Q$11/('Orbit Info'!G$10),$Q$8*60)</f>
        <v>#VALUE!</v>
      </c>
      <c r="I1197" s="737" t="str">
        <f>IF(D1197=1,$Q$12/'Data DownlinkStorage Budget'!$M$3,0)</f>
        <v>#VALUE!</v>
      </c>
      <c r="J1197" s="737" t="str">
        <f t="shared" si="384"/>
        <v>#VALUE!</v>
      </c>
      <c r="K1197" s="11"/>
      <c r="L1197" s="737" t="str">
        <f t="shared" si="385"/>
        <v>FOUND product plus housekeeping</v>
      </c>
      <c r="M1197" s="737" t="str">
        <f>MIN($Q$18,$Q$10*60)-IF(D1197=1,$Q$17/'Data DownlinkStorage Budget'!$M$3,0)</f>
        <v>#VALUE!</v>
      </c>
      <c r="N1197" s="182"/>
      <c r="O1197" s="737" t="str">
        <f t="shared" si="386"/>
        <v>#VALUE!</v>
      </c>
      <c r="P1197" s="11"/>
      <c r="Q1197" s="11"/>
      <c r="R1197" s="11"/>
      <c r="S1197" s="11"/>
      <c r="T1197" s="11"/>
      <c r="U1197" s="11"/>
      <c r="V1197" s="11"/>
      <c r="W1197" s="11"/>
      <c r="X1197" s="11"/>
      <c r="Y1197" s="11"/>
      <c r="Z1197" s="11"/>
      <c r="AA1197" s="11"/>
    </row>
    <row r="1198" ht="15.75" customHeight="1">
      <c r="A1198" s="737">
        <f t="shared" si="379"/>
        <v>0</v>
      </c>
      <c r="B1198" s="737">
        <f>A1198/'Orbit Info'!$G$10</f>
        <v>0</v>
      </c>
      <c r="C1198" s="737" t="str">
        <f t="shared" si="380"/>
        <v>Housekeeping and events only</v>
      </c>
      <c r="D1198" s="737">
        <f t="shared" si="381"/>
        <v>1</v>
      </c>
      <c r="E1198" s="737" t="str">
        <f t="shared" si="382"/>
        <v>#VALUE!</v>
      </c>
      <c r="F1198" s="737">
        <v>1.0</v>
      </c>
      <c r="G1198" s="737" t="str">
        <f t="shared" si="383"/>
        <v>#VALUE!</v>
      </c>
      <c r="H1198" s="737" t="str">
        <f>MIN($Q$11/('Orbit Info'!G$10),$Q$8*60)</f>
        <v>#VALUE!</v>
      </c>
      <c r="I1198" s="737" t="str">
        <f>IF(D1198=1,$Q$12/'Data DownlinkStorage Budget'!$M$3,0)</f>
        <v>#VALUE!</v>
      </c>
      <c r="J1198" s="737" t="str">
        <f t="shared" si="384"/>
        <v>#VALUE!</v>
      </c>
      <c r="K1198" s="11"/>
      <c r="L1198" s="737" t="str">
        <f t="shared" si="385"/>
        <v>FOUND product plus housekeeping</v>
      </c>
      <c r="M1198" s="737" t="str">
        <f>MIN($Q$18,$Q$10*60)-IF(D1198=1,$Q$17/'Data DownlinkStorage Budget'!$M$3,0)</f>
        <v>#VALUE!</v>
      </c>
      <c r="N1198" s="182"/>
      <c r="O1198" s="737" t="str">
        <f t="shared" si="386"/>
        <v>#VALUE!</v>
      </c>
      <c r="P1198" s="11"/>
      <c r="Q1198" s="11"/>
      <c r="R1198" s="11"/>
      <c r="S1198" s="11"/>
      <c r="T1198" s="11"/>
      <c r="U1198" s="11"/>
      <c r="V1198" s="11"/>
      <c r="W1198" s="11"/>
      <c r="X1198" s="11"/>
      <c r="Y1198" s="11"/>
      <c r="Z1198" s="11"/>
      <c r="AA1198" s="11"/>
    </row>
    <row r="1199" ht="15.75" customHeight="1">
      <c r="A1199" s="737">
        <f t="shared" si="379"/>
        <v>0</v>
      </c>
      <c r="B1199" s="737">
        <f>A1199/'Orbit Info'!$G$10</f>
        <v>0</v>
      </c>
      <c r="C1199" s="737" t="str">
        <f t="shared" si="380"/>
        <v>Housekeeping and events only</v>
      </c>
      <c r="D1199" s="737">
        <f t="shared" si="381"/>
        <v>1</v>
      </c>
      <c r="E1199" s="737" t="str">
        <f t="shared" si="382"/>
        <v>#VALUE!</v>
      </c>
      <c r="F1199" s="737">
        <v>1.0</v>
      </c>
      <c r="G1199" s="737" t="str">
        <f t="shared" si="383"/>
        <v>#VALUE!</v>
      </c>
      <c r="H1199" s="737" t="str">
        <f>MIN($Q$11/('Orbit Info'!G$10),$Q$8*60)</f>
        <v>#VALUE!</v>
      </c>
      <c r="I1199" s="737" t="str">
        <f>IF(D1199=1,$Q$12/'Data DownlinkStorage Budget'!$M$3,0)</f>
        <v>#VALUE!</v>
      </c>
      <c r="J1199" s="737" t="str">
        <f t="shared" si="384"/>
        <v>#VALUE!</v>
      </c>
      <c r="K1199" s="11"/>
      <c r="L1199" s="737" t="str">
        <f t="shared" si="385"/>
        <v>FOUND product plus housekeeping</v>
      </c>
      <c r="M1199" s="737" t="str">
        <f>MIN($Q$18,$Q$10*60)-IF(D1199=1,$Q$17/'Data DownlinkStorage Budget'!$M$3,0)</f>
        <v>#VALUE!</v>
      </c>
      <c r="N1199" s="182"/>
      <c r="O1199" s="737" t="str">
        <f t="shared" si="386"/>
        <v>#VALUE!</v>
      </c>
      <c r="P1199" s="11"/>
      <c r="Q1199" s="11"/>
      <c r="R1199" s="11"/>
      <c r="S1199" s="11"/>
      <c r="T1199" s="11"/>
      <c r="U1199" s="11"/>
      <c r="V1199" s="11"/>
      <c r="W1199" s="11"/>
      <c r="X1199" s="11"/>
      <c r="Y1199" s="11"/>
      <c r="Z1199" s="11"/>
      <c r="AA1199" s="11"/>
    </row>
    <row r="1200" ht="15.75" customHeight="1">
      <c r="A1200" s="737">
        <f t="shared" si="379"/>
        <v>0</v>
      </c>
      <c r="B1200" s="737">
        <f>A1200/'Orbit Info'!$G$10</f>
        <v>0</v>
      </c>
      <c r="C1200" s="737" t="str">
        <f t="shared" si="380"/>
        <v>Housekeeping and events only</v>
      </c>
      <c r="D1200" s="737">
        <f t="shared" si="381"/>
        <v>1</v>
      </c>
      <c r="E1200" s="737" t="str">
        <f t="shared" si="382"/>
        <v>#VALUE!</v>
      </c>
      <c r="F1200" s="737">
        <v>1.0</v>
      </c>
      <c r="G1200" s="737" t="str">
        <f t="shared" si="383"/>
        <v>#VALUE!</v>
      </c>
      <c r="H1200" s="737" t="str">
        <f>MIN($Q$11/('Orbit Info'!G$10),$Q$8*60)</f>
        <v>#VALUE!</v>
      </c>
      <c r="I1200" s="737" t="str">
        <f>IF(D1200=1,$Q$12/'Data DownlinkStorage Budget'!$M$3,0)</f>
        <v>#VALUE!</v>
      </c>
      <c r="J1200" s="737" t="str">
        <f t="shared" si="384"/>
        <v>#VALUE!</v>
      </c>
      <c r="K1200" s="11"/>
      <c r="L1200" s="737" t="str">
        <f t="shared" si="385"/>
        <v>FOUND product plus housekeeping</v>
      </c>
      <c r="M1200" s="737" t="str">
        <f>MIN($Q$18,$Q$10*60)-IF(D1200=1,$Q$17/'Data DownlinkStorage Budget'!$M$3,0)</f>
        <v>#VALUE!</v>
      </c>
      <c r="N1200" s="182"/>
      <c r="O1200" s="737" t="str">
        <f t="shared" si="386"/>
        <v>#VALUE!</v>
      </c>
      <c r="P1200" s="11"/>
      <c r="Q1200" s="11"/>
      <c r="R1200" s="11"/>
      <c r="S1200" s="11"/>
      <c r="T1200" s="11"/>
      <c r="U1200" s="11"/>
      <c r="V1200" s="11"/>
      <c r="W1200" s="11"/>
      <c r="X1200" s="11"/>
      <c r="Y1200" s="11"/>
      <c r="Z1200" s="11"/>
      <c r="AA1200" s="11"/>
    </row>
    <row r="1201" ht="15.75" customHeight="1">
      <c r="A1201" s="737">
        <f t="shared" si="379"/>
        <v>0</v>
      </c>
      <c r="B1201" s="737">
        <f>A1201/'Orbit Info'!$G$10</f>
        <v>0</v>
      </c>
      <c r="C1201" s="737" t="str">
        <f t="shared" si="380"/>
        <v>Housekeeping and events only</v>
      </c>
      <c r="D1201" s="737">
        <f t="shared" si="381"/>
        <v>1</v>
      </c>
      <c r="E1201" s="737" t="str">
        <f t="shared" si="382"/>
        <v>#VALUE!</v>
      </c>
      <c r="F1201" s="737">
        <v>1.0</v>
      </c>
      <c r="G1201" s="737" t="str">
        <f t="shared" si="383"/>
        <v>#VALUE!</v>
      </c>
      <c r="H1201" s="737" t="str">
        <f>MIN($Q$11/('Orbit Info'!G$10),$Q$8*60)</f>
        <v>#VALUE!</v>
      </c>
      <c r="I1201" s="737" t="str">
        <f>IF(D1201=1,$Q$12/'Data DownlinkStorage Budget'!$M$3,0)</f>
        <v>#VALUE!</v>
      </c>
      <c r="J1201" s="737" t="str">
        <f t="shared" si="384"/>
        <v>#VALUE!</v>
      </c>
      <c r="K1201" s="11"/>
      <c r="L1201" s="737" t="str">
        <f t="shared" si="385"/>
        <v>FOUND product plus housekeeping</v>
      </c>
      <c r="M1201" s="737" t="str">
        <f>MIN($Q$18,$Q$10*60)-IF(D1201=1,$Q$17/'Data DownlinkStorage Budget'!$M$3,0)</f>
        <v>#VALUE!</v>
      </c>
      <c r="N1201" s="182"/>
      <c r="O1201" s="737" t="str">
        <f t="shared" si="386"/>
        <v>#VALUE!</v>
      </c>
      <c r="P1201" s="11"/>
      <c r="Q1201" s="11"/>
      <c r="R1201" s="11"/>
      <c r="S1201" s="11"/>
      <c r="T1201" s="11"/>
      <c r="U1201" s="11"/>
      <c r="V1201" s="11"/>
      <c r="W1201" s="11"/>
      <c r="X1201" s="11"/>
      <c r="Y1201" s="11"/>
      <c r="Z1201" s="11"/>
      <c r="AA1201" s="11"/>
    </row>
    <row r="1202" ht="15.75" customHeight="1">
      <c r="A1202" s="737">
        <f t="shared" si="379"/>
        <v>0</v>
      </c>
      <c r="B1202" s="737">
        <f>A1202/'Orbit Info'!$G$10</f>
        <v>0</v>
      </c>
      <c r="C1202" s="737" t="str">
        <f t="shared" si="380"/>
        <v>Housekeeping and events only</v>
      </c>
      <c r="D1202" s="737">
        <f t="shared" si="381"/>
        <v>1</v>
      </c>
      <c r="E1202" s="737" t="str">
        <f t="shared" si="382"/>
        <v>#VALUE!</v>
      </c>
      <c r="F1202" s="737">
        <v>1.0</v>
      </c>
      <c r="G1202" s="737" t="str">
        <f t="shared" si="383"/>
        <v>#VALUE!</v>
      </c>
      <c r="H1202" s="737" t="str">
        <f>MIN($Q$11/('Orbit Info'!G$10),$Q$8*60)</f>
        <v>#VALUE!</v>
      </c>
      <c r="I1202" s="737" t="str">
        <f>IF(D1202=1,$Q$12/'Data DownlinkStorage Budget'!$M$3,0)</f>
        <v>#VALUE!</v>
      </c>
      <c r="J1202" s="737" t="str">
        <f t="shared" si="384"/>
        <v>#VALUE!</v>
      </c>
      <c r="K1202" s="11"/>
      <c r="L1202" s="737" t="str">
        <f t="shared" si="385"/>
        <v>FOUND product plus housekeeping</v>
      </c>
      <c r="M1202" s="737" t="str">
        <f>MIN($Q$18,$Q$10*60)-IF(D1202=1,$Q$17/'Data DownlinkStorage Budget'!$M$3,0)</f>
        <v>#VALUE!</v>
      </c>
      <c r="N1202" s="182"/>
      <c r="O1202" s="737" t="str">
        <f t="shared" si="386"/>
        <v>#VALUE!</v>
      </c>
      <c r="P1202" s="11"/>
      <c r="Q1202" s="11"/>
      <c r="R1202" s="11"/>
      <c r="S1202" s="11"/>
      <c r="T1202" s="11"/>
      <c r="U1202" s="11"/>
      <c r="V1202" s="11"/>
      <c r="W1202" s="11"/>
      <c r="X1202" s="11"/>
      <c r="Y1202" s="11"/>
      <c r="Z1202" s="11"/>
      <c r="AA1202" s="11"/>
    </row>
    <row r="1203" ht="15.75" customHeight="1">
      <c r="A1203" s="737">
        <f t="shared" si="379"/>
        <v>0</v>
      </c>
      <c r="B1203" s="737">
        <f>A1203/'Orbit Info'!$G$10</f>
        <v>0</v>
      </c>
      <c r="C1203" s="737" t="str">
        <f t="shared" si="380"/>
        <v>Housekeeping and events only</v>
      </c>
      <c r="D1203" s="737">
        <f t="shared" si="381"/>
        <v>1</v>
      </c>
      <c r="E1203" s="737" t="str">
        <f t="shared" si="382"/>
        <v>#VALUE!</v>
      </c>
      <c r="F1203" s="737">
        <v>1.0</v>
      </c>
      <c r="G1203" s="737" t="str">
        <f t="shared" si="383"/>
        <v>#VALUE!</v>
      </c>
      <c r="H1203" s="737" t="str">
        <f>MIN($Q$11/('Orbit Info'!G$10),$Q$8*60)</f>
        <v>#VALUE!</v>
      </c>
      <c r="I1203" s="737" t="str">
        <f>IF(D1203=1,$Q$12/'Data DownlinkStorage Budget'!$M$3,0)</f>
        <v>#VALUE!</v>
      </c>
      <c r="J1203" s="737" t="str">
        <f t="shared" si="384"/>
        <v>#VALUE!</v>
      </c>
      <c r="K1203" s="11"/>
      <c r="L1203" s="737" t="str">
        <f t="shared" si="385"/>
        <v>FOUND product plus housekeeping</v>
      </c>
      <c r="M1203" s="737" t="str">
        <f>MIN($Q$18,$Q$10*60)-IF(D1203=1,$Q$17/'Data DownlinkStorage Budget'!$M$3,0)</f>
        <v>#VALUE!</v>
      </c>
      <c r="N1203" s="182"/>
      <c r="O1203" s="737" t="str">
        <f t="shared" si="386"/>
        <v>#VALUE!</v>
      </c>
      <c r="P1203" s="11"/>
      <c r="Q1203" s="11"/>
      <c r="R1203" s="11"/>
      <c r="S1203" s="11"/>
      <c r="T1203" s="11"/>
      <c r="U1203" s="11"/>
      <c r="V1203" s="11"/>
      <c r="W1203" s="11"/>
      <c r="X1203" s="11"/>
      <c r="Y1203" s="11"/>
      <c r="Z1203" s="11"/>
      <c r="AA1203" s="11"/>
    </row>
    <row r="1204" ht="15.75" customHeight="1">
      <c r="A1204" s="737">
        <f t="shared" si="379"/>
        <v>0</v>
      </c>
      <c r="B1204" s="737">
        <f>A1204/'Orbit Info'!$G$10</f>
        <v>0</v>
      </c>
      <c r="C1204" s="737" t="str">
        <f t="shared" si="380"/>
        <v>Housekeeping and events only</v>
      </c>
      <c r="D1204" s="737">
        <f t="shared" si="381"/>
        <v>1</v>
      </c>
      <c r="E1204" s="737" t="str">
        <f t="shared" si="382"/>
        <v>#VALUE!</v>
      </c>
      <c r="F1204" s="737">
        <v>1.0</v>
      </c>
      <c r="G1204" s="737" t="str">
        <f t="shared" si="383"/>
        <v>#VALUE!</v>
      </c>
      <c r="H1204" s="737" t="str">
        <f>MIN($Q$11/('Orbit Info'!G$10),$Q$8*60)</f>
        <v>#VALUE!</v>
      </c>
      <c r="I1204" s="737" t="str">
        <f>IF(D1204=1,$Q$12/'Data DownlinkStorage Budget'!$M$3,0)</f>
        <v>#VALUE!</v>
      </c>
      <c r="J1204" s="737" t="str">
        <f t="shared" si="384"/>
        <v>#VALUE!</v>
      </c>
      <c r="K1204" s="11"/>
      <c r="L1204" s="737" t="str">
        <f t="shared" si="385"/>
        <v>FOUND product plus housekeeping</v>
      </c>
      <c r="M1204" s="737" t="str">
        <f>MIN($Q$18,$Q$10*60)-IF(D1204=1,$Q$17/'Data DownlinkStorage Budget'!$M$3,0)</f>
        <v>#VALUE!</v>
      </c>
      <c r="N1204" s="182"/>
      <c r="O1204" s="737" t="str">
        <f t="shared" si="386"/>
        <v>#VALUE!</v>
      </c>
      <c r="P1204" s="11"/>
      <c r="Q1204" s="11"/>
      <c r="R1204" s="11"/>
      <c r="S1204" s="11"/>
      <c r="T1204" s="11"/>
      <c r="U1204" s="11"/>
      <c r="V1204" s="11"/>
      <c r="W1204" s="11"/>
      <c r="X1204" s="11"/>
      <c r="Y1204" s="11"/>
      <c r="Z1204" s="11"/>
      <c r="AA1204" s="11"/>
    </row>
    <row r="1205" ht="15.75" customHeight="1">
      <c r="A1205" s="737">
        <f t="shared" si="379"/>
        <v>0</v>
      </c>
      <c r="B1205" s="737">
        <f>A1205/'Orbit Info'!$G$10</f>
        <v>0</v>
      </c>
      <c r="C1205" s="737" t="str">
        <f t="shared" si="380"/>
        <v>Housekeeping and events only</v>
      </c>
      <c r="D1205" s="737">
        <f t="shared" si="381"/>
        <v>1</v>
      </c>
      <c r="E1205" s="737" t="str">
        <f t="shared" si="382"/>
        <v>#VALUE!</v>
      </c>
      <c r="F1205" s="737">
        <v>1.0</v>
      </c>
      <c r="G1205" s="737" t="str">
        <f t="shared" si="383"/>
        <v>#VALUE!</v>
      </c>
      <c r="H1205" s="737" t="str">
        <f>MIN($Q$11/('Orbit Info'!G$10),$Q$8*60)</f>
        <v>#VALUE!</v>
      </c>
      <c r="I1205" s="737" t="str">
        <f>IF(D1205=1,$Q$12/'Data DownlinkStorage Budget'!$M$3,0)</f>
        <v>#VALUE!</v>
      </c>
      <c r="J1205" s="737" t="str">
        <f t="shared" si="384"/>
        <v>#VALUE!</v>
      </c>
      <c r="K1205" s="11"/>
      <c r="L1205" s="737" t="str">
        <f t="shared" si="385"/>
        <v>FOUND product plus housekeeping</v>
      </c>
      <c r="M1205" s="737" t="str">
        <f>MIN($Q$18,$Q$10*60)-IF(D1205=1,$Q$17/'Data DownlinkStorage Budget'!$M$3,0)</f>
        <v>#VALUE!</v>
      </c>
      <c r="N1205" s="182"/>
      <c r="O1205" s="737" t="str">
        <f t="shared" si="386"/>
        <v>#VALUE!</v>
      </c>
      <c r="P1205" s="11"/>
      <c r="Q1205" s="11"/>
      <c r="R1205" s="11"/>
      <c r="S1205" s="11"/>
      <c r="T1205" s="11"/>
      <c r="U1205" s="11"/>
      <c r="V1205" s="11"/>
      <c r="W1205" s="11"/>
      <c r="X1205" s="11"/>
      <c r="Y1205" s="11"/>
      <c r="Z1205" s="11"/>
      <c r="AA1205" s="11"/>
    </row>
    <row r="1206" ht="15.75" customHeight="1">
      <c r="A1206" s="737">
        <f t="shared" si="379"/>
        <v>0</v>
      </c>
      <c r="B1206" s="737">
        <f>A1206/'Orbit Info'!$G$10</f>
        <v>0</v>
      </c>
      <c r="C1206" s="737" t="str">
        <f t="shared" si="380"/>
        <v>Housekeeping and events only</v>
      </c>
      <c r="D1206" s="737">
        <f t="shared" si="381"/>
        <v>1</v>
      </c>
      <c r="E1206" s="737" t="str">
        <f t="shared" si="382"/>
        <v>#VALUE!</v>
      </c>
      <c r="F1206" s="737">
        <v>1.0</v>
      </c>
      <c r="G1206" s="737" t="str">
        <f t="shared" si="383"/>
        <v>#VALUE!</v>
      </c>
      <c r="H1206" s="737" t="str">
        <f>MIN($Q$11/('Orbit Info'!G$10),$Q$8*60)</f>
        <v>#VALUE!</v>
      </c>
      <c r="I1206" s="737" t="str">
        <f>IF(D1206=1,$Q$12/'Data DownlinkStorage Budget'!$M$3,0)</f>
        <v>#VALUE!</v>
      </c>
      <c r="J1206" s="737" t="str">
        <f t="shared" si="384"/>
        <v>#VALUE!</v>
      </c>
      <c r="K1206" s="11"/>
      <c r="L1206" s="737" t="str">
        <f t="shared" si="385"/>
        <v>FOUND product plus housekeeping</v>
      </c>
      <c r="M1206" s="737" t="str">
        <f>MIN($Q$18,$Q$10*60)-IF(D1206=1,$Q$17/'Data DownlinkStorage Budget'!$M$3,0)</f>
        <v>#VALUE!</v>
      </c>
      <c r="N1206" s="182"/>
      <c r="O1206" s="737" t="str">
        <f t="shared" si="386"/>
        <v>#VALUE!</v>
      </c>
      <c r="P1206" s="11"/>
      <c r="Q1206" s="11"/>
      <c r="R1206" s="11"/>
      <c r="S1206" s="11"/>
      <c r="T1206" s="11"/>
      <c r="U1206" s="11"/>
      <c r="V1206" s="11"/>
      <c r="W1206" s="11"/>
      <c r="X1206" s="11"/>
      <c r="Y1206" s="11"/>
      <c r="Z1206" s="11"/>
      <c r="AA1206" s="11"/>
    </row>
    <row r="1207" ht="15.75" customHeight="1">
      <c r="A1207" s="737">
        <f t="shared" si="379"/>
        <v>0</v>
      </c>
      <c r="B1207" s="737">
        <f>A1207/'Orbit Info'!$G$10</f>
        <v>0</v>
      </c>
      <c r="C1207" s="737" t="str">
        <f t="shared" si="380"/>
        <v>Housekeeping and events only</v>
      </c>
      <c r="D1207" s="737">
        <f t="shared" si="381"/>
        <v>1</v>
      </c>
      <c r="E1207" s="737" t="str">
        <f t="shared" si="382"/>
        <v>#VALUE!</v>
      </c>
      <c r="F1207" s="737">
        <v>1.0</v>
      </c>
      <c r="G1207" s="737" t="str">
        <f t="shared" si="383"/>
        <v>#VALUE!</v>
      </c>
      <c r="H1207" s="737" t="str">
        <f>MIN($Q$11/('Orbit Info'!G$10),$Q$8*60)</f>
        <v>#VALUE!</v>
      </c>
      <c r="I1207" s="737" t="str">
        <f>IF(D1207=1,$Q$12/'Data DownlinkStorage Budget'!$M$3,0)</f>
        <v>#VALUE!</v>
      </c>
      <c r="J1207" s="737" t="str">
        <f t="shared" si="384"/>
        <v>#VALUE!</v>
      </c>
      <c r="K1207" s="11"/>
      <c r="L1207" s="737" t="str">
        <f t="shared" si="385"/>
        <v>FOUND product plus housekeeping</v>
      </c>
      <c r="M1207" s="737" t="str">
        <f>MIN($Q$18,$Q$10*60)-IF(D1207=1,$Q$17/'Data DownlinkStorage Budget'!$M$3,0)</f>
        <v>#VALUE!</v>
      </c>
      <c r="N1207" s="182"/>
      <c r="O1207" s="737" t="str">
        <f t="shared" si="386"/>
        <v>#VALUE!</v>
      </c>
      <c r="P1207" s="11"/>
      <c r="Q1207" s="11"/>
      <c r="R1207" s="11"/>
      <c r="S1207" s="11"/>
      <c r="T1207" s="11"/>
      <c r="U1207" s="11"/>
      <c r="V1207" s="11"/>
      <c r="W1207" s="11"/>
      <c r="X1207" s="11"/>
      <c r="Y1207" s="11"/>
      <c r="Z1207" s="11"/>
      <c r="AA1207" s="11"/>
    </row>
    <row r="1208" ht="15.75" customHeight="1">
      <c r="A1208" s="737">
        <f t="shared" si="379"/>
        <v>0</v>
      </c>
      <c r="B1208" s="737">
        <f>A1208/'Orbit Info'!$G$10</f>
        <v>0</v>
      </c>
      <c r="C1208" s="737" t="str">
        <f t="shared" si="380"/>
        <v>Housekeeping and events only</v>
      </c>
      <c r="D1208" s="737">
        <f t="shared" si="381"/>
        <v>1</v>
      </c>
      <c r="E1208" s="737" t="str">
        <f t="shared" si="382"/>
        <v>#VALUE!</v>
      </c>
      <c r="F1208" s="737">
        <v>1.0</v>
      </c>
      <c r="G1208" s="737" t="str">
        <f t="shared" si="383"/>
        <v>#VALUE!</v>
      </c>
      <c r="H1208" s="737" t="str">
        <f>MIN($Q$11/('Orbit Info'!G$10),$Q$8*60)</f>
        <v>#VALUE!</v>
      </c>
      <c r="I1208" s="737" t="str">
        <f>IF(D1208=1,$Q$12/'Data DownlinkStorage Budget'!$M$3,0)</f>
        <v>#VALUE!</v>
      </c>
      <c r="J1208" s="737" t="str">
        <f t="shared" si="384"/>
        <v>#VALUE!</v>
      </c>
      <c r="K1208" s="11"/>
      <c r="L1208" s="737" t="str">
        <f t="shared" si="385"/>
        <v>FOUND product plus housekeeping</v>
      </c>
      <c r="M1208" s="737" t="str">
        <f>MIN($Q$18,$Q$10*60)-IF(D1208=1,$Q$17/'Data DownlinkStorage Budget'!$M$3,0)</f>
        <v>#VALUE!</v>
      </c>
      <c r="N1208" s="182"/>
      <c r="O1208" s="737" t="str">
        <f t="shared" si="386"/>
        <v>#VALUE!</v>
      </c>
      <c r="P1208" s="11"/>
      <c r="Q1208" s="11"/>
      <c r="R1208" s="11"/>
      <c r="S1208" s="11"/>
      <c r="T1208" s="11"/>
      <c r="U1208" s="11"/>
      <c r="V1208" s="11"/>
      <c r="W1208" s="11"/>
      <c r="X1208" s="11"/>
      <c r="Y1208" s="11"/>
      <c r="Z1208" s="11"/>
      <c r="AA1208" s="11"/>
    </row>
    <row r="1209" ht="15.75" customHeight="1">
      <c r="A1209" s="737">
        <f t="shared" si="379"/>
        <v>0</v>
      </c>
      <c r="B1209" s="737">
        <f>A1209/'Orbit Info'!$G$10</f>
        <v>0</v>
      </c>
      <c r="C1209" s="737" t="str">
        <f t="shared" si="380"/>
        <v>Housekeeping and events only</v>
      </c>
      <c r="D1209" s="737">
        <f t="shared" si="381"/>
        <v>1</v>
      </c>
      <c r="E1209" s="737" t="str">
        <f t="shared" si="382"/>
        <v>#VALUE!</v>
      </c>
      <c r="F1209" s="737">
        <v>1.0</v>
      </c>
      <c r="G1209" s="737" t="str">
        <f t="shared" si="383"/>
        <v>#VALUE!</v>
      </c>
      <c r="H1209" s="737" t="str">
        <f>MIN($Q$11/('Orbit Info'!G$10),$Q$8*60)</f>
        <v>#VALUE!</v>
      </c>
      <c r="I1209" s="737" t="str">
        <f>IF(D1209=1,$Q$12/'Data DownlinkStorage Budget'!$M$3,0)</f>
        <v>#VALUE!</v>
      </c>
      <c r="J1209" s="737" t="str">
        <f t="shared" si="384"/>
        <v>#VALUE!</v>
      </c>
      <c r="K1209" s="11"/>
      <c r="L1209" s="737" t="str">
        <f t="shared" si="385"/>
        <v>FOUND product plus housekeeping</v>
      </c>
      <c r="M1209" s="737" t="str">
        <f>MIN($Q$18,$Q$10*60)-IF(D1209=1,$Q$17/'Data DownlinkStorage Budget'!$M$3,0)</f>
        <v>#VALUE!</v>
      </c>
      <c r="N1209" s="182"/>
      <c r="O1209" s="737" t="str">
        <f t="shared" si="386"/>
        <v>#VALUE!</v>
      </c>
      <c r="P1209" s="11"/>
      <c r="Q1209" s="11"/>
      <c r="R1209" s="11"/>
      <c r="S1209" s="11"/>
      <c r="T1209" s="11"/>
      <c r="U1209" s="11"/>
      <c r="V1209" s="11"/>
      <c r="W1209" s="11"/>
      <c r="X1209" s="11"/>
      <c r="Y1209" s="11"/>
      <c r="Z1209" s="11"/>
      <c r="AA1209" s="11"/>
    </row>
    <row r="1210" ht="15.75" customHeight="1">
      <c r="A1210" s="737">
        <f t="shared" si="379"/>
        <v>0</v>
      </c>
      <c r="B1210" s="737">
        <f>A1210/'Orbit Info'!$G$10</f>
        <v>0</v>
      </c>
      <c r="C1210" s="737" t="str">
        <f t="shared" si="380"/>
        <v>Housekeeping and events only</v>
      </c>
      <c r="D1210" s="737">
        <f t="shared" si="381"/>
        <v>1</v>
      </c>
      <c r="E1210" s="737" t="str">
        <f t="shared" si="382"/>
        <v>#VALUE!</v>
      </c>
      <c r="F1210" s="737">
        <v>1.0</v>
      </c>
      <c r="G1210" s="737" t="str">
        <f t="shared" si="383"/>
        <v>#VALUE!</v>
      </c>
      <c r="H1210" s="737" t="str">
        <f>MIN($Q$11/('Orbit Info'!G$10),$Q$8*60)</f>
        <v>#VALUE!</v>
      </c>
      <c r="I1210" s="737" t="str">
        <f>IF(D1210=1,$Q$12/'Data DownlinkStorage Budget'!$M$3,0)</f>
        <v>#VALUE!</v>
      </c>
      <c r="J1210" s="737" t="str">
        <f t="shared" si="384"/>
        <v>#VALUE!</v>
      </c>
      <c r="K1210" s="11"/>
      <c r="L1210" s="737" t="str">
        <f t="shared" si="385"/>
        <v>FOUND product plus housekeeping</v>
      </c>
      <c r="M1210" s="737" t="str">
        <f>MIN($Q$18,$Q$10*60)-IF(D1210=1,$Q$17/'Data DownlinkStorage Budget'!$M$3,0)</f>
        <v>#VALUE!</v>
      </c>
      <c r="N1210" s="182"/>
      <c r="O1210" s="737" t="str">
        <f t="shared" si="386"/>
        <v>#VALUE!</v>
      </c>
      <c r="P1210" s="11"/>
      <c r="Q1210" s="11"/>
      <c r="R1210" s="11"/>
      <c r="S1210" s="11"/>
      <c r="T1210" s="11"/>
      <c r="U1210" s="11"/>
      <c r="V1210" s="11"/>
      <c r="W1210" s="11"/>
      <c r="X1210" s="11"/>
      <c r="Y1210" s="11"/>
      <c r="Z1210" s="11"/>
      <c r="AA1210" s="11"/>
    </row>
    <row r="1211" ht="15.75" customHeight="1">
      <c r="A1211" s="737">
        <f t="shared" si="379"/>
        <v>0</v>
      </c>
      <c r="B1211" s="737">
        <f>A1211/'Orbit Info'!$G$10</f>
        <v>0</v>
      </c>
      <c r="C1211" s="737" t="str">
        <f t="shared" si="380"/>
        <v>Housekeeping and events only</v>
      </c>
      <c r="D1211" s="737">
        <f t="shared" si="381"/>
        <v>1</v>
      </c>
      <c r="E1211" s="737" t="str">
        <f t="shared" si="382"/>
        <v>#VALUE!</v>
      </c>
      <c r="F1211" s="737">
        <v>1.0</v>
      </c>
      <c r="G1211" s="737" t="str">
        <f t="shared" si="383"/>
        <v>#VALUE!</v>
      </c>
      <c r="H1211" s="737" t="str">
        <f>MIN($Q$11/('Orbit Info'!G$10),$Q$8*60)</f>
        <v>#VALUE!</v>
      </c>
      <c r="I1211" s="737" t="str">
        <f>IF(D1211=1,$Q$12/'Data DownlinkStorage Budget'!$M$3,0)</f>
        <v>#VALUE!</v>
      </c>
      <c r="J1211" s="737" t="str">
        <f t="shared" si="384"/>
        <v>#VALUE!</v>
      </c>
      <c r="K1211" s="11"/>
      <c r="L1211" s="737" t="str">
        <f t="shared" si="385"/>
        <v>FOUND product plus housekeeping</v>
      </c>
      <c r="M1211" s="737" t="str">
        <f>MIN($Q$18,$Q$10*60)-IF(D1211=1,$Q$17/'Data DownlinkStorage Budget'!$M$3,0)</f>
        <v>#VALUE!</v>
      </c>
      <c r="N1211" s="182"/>
      <c r="O1211" s="737" t="str">
        <f t="shared" si="386"/>
        <v>#VALUE!</v>
      </c>
      <c r="P1211" s="11"/>
      <c r="Q1211" s="11"/>
      <c r="R1211" s="11"/>
      <c r="S1211" s="11"/>
      <c r="T1211" s="11"/>
      <c r="U1211" s="11"/>
      <c r="V1211" s="11"/>
      <c r="W1211" s="11"/>
      <c r="X1211" s="11"/>
      <c r="Y1211" s="11"/>
      <c r="Z1211" s="11"/>
      <c r="AA1211" s="11"/>
    </row>
    <row r="1212" ht="15.75" customHeight="1">
      <c r="A1212" s="737">
        <f t="shared" si="379"/>
        <v>0</v>
      </c>
      <c r="B1212" s="737">
        <f>A1212/'Orbit Info'!$G$10</f>
        <v>0</v>
      </c>
      <c r="C1212" s="737" t="str">
        <f t="shared" si="380"/>
        <v>Housekeeping and events only</v>
      </c>
      <c r="D1212" s="737">
        <f t="shared" si="381"/>
        <v>1</v>
      </c>
      <c r="E1212" s="737" t="str">
        <f t="shared" si="382"/>
        <v>#VALUE!</v>
      </c>
      <c r="F1212" s="737">
        <v>1.0</v>
      </c>
      <c r="G1212" s="737" t="str">
        <f t="shared" si="383"/>
        <v>#VALUE!</v>
      </c>
      <c r="H1212" s="737" t="str">
        <f>MIN($Q$11/('Orbit Info'!G$10),$Q$8*60)</f>
        <v>#VALUE!</v>
      </c>
      <c r="I1212" s="737" t="str">
        <f>IF(D1212=1,$Q$12/'Data DownlinkStorage Budget'!$M$3,0)</f>
        <v>#VALUE!</v>
      </c>
      <c r="J1212" s="737" t="str">
        <f t="shared" si="384"/>
        <v>#VALUE!</v>
      </c>
      <c r="K1212" s="11"/>
      <c r="L1212" s="737" t="str">
        <f t="shared" si="385"/>
        <v>FOUND product plus housekeeping</v>
      </c>
      <c r="M1212" s="737" t="str">
        <f>MIN($Q$18,$Q$10*60)-IF(D1212=1,$Q$17/'Data DownlinkStorage Budget'!$M$3,0)</f>
        <v>#VALUE!</v>
      </c>
      <c r="N1212" s="182"/>
      <c r="O1212" s="737" t="str">
        <f t="shared" si="386"/>
        <v>#VALUE!</v>
      </c>
      <c r="P1212" s="11"/>
      <c r="Q1212" s="11"/>
      <c r="R1212" s="11"/>
      <c r="S1212" s="11"/>
      <c r="T1212" s="11"/>
      <c r="U1212" s="11"/>
      <c r="V1212" s="11"/>
      <c r="W1212" s="11"/>
      <c r="X1212" s="11"/>
      <c r="Y1212" s="11"/>
      <c r="Z1212" s="11"/>
      <c r="AA1212" s="11"/>
    </row>
    <row r="1213" ht="15.75" customHeight="1">
      <c r="A1213" s="737">
        <f t="shared" si="379"/>
        <v>0</v>
      </c>
      <c r="B1213" s="737">
        <f>A1213/'Orbit Info'!$G$10</f>
        <v>0</v>
      </c>
      <c r="C1213" s="737" t="str">
        <f t="shared" si="380"/>
        <v>Housekeeping and events only</v>
      </c>
      <c r="D1213" s="737">
        <f t="shared" si="381"/>
        <v>1</v>
      </c>
      <c r="E1213" s="737" t="str">
        <f t="shared" si="382"/>
        <v>#VALUE!</v>
      </c>
      <c r="F1213" s="737">
        <v>1.0</v>
      </c>
      <c r="G1213" s="737" t="str">
        <f t="shared" si="383"/>
        <v>#VALUE!</v>
      </c>
      <c r="H1213" s="737" t="str">
        <f>MIN($Q$11/('Orbit Info'!G$10),$Q$8*60)</f>
        <v>#VALUE!</v>
      </c>
      <c r="I1213" s="737" t="str">
        <f>IF(D1213=1,$Q$12/'Data DownlinkStorage Budget'!$M$3,0)</f>
        <v>#VALUE!</v>
      </c>
      <c r="J1213" s="737" t="str">
        <f t="shared" si="384"/>
        <v>#VALUE!</v>
      </c>
      <c r="K1213" s="11"/>
      <c r="L1213" s="737" t="str">
        <f t="shared" si="385"/>
        <v>FOUND product plus housekeeping</v>
      </c>
      <c r="M1213" s="737" t="str">
        <f>MIN($Q$18,$Q$10*60)-IF(D1213=1,$Q$17/'Data DownlinkStorage Budget'!$M$3,0)</f>
        <v>#VALUE!</v>
      </c>
      <c r="N1213" s="182"/>
      <c r="O1213" s="737" t="str">
        <f t="shared" si="386"/>
        <v>#VALUE!</v>
      </c>
      <c r="P1213" s="11"/>
      <c r="Q1213" s="11"/>
      <c r="R1213" s="11"/>
      <c r="S1213" s="11"/>
      <c r="T1213" s="11"/>
      <c r="U1213" s="11"/>
      <c r="V1213" s="11"/>
      <c r="W1213" s="11"/>
      <c r="X1213" s="11"/>
      <c r="Y1213" s="11"/>
      <c r="Z1213" s="11"/>
      <c r="AA1213" s="11"/>
    </row>
    <row r="1214" ht="15.75" customHeight="1">
      <c r="A1214" s="737">
        <f t="shared" si="379"/>
        <v>0</v>
      </c>
      <c r="B1214" s="737">
        <f>A1214/'Orbit Info'!$G$10</f>
        <v>0</v>
      </c>
      <c r="C1214" s="737" t="str">
        <f t="shared" si="380"/>
        <v>Housekeeping and events only</v>
      </c>
      <c r="D1214" s="737">
        <f t="shared" si="381"/>
        <v>1</v>
      </c>
      <c r="E1214" s="737" t="str">
        <f t="shared" si="382"/>
        <v>#VALUE!</v>
      </c>
      <c r="F1214" s="737">
        <v>1.0</v>
      </c>
      <c r="G1214" s="737" t="str">
        <f t="shared" si="383"/>
        <v>#VALUE!</v>
      </c>
      <c r="H1214" s="737" t="str">
        <f>MIN($Q$11/('Orbit Info'!G$10),$Q$8*60)</f>
        <v>#VALUE!</v>
      </c>
      <c r="I1214" s="737" t="str">
        <f>IF(D1214=1,$Q$12/'Data DownlinkStorage Budget'!$M$3,0)</f>
        <v>#VALUE!</v>
      </c>
      <c r="J1214" s="737" t="str">
        <f t="shared" si="384"/>
        <v>#VALUE!</v>
      </c>
      <c r="K1214" s="11"/>
      <c r="L1214" s="737" t="str">
        <f t="shared" si="385"/>
        <v>FOUND product plus housekeeping</v>
      </c>
      <c r="M1214" s="737" t="str">
        <f>MIN($Q$18,$Q$10*60)-IF(D1214=1,$Q$17/'Data DownlinkStorage Budget'!$M$3,0)</f>
        <v>#VALUE!</v>
      </c>
      <c r="N1214" s="182"/>
      <c r="O1214" s="737" t="str">
        <f t="shared" si="386"/>
        <v>#VALUE!</v>
      </c>
      <c r="P1214" s="11"/>
      <c r="Q1214" s="11"/>
      <c r="R1214" s="11"/>
      <c r="S1214" s="11"/>
      <c r="T1214" s="11"/>
      <c r="U1214" s="11"/>
      <c r="V1214" s="11"/>
      <c r="W1214" s="11"/>
      <c r="X1214" s="11"/>
      <c r="Y1214" s="11"/>
      <c r="Z1214" s="11"/>
      <c r="AA1214" s="11"/>
    </row>
    <row r="1215" ht="15.75" customHeight="1">
      <c r="A1215" s="737">
        <f t="shared" si="379"/>
        <v>0</v>
      </c>
      <c r="B1215" s="737">
        <f>A1215/'Orbit Info'!$G$10</f>
        <v>0</v>
      </c>
      <c r="C1215" s="737" t="str">
        <f t="shared" si="380"/>
        <v>Housekeeping and events only</v>
      </c>
      <c r="D1215" s="737">
        <f t="shared" si="381"/>
        <v>1</v>
      </c>
      <c r="E1215" s="737" t="str">
        <f t="shared" si="382"/>
        <v>#VALUE!</v>
      </c>
      <c r="F1215" s="737">
        <v>1.0</v>
      </c>
      <c r="G1215" s="737" t="str">
        <f t="shared" si="383"/>
        <v>#VALUE!</v>
      </c>
      <c r="H1215" s="737" t="str">
        <f>MIN($Q$11/('Orbit Info'!G$10),$Q$8*60)</f>
        <v>#VALUE!</v>
      </c>
      <c r="I1215" s="737" t="str">
        <f>IF(D1215=1,$Q$12/'Data DownlinkStorage Budget'!$M$3,0)</f>
        <v>#VALUE!</v>
      </c>
      <c r="J1215" s="737" t="str">
        <f t="shared" si="384"/>
        <v>#VALUE!</v>
      </c>
      <c r="K1215" s="11"/>
      <c r="L1215" s="737" t="str">
        <f t="shared" si="385"/>
        <v>FOUND product plus housekeeping</v>
      </c>
      <c r="M1215" s="737" t="str">
        <f>MIN($Q$18,$Q$10*60)-IF(D1215=1,$Q$17/'Data DownlinkStorage Budget'!$M$3,0)</f>
        <v>#VALUE!</v>
      </c>
      <c r="N1215" s="182"/>
      <c r="O1215" s="737" t="str">
        <f t="shared" si="386"/>
        <v>#VALUE!</v>
      </c>
      <c r="P1215" s="11"/>
      <c r="Q1215" s="11"/>
      <c r="R1215" s="11"/>
      <c r="S1215" s="11"/>
      <c r="T1215" s="11"/>
      <c r="U1215" s="11"/>
      <c r="V1215" s="11"/>
      <c r="W1215" s="11"/>
      <c r="X1215" s="11"/>
      <c r="Y1215" s="11"/>
      <c r="Z1215" s="11"/>
      <c r="AA1215" s="11"/>
    </row>
    <row r="1216" ht="15.75" customHeight="1">
      <c r="A1216" s="737">
        <f t="shared" si="379"/>
        <v>0</v>
      </c>
      <c r="B1216" s="737">
        <f>A1216/'Orbit Info'!$G$10</f>
        <v>0</v>
      </c>
      <c r="C1216" s="737" t="str">
        <f t="shared" si="380"/>
        <v>Housekeeping and events only</v>
      </c>
      <c r="D1216" s="737">
        <f t="shared" si="381"/>
        <v>1</v>
      </c>
      <c r="E1216" s="737" t="str">
        <f t="shared" si="382"/>
        <v>#VALUE!</v>
      </c>
      <c r="F1216" s="737">
        <v>1.0</v>
      </c>
      <c r="G1216" s="737" t="str">
        <f t="shared" si="383"/>
        <v>#VALUE!</v>
      </c>
      <c r="H1216" s="737" t="str">
        <f>MIN($Q$11/('Orbit Info'!G$10),$Q$8*60)</f>
        <v>#VALUE!</v>
      </c>
      <c r="I1216" s="737" t="str">
        <f>IF(D1216=1,$Q$12/'Data DownlinkStorage Budget'!$M$3,0)</f>
        <v>#VALUE!</v>
      </c>
      <c r="J1216" s="737" t="str">
        <f t="shared" si="384"/>
        <v>#VALUE!</v>
      </c>
      <c r="K1216" s="11"/>
      <c r="L1216" s="737" t="str">
        <f t="shared" si="385"/>
        <v>FOUND product plus housekeeping</v>
      </c>
      <c r="M1216" s="737" t="str">
        <f>MIN($Q$18,$Q$10*60)-IF(D1216=1,$Q$17/'Data DownlinkStorage Budget'!$M$3,0)</f>
        <v>#VALUE!</v>
      </c>
      <c r="N1216" s="182"/>
      <c r="O1216" s="737" t="str">
        <f t="shared" si="386"/>
        <v>#VALUE!</v>
      </c>
      <c r="P1216" s="11"/>
      <c r="Q1216" s="11"/>
      <c r="R1216" s="11"/>
      <c r="S1216" s="11"/>
      <c r="T1216" s="11"/>
      <c r="U1216" s="11"/>
      <c r="V1216" s="11"/>
      <c r="W1216" s="11"/>
      <c r="X1216" s="11"/>
      <c r="Y1216" s="11"/>
      <c r="Z1216" s="11"/>
      <c r="AA1216" s="11"/>
    </row>
    <row r="1217" ht="15.75" customHeight="1">
      <c r="A1217" s="737">
        <f t="shared" si="379"/>
        <v>0</v>
      </c>
      <c r="B1217" s="737">
        <f>A1217/'Orbit Info'!$G$10</f>
        <v>0</v>
      </c>
      <c r="C1217" s="737" t="str">
        <f t="shared" si="380"/>
        <v>Housekeeping and events only</v>
      </c>
      <c r="D1217" s="737">
        <f t="shared" si="381"/>
        <v>1</v>
      </c>
      <c r="E1217" s="737" t="str">
        <f t="shared" si="382"/>
        <v>#VALUE!</v>
      </c>
      <c r="F1217" s="737">
        <v>1.0</v>
      </c>
      <c r="G1217" s="737" t="str">
        <f t="shared" si="383"/>
        <v>#VALUE!</v>
      </c>
      <c r="H1217" s="737" t="str">
        <f>MIN($Q$11/('Orbit Info'!G$10),$Q$8*60)</f>
        <v>#VALUE!</v>
      </c>
      <c r="I1217" s="737" t="str">
        <f>IF(D1217=1,$Q$12/'Data DownlinkStorage Budget'!$M$3,0)</f>
        <v>#VALUE!</v>
      </c>
      <c r="J1217" s="737" t="str">
        <f t="shared" si="384"/>
        <v>#VALUE!</v>
      </c>
      <c r="K1217" s="11"/>
      <c r="L1217" s="737" t="str">
        <f t="shared" si="385"/>
        <v>FOUND product plus housekeeping</v>
      </c>
      <c r="M1217" s="737" t="str">
        <f>MIN($Q$18,$Q$10*60)-IF(D1217=1,$Q$17/'Data DownlinkStorage Budget'!$M$3,0)</f>
        <v>#VALUE!</v>
      </c>
      <c r="N1217" s="182"/>
      <c r="O1217" s="737" t="str">
        <f t="shared" si="386"/>
        <v>#VALUE!</v>
      </c>
      <c r="P1217" s="11"/>
      <c r="Q1217" s="11"/>
      <c r="R1217" s="11"/>
      <c r="S1217" s="11"/>
      <c r="T1217" s="11"/>
      <c r="U1217" s="11"/>
      <c r="V1217" s="11"/>
      <c r="W1217" s="11"/>
      <c r="X1217" s="11"/>
      <c r="Y1217" s="11"/>
      <c r="Z1217" s="11"/>
      <c r="AA1217" s="11"/>
    </row>
    <row r="1218" ht="15.75" customHeight="1">
      <c r="A1218" s="737">
        <f t="shared" si="379"/>
        <v>0</v>
      </c>
      <c r="B1218" s="737">
        <f>A1218/'Orbit Info'!$G$10</f>
        <v>0</v>
      </c>
      <c r="C1218" s="737" t="str">
        <f t="shared" si="380"/>
        <v>Housekeeping and events only</v>
      </c>
      <c r="D1218" s="737">
        <f t="shared" si="381"/>
        <v>1</v>
      </c>
      <c r="E1218" s="737" t="str">
        <f t="shared" si="382"/>
        <v>#VALUE!</v>
      </c>
      <c r="F1218" s="737">
        <v>1.0</v>
      </c>
      <c r="G1218" s="737" t="str">
        <f t="shared" si="383"/>
        <v>#VALUE!</v>
      </c>
      <c r="H1218" s="737" t="str">
        <f>MIN($Q$11/('Orbit Info'!G$10),$Q$8*60)</f>
        <v>#VALUE!</v>
      </c>
      <c r="I1218" s="737" t="str">
        <f>IF(D1218=1,$Q$12/'Data DownlinkStorage Budget'!$M$3,0)</f>
        <v>#VALUE!</v>
      </c>
      <c r="J1218" s="737" t="str">
        <f t="shared" si="384"/>
        <v>#VALUE!</v>
      </c>
      <c r="K1218" s="11"/>
      <c r="L1218" s="737" t="str">
        <f t="shared" si="385"/>
        <v>FOUND product plus housekeeping</v>
      </c>
      <c r="M1218" s="737" t="str">
        <f>MIN($Q$18,$Q$10*60)-IF(D1218=1,$Q$17/'Data DownlinkStorage Budget'!$M$3,0)</f>
        <v>#VALUE!</v>
      </c>
      <c r="N1218" s="182"/>
      <c r="O1218" s="737" t="str">
        <f t="shared" si="386"/>
        <v>#VALUE!</v>
      </c>
      <c r="P1218" s="11"/>
      <c r="Q1218" s="11"/>
      <c r="R1218" s="11"/>
      <c r="S1218" s="11"/>
      <c r="T1218" s="11"/>
      <c r="U1218" s="11"/>
      <c r="V1218" s="11"/>
      <c r="W1218" s="11"/>
      <c r="X1218" s="11"/>
      <c r="Y1218" s="11"/>
      <c r="Z1218" s="11"/>
      <c r="AA1218" s="11"/>
    </row>
    <row r="1219" ht="15.75" customHeight="1">
      <c r="A1219" s="737">
        <f t="shared" si="379"/>
        <v>0</v>
      </c>
      <c r="B1219" s="737">
        <f>A1219/'Orbit Info'!$G$10</f>
        <v>0</v>
      </c>
      <c r="C1219" s="737" t="str">
        <f t="shared" si="380"/>
        <v>Housekeeping and events only</v>
      </c>
      <c r="D1219" s="737">
        <f t="shared" si="381"/>
        <v>1</v>
      </c>
      <c r="E1219" s="737" t="str">
        <f t="shared" si="382"/>
        <v>#VALUE!</v>
      </c>
      <c r="F1219" s="737">
        <v>1.0</v>
      </c>
      <c r="G1219" s="737" t="str">
        <f t="shared" si="383"/>
        <v>#VALUE!</v>
      </c>
      <c r="H1219" s="737" t="str">
        <f>MIN($Q$11/('Orbit Info'!G$10),$Q$8*60)</f>
        <v>#VALUE!</v>
      </c>
      <c r="I1219" s="737" t="str">
        <f>IF(D1219=1,$Q$12/'Data DownlinkStorage Budget'!$M$3,0)</f>
        <v>#VALUE!</v>
      </c>
      <c r="J1219" s="737" t="str">
        <f t="shared" si="384"/>
        <v>#VALUE!</v>
      </c>
      <c r="K1219" s="11"/>
      <c r="L1219" s="737" t="str">
        <f t="shared" si="385"/>
        <v>FOUND product plus housekeeping</v>
      </c>
      <c r="M1219" s="737" t="str">
        <f>MIN($Q$18,$Q$10*60)-IF(D1219=1,$Q$17/'Data DownlinkStorage Budget'!$M$3,0)</f>
        <v>#VALUE!</v>
      </c>
      <c r="N1219" s="182"/>
      <c r="O1219" s="737" t="str">
        <f t="shared" si="386"/>
        <v>#VALUE!</v>
      </c>
      <c r="P1219" s="11"/>
      <c r="Q1219" s="11"/>
      <c r="R1219" s="11"/>
      <c r="S1219" s="11"/>
      <c r="T1219" s="11"/>
      <c r="U1219" s="11"/>
      <c r="V1219" s="11"/>
      <c r="W1219" s="11"/>
      <c r="X1219" s="11"/>
      <c r="Y1219" s="11"/>
      <c r="Z1219" s="11"/>
      <c r="AA1219" s="11"/>
    </row>
    <row r="1220" ht="15.75" customHeight="1">
      <c r="A1220" s="737">
        <f t="shared" si="379"/>
        <v>0</v>
      </c>
      <c r="B1220" s="737">
        <f>A1220/'Orbit Info'!$G$10</f>
        <v>0</v>
      </c>
      <c r="C1220" s="737" t="str">
        <f t="shared" si="380"/>
        <v>Housekeeping and events only</v>
      </c>
      <c r="D1220" s="737">
        <f t="shared" si="381"/>
        <v>1</v>
      </c>
      <c r="E1220" s="737" t="str">
        <f t="shared" si="382"/>
        <v>#VALUE!</v>
      </c>
      <c r="F1220" s="737">
        <v>1.0</v>
      </c>
      <c r="G1220" s="737" t="str">
        <f t="shared" si="383"/>
        <v>#VALUE!</v>
      </c>
      <c r="H1220" s="737" t="str">
        <f>MIN($Q$11/('Orbit Info'!G$10),$Q$8*60)</f>
        <v>#VALUE!</v>
      </c>
      <c r="I1220" s="737" t="str">
        <f>IF(D1220=1,$Q$12/'Data DownlinkStorage Budget'!$M$3,0)</f>
        <v>#VALUE!</v>
      </c>
      <c r="J1220" s="737" t="str">
        <f t="shared" si="384"/>
        <v>#VALUE!</v>
      </c>
      <c r="K1220" s="11"/>
      <c r="L1220" s="737" t="str">
        <f t="shared" si="385"/>
        <v>FOUND product plus housekeeping</v>
      </c>
      <c r="M1220" s="737" t="str">
        <f>MIN($Q$18,$Q$10*60)-IF(D1220=1,$Q$17/'Data DownlinkStorage Budget'!$M$3,0)</f>
        <v>#VALUE!</v>
      </c>
      <c r="N1220" s="182"/>
      <c r="O1220" s="737" t="str">
        <f t="shared" si="386"/>
        <v>#VALUE!</v>
      </c>
      <c r="P1220" s="11"/>
      <c r="Q1220" s="11"/>
      <c r="R1220" s="11"/>
      <c r="S1220" s="11"/>
      <c r="T1220" s="11"/>
      <c r="U1220" s="11"/>
      <c r="V1220" s="11"/>
      <c r="W1220" s="11"/>
      <c r="X1220" s="11"/>
      <c r="Y1220" s="11"/>
      <c r="Z1220" s="11"/>
      <c r="AA1220" s="11"/>
    </row>
    <row r="1221" ht="15.75" customHeight="1">
      <c r="A1221" s="737">
        <f t="shared" si="379"/>
        <v>0</v>
      </c>
      <c r="B1221" s="737">
        <f>A1221/'Orbit Info'!$G$10</f>
        <v>0</v>
      </c>
      <c r="C1221" s="737" t="str">
        <f t="shared" si="380"/>
        <v>Housekeeping and events only</v>
      </c>
      <c r="D1221" s="737">
        <f t="shared" si="381"/>
        <v>1</v>
      </c>
      <c r="E1221" s="737" t="str">
        <f t="shared" si="382"/>
        <v>#VALUE!</v>
      </c>
      <c r="F1221" s="737">
        <v>1.0</v>
      </c>
      <c r="G1221" s="737" t="str">
        <f t="shared" si="383"/>
        <v>#VALUE!</v>
      </c>
      <c r="H1221" s="737" t="str">
        <f>MIN($Q$11/('Orbit Info'!G$10),$Q$8*60)</f>
        <v>#VALUE!</v>
      </c>
      <c r="I1221" s="737" t="str">
        <f>IF(D1221=1,$Q$12/'Data DownlinkStorage Budget'!$M$3,0)</f>
        <v>#VALUE!</v>
      </c>
      <c r="J1221" s="737" t="str">
        <f t="shared" si="384"/>
        <v>#VALUE!</v>
      </c>
      <c r="K1221" s="11"/>
      <c r="L1221" s="737" t="str">
        <f t="shared" si="385"/>
        <v>FOUND product plus housekeeping</v>
      </c>
      <c r="M1221" s="737" t="str">
        <f>MIN($Q$18,$Q$10*60)-IF(D1221=1,$Q$17/'Data DownlinkStorage Budget'!$M$3,0)</f>
        <v>#VALUE!</v>
      </c>
      <c r="N1221" s="182"/>
      <c r="O1221" s="737" t="str">
        <f t="shared" si="386"/>
        <v>#VALUE!</v>
      </c>
      <c r="P1221" s="11"/>
      <c r="Q1221" s="11"/>
      <c r="R1221" s="11"/>
      <c r="S1221" s="11"/>
      <c r="T1221" s="11"/>
      <c r="U1221" s="11"/>
      <c r="V1221" s="11"/>
      <c r="W1221" s="11"/>
      <c r="X1221" s="11"/>
      <c r="Y1221" s="11"/>
      <c r="Z1221" s="11"/>
      <c r="AA1221" s="11"/>
    </row>
    <row r="1222" ht="15.75" customHeight="1">
      <c r="A1222" s="737">
        <f t="shared" si="379"/>
        <v>0</v>
      </c>
      <c r="B1222" s="737">
        <f>A1222/'Orbit Info'!$G$10</f>
        <v>0</v>
      </c>
      <c r="C1222" s="737" t="str">
        <f t="shared" si="380"/>
        <v>Housekeeping and events only</v>
      </c>
      <c r="D1222" s="737">
        <f t="shared" si="381"/>
        <v>1</v>
      </c>
      <c r="E1222" s="737" t="str">
        <f t="shared" si="382"/>
        <v>#VALUE!</v>
      </c>
      <c r="F1222" s="737">
        <v>1.0</v>
      </c>
      <c r="G1222" s="737" t="str">
        <f t="shared" si="383"/>
        <v>#VALUE!</v>
      </c>
      <c r="H1222" s="737" t="str">
        <f>MIN($Q$11/('Orbit Info'!G$10),$Q$8*60)</f>
        <v>#VALUE!</v>
      </c>
      <c r="I1222" s="737" t="str">
        <f>IF(D1222=1,$Q$12/'Data DownlinkStorage Budget'!$M$3,0)</f>
        <v>#VALUE!</v>
      </c>
      <c r="J1222" s="737" t="str">
        <f t="shared" si="384"/>
        <v>#VALUE!</v>
      </c>
      <c r="K1222" s="11"/>
      <c r="L1222" s="737" t="str">
        <f t="shared" si="385"/>
        <v>FOUND product plus housekeeping</v>
      </c>
      <c r="M1222" s="737" t="str">
        <f>MIN($Q$18,$Q$10*60)-IF(D1222=1,$Q$17/'Data DownlinkStorage Budget'!$M$3,0)</f>
        <v>#VALUE!</v>
      </c>
      <c r="N1222" s="182"/>
      <c r="O1222" s="737" t="str">
        <f t="shared" si="386"/>
        <v>#VALUE!</v>
      </c>
      <c r="P1222" s="11"/>
      <c r="Q1222" s="11"/>
      <c r="R1222" s="11"/>
      <c r="S1222" s="11"/>
      <c r="T1222" s="11"/>
      <c r="U1222" s="11"/>
      <c r="V1222" s="11"/>
      <c r="W1222" s="11"/>
      <c r="X1222" s="11"/>
      <c r="Y1222" s="11"/>
      <c r="Z1222" s="11"/>
      <c r="AA1222" s="11"/>
    </row>
    <row r="1223" ht="15.75" customHeight="1">
      <c r="A1223" s="737">
        <f t="shared" si="379"/>
        <v>0</v>
      </c>
      <c r="B1223" s="737">
        <f>A1223/'Orbit Info'!$G$10</f>
        <v>0</v>
      </c>
      <c r="C1223" s="737" t="str">
        <f t="shared" si="380"/>
        <v>Housekeeping and events only</v>
      </c>
      <c r="D1223" s="737">
        <f t="shared" si="381"/>
        <v>1</v>
      </c>
      <c r="E1223" s="737" t="str">
        <f t="shared" si="382"/>
        <v>#VALUE!</v>
      </c>
      <c r="F1223" s="737">
        <v>1.0</v>
      </c>
      <c r="G1223" s="737" t="str">
        <f t="shared" si="383"/>
        <v>#VALUE!</v>
      </c>
      <c r="H1223" s="737" t="str">
        <f>MIN($Q$11/('Orbit Info'!G$10),$Q$8*60)</f>
        <v>#VALUE!</v>
      </c>
      <c r="I1223" s="737" t="str">
        <f>IF(D1223=1,$Q$12/'Data DownlinkStorage Budget'!$M$3,0)</f>
        <v>#VALUE!</v>
      </c>
      <c r="J1223" s="737" t="str">
        <f t="shared" si="384"/>
        <v>#VALUE!</v>
      </c>
      <c r="K1223" s="11"/>
      <c r="L1223" s="737" t="str">
        <f t="shared" si="385"/>
        <v>FOUND product plus housekeeping</v>
      </c>
      <c r="M1223" s="737" t="str">
        <f>MIN($Q$18,$Q$10*60)-IF(D1223=1,$Q$17/'Data DownlinkStorage Budget'!$M$3,0)</f>
        <v>#VALUE!</v>
      </c>
      <c r="N1223" s="182"/>
      <c r="O1223" s="737" t="str">
        <f t="shared" si="386"/>
        <v>#VALUE!</v>
      </c>
      <c r="P1223" s="11"/>
      <c r="Q1223" s="11"/>
      <c r="R1223" s="11"/>
      <c r="S1223" s="11"/>
      <c r="T1223" s="11"/>
      <c r="U1223" s="11"/>
      <c r="V1223" s="11"/>
      <c r="W1223" s="11"/>
      <c r="X1223" s="11"/>
      <c r="Y1223" s="11"/>
      <c r="Z1223" s="11"/>
      <c r="AA1223" s="11"/>
    </row>
    <row r="1224" ht="15.75" customHeight="1">
      <c r="A1224" s="737">
        <f t="shared" si="379"/>
        <v>0</v>
      </c>
      <c r="B1224" s="737">
        <f>A1224/'Orbit Info'!$G$10</f>
        <v>0</v>
      </c>
      <c r="C1224" s="737" t="str">
        <f t="shared" si="380"/>
        <v>Housekeeping and events only</v>
      </c>
      <c r="D1224" s="737">
        <f t="shared" si="381"/>
        <v>1</v>
      </c>
      <c r="E1224" s="737" t="str">
        <f t="shared" si="382"/>
        <v>#VALUE!</v>
      </c>
      <c r="F1224" s="737">
        <v>1.0</v>
      </c>
      <c r="G1224" s="737" t="str">
        <f t="shared" si="383"/>
        <v>#VALUE!</v>
      </c>
      <c r="H1224" s="737" t="str">
        <f>MIN($Q$11/('Orbit Info'!G$10),$Q$8*60)</f>
        <v>#VALUE!</v>
      </c>
      <c r="I1224" s="737" t="str">
        <f>IF(D1224=1,$Q$12/'Data DownlinkStorage Budget'!$M$3,0)</f>
        <v>#VALUE!</v>
      </c>
      <c r="J1224" s="737" t="str">
        <f t="shared" si="384"/>
        <v>#VALUE!</v>
      </c>
      <c r="K1224" s="11"/>
      <c r="L1224" s="737" t="str">
        <f t="shared" si="385"/>
        <v>FOUND product plus housekeeping</v>
      </c>
      <c r="M1224" s="737" t="str">
        <f>MIN($Q$18,$Q$10*60)-IF(D1224=1,$Q$17/'Data DownlinkStorage Budget'!$M$3,0)</f>
        <v>#VALUE!</v>
      </c>
      <c r="N1224" s="182"/>
      <c r="O1224" s="737" t="str">
        <f t="shared" si="386"/>
        <v>#VALUE!</v>
      </c>
      <c r="P1224" s="11"/>
      <c r="Q1224" s="11"/>
      <c r="R1224" s="11"/>
      <c r="S1224" s="11"/>
      <c r="T1224" s="11"/>
      <c r="U1224" s="11"/>
      <c r="V1224" s="11"/>
      <c r="W1224" s="11"/>
      <c r="X1224" s="11"/>
      <c r="Y1224" s="11"/>
      <c r="Z1224" s="11"/>
      <c r="AA1224" s="11"/>
    </row>
    <row r="1225" ht="15.75" customHeight="1">
      <c r="A1225" s="737">
        <f t="shared" si="379"/>
        <v>0</v>
      </c>
      <c r="B1225" s="737">
        <f>A1225/'Orbit Info'!$G$10</f>
        <v>0</v>
      </c>
      <c r="C1225" s="737" t="str">
        <f t="shared" si="380"/>
        <v>Housekeeping and events only</v>
      </c>
      <c r="D1225" s="737">
        <f t="shared" si="381"/>
        <v>1</v>
      </c>
      <c r="E1225" s="737" t="str">
        <f t="shared" si="382"/>
        <v>#VALUE!</v>
      </c>
      <c r="F1225" s="737">
        <v>1.0</v>
      </c>
      <c r="G1225" s="737" t="str">
        <f t="shared" si="383"/>
        <v>#VALUE!</v>
      </c>
      <c r="H1225" s="737" t="str">
        <f>MIN($Q$11/('Orbit Info'!G$10),$Q$8*60)</f>
        <v>#VALUE!</v>
      </c>
      <c r="I1225" s="737" t="str">
        <f>IF(D1225=1,$Q$12/'Data DownlinkStorage Budget'!$M$3,0)</f>
        <v>#VALUE!</v>
      </c>
      <c r="J1225" s="737" t="str">
        <f t="shared" si="384"/>
        <v>#VALUE!</v>
      </c>
      <c r="K1225" s="11"/>
      <c r="L1225" s="737" t="str">
        <f t="shared" si="385"/>
        <v>FOUND product plus housekeeping</v>
      </c>
      <c r="M1225" s="737" t="str">
        <f>MIN($Q$18,$Q$10*60)-IF(D1225=1,$Q$17/'Data DownlinkStorage Budget'!$M$3,0)</f>
        <v>#VALUE!</v>
      </c>
      <c r="N1225" s="182"/>
      <c r="O1225" s="737" t="str">
        <f t="shared" si="386"/>
        <v>#VALUE!</v>
      </c>
      <c r="P1225" s="11"/>
      <c r="Q1225" s="11"/>
      <c r="R1225" s="11"/>
      <c r="S1225" s="11"/>
      <c r="T1225" s="11"/>
      <c r="U1225" s="11"/>
      <c r="V1225" s="11"/>
      <c r="W1225" s="11"/>
      <c r="X1225" s="11"/>
      <c r="Y1225" s="11"/>
      <c r="Z1225" s="11"/>
      <c r="AA1225" s="11"/>
    </row>
    <row r="1226" ht="15.75" customHeight="1">
      <c r="A1226" s="737">
        <f t="shared" si="379"/>
        <v>0</v>
      </c>
      <c r="B1226" s="737">
        <f>A1226/'Orbit Info'!$G$10</f>
        <v>0</v>
      </c>
      <c r="C1226" s="737" t="str">
        <f t="shared" si="380"/>
        <v>Housekeeping and events only</v>
      </c>
      <c r="D1226" s="737">
        <f t="shared" si="381"/>
        <v>1</v>
      </c>
      <c r="E1226" s="737" t="str">
        <f t="shared" si="382"/>
        <v>#VALUE!</v>
      </c>
      <c r="F1226" s="737">
        <v>1.0</v>
      </c>
      <c r="G1226" s="737" t="str">
        <f t="shared" si="383"/>
        <v>#VALUE!</v>
      </c>
      <c r="H1226" s="737" t="str">
        <f>MIN($Q$11/('Orbit Info'!G$10),$Q$8*60)</f>
        <v>#VALUE!</v>
      </c>
      <c r="I1226" s="737" t="str">
        <f>IF(D1226=1,$Q$12/'Data DownlinkStorage Budget'!$M$3,0)</f>
        <v>#VALUE!</v>
      </c>
      <c r="J1226" s="737" t="str">
        <f t="shared" si="384"/>
        <v>#VALUE!</v>
      </c>
      <c r="K1226" s="11"/>
      <c r="L1226" s="737" t="str">
        <f t="shared" si="385"/>
        <v>FOUND product plus housekeeping</v>
      </c>
      <c r="M1226" s="737" t="str">
        <f>MIN($Q$18,$Q$10*60)-IF(D1226=1,$Q$17/'Data DownlinkStorage Budget'!$M$3,0)</f>
        <v>#VALUE!</v>
      </c>
      <c r="N1226" s="182"/>
      <c r="O1226" s="737" t="str">
        <f t="shared" si="386"/>
        <v>#VALUE!</v>
      </c>
      <c r="P1226" s="11"/>
      <c r="Q1226" s="11"/>
      <c r="R1226" s="11"/>
      <c r="S1226" s="11"/>
      <c r="T1226" s="11"/>
      <c r="U1226" s="11"/>
      <c r="V1226" s="11"/>
      <c r="W1226" s="11"/>
      <c r="X1226" s="11"/>
      <c r="Y1226" s="11"/>
      <c r="Z1226" s="11"/>
      <c r="AA1226" s="11"/>
    </row>
    <row r="1227" ht="15.75" customHeight="1">
      <c r="A1227" s="737">
        <f t="shared" si="379"/>
        <v>0</v>
      </c>
      <c r="B1227" s="737">
        <f>A1227/'Orbit Info'!$G$10</f>
        <v>0</v>
      </c>
      <c r="C1227" s="737" t="str">
        <f t="shared" si="380"/>
        <v>Housekeeping and events only</v>
      </c>
      <c r="D1227" s="737">
        <f t="shared" si="381"/>
        <v>1</v>
      </c>
      <c r="E1227" s="737" t="str">
        <f t="shared" si="382"/>
        <v>#VALUE!</v>
      </c>
      <c r="F1227" s="737">
        <v>1.0</v>
      </c>
      <c r="G1227" s="737" t="str">
        <f t="shared" si="383"/>
        <v>#VALUE!</v>
      </c>
      <c r="H1227" s="737" t="str">
        <f>MIN($Q$11/('Orbit Info'!G$10),$Q$8*60)</f>
        <v>#VALUE!</v>
      </c>
      <c r="I1227" s="737" t="str">
        <f>IF(D1227=1,$Q$12/'Data DownlinkStorage Budget'!$M$3,0)</f>
        <v>#VALUE!</v>
      </c>
      <c r="J1227" s="737" t="str">
        <f t="shared" si="384"/>
        <v>#VALUE!</v>
      </c>
      <c r="K1227" s="11"/>
      <c r="L1227" s="737" t="str">
        <f t="shared" si="385"/>
        <v>FOUND product plus housekeeping</v>
      </c>
      <c r="M1227" s="737" t="str">
        <f>MIN($Q$18,$Q$10*60)-IF(D1227=1,$Q$17/'Data DownlinkStorage Budget'!$M$3,0)</f>
        <v>#VALUE!</v>
      </c>
      <c r="N1227" s="182"/>
      <c r="O1227" s="737" t="str">
        <f t="shared" si="386"/>
        <v>#VALUE!</v>
      </c>
      <c r="P1227" s="11"/>
      <c r="Q1227" s="11"/>
      <c r="R1227" s="11"/>
      <c r="S1227" s="11"/>
      <c r="T1227" s="11"/>
      <c r="U1227" s="11"/>
      <c r="V1227" s="11"/>
      <c r="W1227" s="11"/>
      <c r="X1227" s="11"/>
      <c r="Y1227" s="11"/>
      <c r="Z1227" s="11"/>
      <c r="AA1227" s="11"/>
    </row>
    <row r="1228" ht="15.75" customHeight="1">
      <c r="A1228" s="737">
        <f t="shared" si="379"/>
        <v>0</v>
      </c>
      <c r="B1228" s="737">
        <f>A1228/'Orbit Info'!$G$10</f>
        <v>0</v>
      </c>
      <c r="C1228" s="737" t="str">
        <f t="shared" si="380"/>
        <v>Housekeeping and events only</v>
      </c>
      <c r="D1228" s="737">
        <f t="shared" si="381"/>
        <v>1</v>
      </c>
      <c r="E1228" s="737" t="str">
        <f t="shared" si="382"/>
        <v>#VALUE!</v>
      </c>
      <c r="F1228" s="737">
        <v>1.0</v>
      </c>
      <c r="G1228" s="737" t="str">
        <f t="shared" si="383"/>
        <v>#VALUE!</v>
      </c>
      <c r="H1228" s="737" t="str">
        <f>MIN($Q$11/('Orbit Info'!G$10),$Q$8*60)</f>
        <v>#VALUE!</v>
      </c>
      <c r="I1228" s="737" t="str">
        <f>IF(D1228=1,$Q$12/'Data DownlinkStorage Budget'!$M$3,0)</f>
        <v>#VALUE!</v>
      </c>
      <c r="J1228" s="737" t="str">
        <f t="shared" si="384"/>
        <v>#VALUE!</v>
      </c>
      <c r="K1228" s="11"/>
      <c r="L1228" s="737" t="str">
        <f t="shared" si="385"/>
        <v>FOUND product plus housekeeping</v>
      </c>
      <c r="M1228" s="737" t="str">
        <f>MIN($Q$18,$Q$10*60)-IF(D1228=1,$Q$17/'Data DownlinkStorage Budget'!$M$3,0)</f>
        <v>#VALUE!</v>
      </c>
      <c r="N1228" s="182"/>
      <c r="O1228" s="737" t="str">
        <f t="shared" si="386"/>
        <v>#VALUE!</v>
      </c>
      <c r="P1228" s="11"/>
      <c r="Q1228" s="11"/>
      <c r="R1228" s="11"/>
      <c r="S1228" s="11"/>
      <c r="T1228" s="11"/>
      <c r="U1228" s="11"/>
      <c r="V1228" s="11"/>
      <c r="W1228" s="11"/>
      <c r="X1228" s="11"/>
      <c r="Y1228" s="11"/>
      <c r="Z1228" s="11"/>
      <c r="AA1228" s="11"/>
    </row>
    <row r="1229" ht="15.75" customHeight="1">
      <c r="A1229" s="737">
        <f t="shared" si="379"/>
        <v>0</v>
      </c>
      <c r="B1229" s="737">
        <f>A1229/'Orbit Info'!$G$10</f>
        <v>0</v>
      </c>
      <c r="C1229" s="737" t="str">
        <f t="shared" si="380"/>
        <v>Housekeeping and events only</v>
      </c>
      <c r="D1229" s="737">
        <f t="shared" si="381"/>
        <v>1</v>
      </c>
      <c r="E1229" s="737" t="str">
        <f t="shared" si="382"/>
        <v>#VALUE!</v>
      </c>
      <c r="F1229" s="737">
        <v>1.0</v>
      </c>
      <c r="G1229" s="737" t="str">
        <f t="shared" si="383"/>
        <v>#VALUE!</v>
      </c>
      <c r="H1229" s="737" t="str">
        <f>MIN($Q$11/('Orbit Info'!G$10),$Q$8*60)</f>
        <v>#VALUE!</v>
      </c>
      <c r="I1229" s="737" t="str">
        <f>IF(D1229=1,$Q$12/'Data DownlinkStorage Budget'!$M$3,0)</f>
        <v>#VALUE!</v>
      </c>
      <c r="J1229" s="737" t="str">
        <f t="shared" si="384"/>
        <v>#VALUE!</v>
      </c>
      <c r="K1229" s="11"/>
      <c r="L1229" s="737" t="str">
        <f t="shared" si="385"/>
        <v>FOUND product plus housekeeping</v>
      </c>
      <c r="M1229" s="737" t="str">
        <f>MIN($Q$18,$Q$10*60)-IF(D1229=1,$Q$17/'Data DownlinkStorage Budget'!$M$3,0)</f>
        <v>#VALUE!</v>
      </c>
      <c r="N1229" s="182"/>
      <c r="O1229" s="737" t="str">
        <f t="shared" si="386"/>
        <v>#VALUE!</v>
      </c>
      <c r="P1229" s="11"/>
      <c r="Q1229" s="11"/>
      <c r="R1229" s="11"/>
      <c r="S1229" s="11"/>
      <c r="T1229" s="11"/>
      <c r="U1229" s="11"/>
      <c r="V1229" s="11"/>
      <c r="W1229" s="11"/>
      <c r="X1229" s="11"/>
      <c r="Y1229" s="11"/>
      <c r="Z1229" s="11"/>
      <c r="AA1229" s="11"/>
    </row>
    <row r="1230" ht="15.75" customHeight="1">
      <c r="A1230" s="737">
        <f t="shared" si="379"/>
        <v>0</v>
      </c>
      <c r="B1230" s="737">
        <f>A1230/'Orbit Info'!$G$10</f>
        <v>0</v>
      </c>
      <c r="C1230" s="737" t="str">
        <f t="shared" si="380"/>
        <v>Housekeeping and events only</v>
      </c>
      <c r="D1230" s="737">
        <f t="shared" si="381"/>
        <v>1</v>
      </c>
      <c r="E1230" s="737" t="str">
        <f t="shared" si="382"/>
        <v>#VALUE!</v>
      </c>
      <c r="F1230" s="737">
        <v>1.0</v>
      </c>
      <c r="G1230" s="737" t="str">
        <f t="shared" si="383"/>
        <v>#VALUE!</v>
      </c>
      <c r="H1230" s="737" t="str">
        <f>MIN($Q$11/('Orbit Info'!G$10),$Q$8*60)</f>
        <v>#VALUE!</v>
      </c>
      <c r="I1230" s="737" t="str">
        <f>IF(D1230=1,$Q$12/'Data DownlinkStorage Budget'!$M$3,0)</f>
        <v>#VALUE!</v>
      </c>
      <c r="J1230" s="737" t="str">
        <f t="shared" si="384"/>
        <v>#VALUE!</v>
      </c>
      <c r="K1230" s="11"/>
      <c r="L1230" s="737" t="str">
        <f t="shared" si="385"/>
        <v>FOUND product plus housekeeping</v>
      </c>
      <c r="M1230" s="737" t="str">
        <f>MIN($Q$18,$Q$10*60)-IF(D1230=1,$Q$17/'Data DownlinkStorage Budget'!$M$3,0)</f>
        <v>#VALUE!</v>
      </c>
      <c r="N1230" s="182"/>
      <c r="O1230" s="737" t="str">
        <f t="shared" si="386"/>
        <v>#VALUE!</v>
      </c>
      <c r="P1230" s="11"/>
      <c r="Q1230" s="11"/>
      <c r="R1230" s="11"/>
      <c r="S1230" s="11"/>
      <c r="T1230" s="11"/>
      <c r="U1230" s="11"/>
      <c r="V1230" s="11"/>
      <c r="W1230" s="11"/>
      <c r="X1230" s="11"/>
      <c r="Y1230" s="11"/>
      <c r="Z1230" s="11"/>
      <c r="AA1230" s="11"/>
    </row>
    <row r="1231" ht="15.75" customHeight="1">
      <c r="A1231" s="737">
        <f t="shared" si="379"/>
        <v>0</v>
      </c>
      <c r="B1231" s="737">
        <f>A1231/'Orbit Info'!$G$10</f>
        <v>0</v>
      </c>
      <c r="C1231" s="737" t="str">
        <f t="shared" si="380"/>
        <v>Housekeeping and events only</v>
      </c>
      <c r="D1231" s="737">
        <f t="shared" si="381"/>
        <v>1</v>
      </c>
      <c r="E1231" s="737" t="str">
        <f t="shared" si="382"/>
        <v>#VALUE!</v>
      </c>
      <c r="F1231" s="737">
        <v>1.0</v>
      </c>
      <c r="G1231" s="737" t="str">
        <f t="shared" si="383"/>
        <v>#VALUE!</v>
      </c>
      <c r="H1231" s="737" t="str">
        <f>MIN($Q$11/('Orbit Info'!G$10),$Q$8*60)</f>
        <v>#VALUE!</v>
      </c>
      <c r="I1231" s="737" t="str">
        <f>IF(D1231=1,$Q$12/'Data DownlinkStorage Budget'!$M$3,0)</f>
        <v>#VALUE!</v>
      </c>
      <c r="J1231" s="737" t="str">
        <f t="shared" si="384"/>
        <v>#VALUE!</v>
      </c>
      <c r="K1231" s="11"/>
      <c r="L1231" s="737" t="str">
        <f t="shared" si="385"/>
        <v>FOUND product plus housekeeping</v>
      </c>
      <c r="M1231" s="737" t="str">
        <f>MIN($Q$18,$Q$10*60)-IF(D1231=1,$Q$17/'Data DownlinkStorage Budget'!$M$3,0)</f>
        <v>#VALUE!</v>
      </c>
      <c r="N1231" s="182"/>
      <c r="O1231" s="737" t="str">
        <f t="shared" si="386"/>
        <v>#VALUE!</v>
      </c>
      <c r="P1231" s="11"/>
      <c r="Q1231" s="11"/>
      <c r="R1231" s="11"/>
      <c r="S1231" s="11"/>
      <c r="T1231" s="11"/>
      <c r="U1231" s="11"/>
      <c r="V1231" s="11"/>
      <c r="W1231" s="11"/>
      <c r="X1231" s="11"/>
      <c r="Y1231" s="11"/>
      <c r="Z1231" s="11"/>
      <c r="AA1231" s="11"/>
    </row>
    <row r="1232" ht="15.75" customHeight="1">
      <c r="A1232" s="737">
        <f t="shared" si="379"/>
        <v>0</v>
      </c>
      <c r="B1232" s="737">
        <f>A1232/'Orbit Info'!$G$10</f>
        <v>0</v>
      </c>
      <c r="C1232" s="737" t="str">
        <f t="shared" si="380"/>
        <v>Housekeeping and events only</v>
      </c>
      <c r="D1232" s="737">
        <f t="shared" si="381"/>
        <v>1</v>
      </c>
      <c r="E1232" s="737" t="str">
        <f t="shared" si="382"/>
        <v>#VALUE!</v>
      </c>
      <c r="F1232" s="737">
        <v>1.0</v>
      </c>
      <c r="G1232" s="737" t="str">
        <f t="shared" si="383"/>
        <v>#VALUE!</v>
      </c>
      <c r="H1232" s="737" t="str">
        <f>MIN($Q$11/('Orbit Info'!G$10),$Q$8*60)</f>
        <v>#VALUE!</v>
      </c>
      <c r="I1232" s="737" t="str">
        <f>IF(D1232=1,$Q$12/'Data DownlinkStorage Budget'!$M$3,0)</f>
        <v>#VALUE!</v>
      </c>
      <c r="J1232" s="737" t="str">
        <f t="shared" si="384"/>
        <v>#VALUE!</v>
      </c>
      <c r="K1232" s="11"/>
      <c r="L1232" s="737" t="str">
        <f t="shared" si="385"/>
        <v>FOUND product plus housekeeping</v>
      </c>
      <c r="M1232" s="737" t="str">
        <f>MIN($Q$18,$Q$10*60)-IF(D1232=1,$Q$17/'Data DownlinkStorage Budget'!$M$3,0)</f>
        <v>#VALUE!</v>
      </c>
      <c r="N1232" s="182"/>
      <c r="O1232" s="737" t="str">
        <f t="shared" si="386"/>
        <v>#VALUE!</v>
      </c>
      <c r="P1232" s="11"/>
      <c r="Q1232" s="11"/>
      <c r="R1232" s="11"/>
      <c r="S1232" s="11"/>
      <c r="T1232" s="11"/>
      <c r="U1232" s="11"/>
      <c r="V1232" s="11"/>
      <c r="W1232" s="11"/>
      <c r="X1232" s="11"/>
      <c r="Y1232" s="11"/>
      <c r="Z1232" s="11"/>
      <c r="AA1232" s="11"/>
    </row>
    <row r="1233" ht="15.75" customHeight="1">
      <c r="A1233" s="737">
        <f t="shared" si="379"/>
        <v>0</v>
      </c>
      <c r="B1233" s="737">
        <f>A1233/'Orbit Info'!$G$10</f>
        <v>0</v>
      </c>
      <c r="C1233" s="737" t="str">
        <f t="shared" si="380"/>
        <v>Housekeeping and events only</v>
      </c>
      <c r="D1233" s="737">
        <f t="shared" si="381"/>
        <v>1</v>
      </c>
      <c r="E1233" s="737" t="str">
        <f t="shared" si="382"/>
        <v>#VALUE!</v>
      </c>
      <c r="F1233" s="737">
        <v>1.0</v>
      </c>
      <c r="G1233" s="737" t="str">
        <f t="shared" si="383"/>
        <v>#VALUE!</v>
      </c>
      <c r="H1233" s="737" t="str">
        <f>MIN($Q$11/('Orbit Info'!G$10),$Q$8*60)</f>
        <v>#VALUE!</v>
      </c>
      <c r="I1233" s="737" t="str">
        <f>IF(D1233=1,$Q$12/'Data DownlinkStorage Budget'!$M$3,0)</f>
        <v>#VALUE!</v>
      </c>
      <c r="J1233" s="737" t="str">
        <f t="shared" si="384"/>
        <v>#VALUE!</v>
      </c>
      <c r="K1233" s="11"/>
      <c r="L1233" s="737" t="str">
        <f t="shared" si="385"/>
        <v>FOUND product plus housekeeping</v>
      </c>
      <c r="M1233" s="737" t="str">
        <f>MIN($Q$18,$Q$10*60)-IF(D1233=1,$Q$17/'Data DownlinkStorage Budget'!$M$3,0)</f>
        <v>#VALUE!</v>
      </c>
      <c r="N1233" s="182"/>
      <c r="O1233" s="737" t="str">
        <f t="shared" si="386"/>
        <v>#VALUE!</v>
      </c>
      <c r="P1233" s="11"/>
      <c r="Q1233" s="11"/>
      <c r="R1233" s="11"/>
      <c r="S1233" s="11"/>
      <c r="T1233" s="11"/>
      <c r="U1233" s="11"/>
      <c r="V1233" s="11"/>
      <c r="W1233" s="11"/>
      <c r="X1233" s="11"/>
      <c r="Y1233" s="11"/>
      <c r="Z1233" s="11"/>
      <c r="AA1233" s="11"/>
    </row>
    <row r="1234" ht="15.75" customHeight="1">
      <c r="A1234" s="737">
        <f t="shared" si="379"/>
        <v>0</v>
      </c>
      <c r="B1234" s="737">
        <f>A1234/'Orbit Info'!$G$10</f>
        <v>0</v>
      </c>
      <c r="C1234" s="737" t="str">
        <f t="shared" si="380"/>
        <v>Housekeeping and events only</v>
      </c>
      <c r="D1234" s="737">
        <f t="shared" si="381"/>
        <v>1</v>
      </c>
      <c r="E1234" s="737" t="str">
        <f t="shared" si="382"/>
        <v>#VALUE!</v>
      </c>
      <c r="F1234" s="737">
        <v>1.0</v>
      </c>
      <c r="G1234" s="737" t="str">
        <f t="shared" si="383"/>
        <v>#VALUE!</v>
      </c>
      <c r="H1234" s="737" t="str">
        <f>MIN($Q$11/('Orbit Info'!G$10),$Q$8*60)</f>
        <v>#VALUE!</v>
      </c>
      <c r="I1234" s="737" t="str">
        <f>IF(D1234=1,$Q$12/'Data DownlinkStorage Budget'!$M$3,0)</f>
        <v>#VALUE!</v>
      </c>
      <c r="J1234" s="737" t="str">
        <f t="shared" si="384"/>
        <v>#VALUE!</v>
      </c>
      <c r="K1234" s="11"/>
      <c r="L1234" s="737" t="str">
        <f t="shared" si="385"/>
        <v>FOUND product plus housekeeping</v>
      </c>
      <c r="M1234" s="737" t="str">
        <f>MIN($Q$18,$Q$10*60)-IF(D1234=1,$Q$17/'Data DownlinkStorage Budget'!$M$3,0)</f>
        <v>#VALUE!</v>
      </c>
      <c r="N1234" s="182"/>
      <c r="O1234" s="737" t="str">
        <f t="shared" si="386"/>
        <v>#VALUE!</v>
      </c>
      <c r="P1234" s="11"/>
      <c r="Q1234" s="11"/>
      <c r="R1234" s="11"/>
      <c r="S1234" s="11"/>
      <c r="T1234" s="11"/>
      <c r="U1234" s="11"/>
      <c r="V1234" s="11"/>
      <c r="W1234" s="11"/>
      <c r="X1234" s="11"/>
      <c r="Y1234" s="11"/>
      <c r="Z1234" s="11"/>
      <c r="AA1234" s="11"/>
    </row>
    <row r="1235" ht="15.75" customHeight="1">
      <c r="A1235" s="737">
        <f t="shared" si="379"/>
        <v>0</v>
      </c>
      <c r="B1235" s="737">
        <f>A1235/'Orbit Info'!$G$10</f>
        <v>0</v>
      </c>
      <c r="C1235" s="737" t="str">
        <f t="shared" si="380"/>
        <v>Housekeeping and events only</v>
      </c>
      <c r="D1235" s="737">
        <f t="shared" si="381"/>
        <v>1</v>
      </c>
      <c r="E1235" s="737" t="str">
        <f t="shared" si="382"/>
        <v>#VALUE!</v>
      </c>
      <c r="F1235" s="737">
        <v>1.0</v>
      </c>
      <c r="G1235" s="737" t="str">
        <f t="shared" si="383"/>
        <v>#VALUE!</v>
      </c>
      <c r="H1235" s="737" t="str">
        <f>MIN($Q$11/('Orbit Info'!G$10),$Q$8*60)</f>
        <v>#VALUE!</v>
      </c>
      <c r="I1235" s="737" t="str">
        <f>IF(D1235=1,$Q$12/'Data DownlinkStorage Budget'!$M$3,0)</f>
        <v>#VALUE!</v>
      </c>
      <c r="J1235" s="737" t="str">
        <f t="shared" si="384"/>
        <v>#VALUE!</v>
      </c>
      <c r="K1235" s="11"/>
      <c r="L1235" s="737" t="str">
        <f t="shared" si="385"/>
        <v>FOUND product plus housekeeping</v>
      </c>
      <c r="M1235" s="737" t="str">
        <f>MIN($Q$18,$Q$10*60)-IF(D1235=1,$Q$17/'Data DownlinkStorage Budget'!$M$3,0)</f>
        <v>#VALUE!</v>
      </c>
      <c r="N1235" s="182"/>
      <c r="O1235" s="737" t="str">
        <f t="shared" si="386"/>
        <v>#VALUE!</v>
      </c>
      <c r="P1235" s="11"/>
      <c r="Q1235" s="11"/>
      <c r="R1235" s="11"/>
      <c r="S1235" s="11"/>
      <c r="T1235" s="11"/>
      <c r="U1235" s="11"/>
      <c r="V1235" s="11"/>
      <c r="W1235" s="11"/>
      <c r="X1235" s="11"/>
      <c r="Y1235" s="11"/>
      <c r="Z1235" s="11"/>
      <c r="AA1235" s="11"/>
    </row>
    <row r="1236" ht="15.75" customHeight="1">
      <c r="A1236" s="737">
        <f t="shared" si="379"/>
        <v>0</v>
      </c>
      <c r="B1236" s="737">
        <f>A1236/'Orbit Info'!$G$10</f>
        <v>0</v>
      </c>
      <c r="C1236" s="737" t="str">
        <f t="shared" si="380"/>
        <v>Housekeeping and events only</v>
      </c>
      <c r="D1236" s="737">
        <f t="shared" si="381"/>
        <v>1</v>
      </c>
      <c r="E1236" s="737" t="str">
        <f t="shared" si="382"/>
        <v>#VALUE!</v>
      </c>
      <c r="F1236" s="737">
        <v>1.0</v>
      </c>
      <c r="G1236" s="737" t="str">
        <f t="shared" si="383"/>
        <v>#VALUE!</v>
      </c>
      <c r="H1236" s="737" t="str">
        <f>MIN($Q$11/('Orbit Info'!G$10),$Q$8*60)</f>
        <v>#VALUE!</v>
      </c>
      <c r="I1236" s="737" t="str">
        <f>IF(D1236=1,$Q$12/'Data DownlinkStorage Budget'!$M$3,0)</f>
        <v>#VALUE!</v>
      </c>
      <c r="J1236" s="737" t="str">
        <f t="shared" si="384"/>
        <v>#VALUE!</v>
      </c>
      <c r="K1236" s="11"/>
      <c r="L1236" s="737" t="str">
        <f t="shared" si="385"/>
        <v>FOUND product plus housekeeping</v>
      </c>
      <c r="M1236" s="737" t="str">
        <f>MIN($Q$18,$Q$10*60)-IF(D1236=1,$Q$17/'Data DownlinkStorage Budget'!$M$3,0)</f>
        <v>#VALUE!</v>
      </c>
      <c r="N1236" s="182"/>
      <c r="O1236" s="737" t="str">
        <f t="shared" si="386"/>
        <v>#VALUE!</v>
      </c>
      <c r="P1236" s="11"/>
      <c r="Q1236" s="11"/>
      <c r="R1236" s="11"/>
      <c r="S1236" s="11"/>
      <c r="T1236" s="11"/>
      <c r="U1236" s="11"/>
      <c r="V1236" s="11"/>
      <c r="W1236" s="11"/>
      <c r="X1236" s="11"/>
      <c r="Y1236" s="11"/>
      <c r="Z1236" s="11"/>
      <c r="AA1236" s="11"/>
    </row>
    <row r="1237" ht="15.75" customHeight="1">
      <c r="A1237" s="737">
        <f t="shared" si="379"/>
        <v>0</v>
      </c>
      <c r="B1237" s="737">
        <f>A1237/'Orbit Info'!$G$10</f>
        <v>0</v>
      </c>
      <c r="C1237" s="737" t="str">
        <f t="shared" si="380"/>
        <v>Housekeeping and events only</v>
      </c>
      <c r="D1237" s="737">
        <f t="shared" si="381"/>
        <v>1</v>
      </c>
      <c r="E1237" s="737" t="str">
        <f t="shared" si="382"/>
        <v>#VALUE!</v>
      </c>
      <c r="F1237" s="737">
        <v>1.0</v>
      </c>
      <c r="G1237" s="737" t="str">
        <f t="shared" si="383"/>
        <v>#VALUE!</v>
      </c>
      <c r="H1237" s="737" t="str">
        <f>MIN($Q$11/('Orbit Info'!G$10),$Q$8*60)</f>
        <v>#VALUE!</v>
      </c>
      <c r="I1237" s="737" t="str">
        <f>IF(D1237=1,$Q$12/'Data DownlinkStorage Budget'!$M$3,0)</f>
        <v>#VALUE!</v>
      </c>
      <c r="J1237" s="737" t="str">
        <f t="shared" si="384"/>
        <v>#VALUE!</v>
      </c>
      <c r="K1237" s="11"/>
      <c r="L1237" s="737" t="str">
        <f t="shared" si="385"/>
        <v>FOUND product plus housekeeping</v>
      </c>
      <c r="M1237" s="737" t="str">
        <f>MIN($Q$18,$Q$10*60)-IF(D1237=1,$Q$17/'Data DownlinkStorage Budget'!$M$3,0)</f>
        <v>#VALUE!</v>
      </c>
      <c r="N1237" s="182"/>
      <c r="O1237" s="737" t="str">
        <f t="shared" si="386"/>
        <v>#VALUE!</v>
      </c>
      <c r="P1237" s="11"/>
      <c r="Q1237" s="11"/>
      <c r="R1237" s="11"/>
      <c r="S1237" s="11"/>
      <c r="T1237" s="11"/>
      <c r="U1237" s="11"/>
      <c r="V1237" s="11"/>
      <c r="W1237" s="11"/>
      <c r="X1237" s="11"/>
      <c r="Y1237" s="11"/>
      <c r="Z1237" s="11"/>
      <c r="AA1237" s="11"/>
    </row>
    <row r="1238" ht="15.75" customHeight="1">
      <c r="A1238" s="737">
        <f t="shared" si="379"/>
        <v>0</v>
      </c>
      <c r="B1238" s="737">
        <f>A1238/'Orbit Info'!$G$10</f>
        <v>0</v>
      </c>
      <c r="C1238" s="737" t="str">
        <f t="shared" si="380"/>
        <v>Housekeeping and events only</v>
      </c>
      <c r="D1238" s="737">
        <f t="shared" si="381"/>
        <v>1</v>
      </c>
      <c r="E1238" s="737" t="str">
        <f t="shared" si="382"/>
        <v>#VALUE!</v>
      </c>
      <c r="F1238" s="737">
        <v>1.0</v>
      </c>
      <c r="G1238" s="737" t="str">
        <f t="shared" si="383"/>
        <v>#VALUE!</v>
      </c>
      <c r="H1238" s="737" t="str">
        <f>MIN($Q$11/('Orbit Info'!G$10),$Q$8*60)</f>
        <v>#VALUE!</v>
      </c>
      <c r="I1238" s="737" t="str">
        <f>IF(D1238=1,$Q$12/'Data DownlinkStorage Budget'!$M$3,0)</f>
        <v>#VALUE!</v>
      </c>
      <c r="J1238" s="737" t="str">
        <f t="shared" si="384"/>
        <v>#VALUE!</v>
      </c>
      <c r="K1238" s="11"/>
      <c r="L1238" s="737" t="str">
        <f t="shared" si="385"/>
        <v>FOUND product plus housekeeping</v>
      </c>
      <c r="M1238" s="737" t="str">
        <f>MIN($Q$18,$Q$10*60)-IF(D1238=1,$Q$17/'Data DownlinkStorage Budget'!$M$3,0)</f>
        <v>#VALUE!</v>
      </c>
      <c r="N1238" s="182"/>
      <c r="O1238" s="737" t="str">
        <f t="shared" si="386"/>
        <v>#VALUE!</v>
      </c>
      <c r="P1238" s="11"/>
      <c r="Q1238" s="11"/>
      <c r="R1238" s="11"/>
      <c r="S1238" s="11"/>
      <c r="T1238" s="11"/>
      <c r="U1238" s="11"/>
      <c r="V1238" s="11"/>
      <c r="W1238" s="11"/>
      <c r="X1238" s="11"/>
      <c r="Y1238" s="11"/>
      <c r="Z1238" s="11"/>
      <c r="AA1238" s="11"/>
    </row>
    <row r="1239" ht="15.75" customHeight="1">
      <c r="A1239" s="737">
        <f t="shared" si="379"/>
        <v>0</v>
      </c>
      <c r="B1239" s="737">
        <f>A1239/'Orbit Info'!$G$10</f>
        <v>0</v>
      </c>
      <c r="C1239" s="737" t="str">
        <f t="shared" si="380"/>
        <v>Housekeeping and events only</v>
      </c>
      <c r="D1239" s="737">
        <f t="shared" si="381"/>
        <v>1</v>
      </c>
      <c r="E1239" s="737" t="str">
        <f t="shared" si="382"/>
        <v>#VALUE!</v>
      </c>
      <c r="F1239" s="737">
        <v>1.0</v>
      </c>
      <c r="G1239" s="737" t="str">
        <f t="shared" si="383"/>
        <v>#VALUE!</v>
      </c>
      <c r="H1239" s="737" t="str">
        <f>MIN($Q$11/('Orbit Info'!G$10),$Q$8*60)</f>
        <v>#VALUE!</v>
      </c>
      <c r="I1239" s="737" t="str">
        <f>IF(D1239=1,$Q$12/'Data DownlinkStorage Budget'!$M$3,0)</f>
        <v>#VALUE!</v>
      </c>
      <c r="J1239" s="737" t="str">
        <f t="shared" si="384"/>
        <v>#VALUE!</v>
      </c>
      <c r="K1239" s="11"/>
      <c r="L1239" s="737" t="str">
        <f t="shared" si="385"/>
        <v>FOUND product plus housekeeping</v>
      </c>
      <c r="M1239" s="737" t="str">
        <f>MIN($Q$18,$Q$10*60)-IF(D1239=1,$Q$17/'Data DownlinkStorage Budget'!$M$3,0)</f>
        <v>#VALUE!</v>
      </c>
      <c r="N1239" s="182"/>
      <c r="O1239" s="737" t="str">
        <f t="shared" si="386"/>
        <v>#VALUE!</v>
      </c>
      <c r="P1239" s="11"/>
      <c r="Q1239" s="11"/>
      <c r="R1239" s="11"/>
      <c r="S1239" s="11"/>
      <c r="T1239" s="11"/>
      <c r="U1239" s="11"/>
      <c r="V1239" s="11"/>
      <c r="W1239" s="11"/>
      <c r="X1239" s="11"/>
      <c r="Y1239" s="11"/>
      <c r="Z1239" s="11"/>
      <c r="AA1239" s="11"/>
    </row>
    <row r="1240" ht="15.75" customHeight="1">
      <c r="A1240" s="737">
        <f t="shared" si="379"/>
        <v>0</v>
      </c>
      <c r="B1240" s="737">
        <f>A1240/'Orbit Info'!$G$10</f>
        <v>0</v>
      </c>
      <c r="C1240" s="737" t="str">
        <f t="shared" si="380"/>
        <v>Housekeeping and events only</v>
      </c>
      <c r="D1240" s="737">
        <f t="shared" si="381"/>
        <v>1</v>
      </c>
      <c r="E1240" s="737" t="str">
        <f t="shared" si="382"/>
        <v>#VALUE!</v>
      </c>
      <c r="F1240" s="737">
        <v>1.0</v>
      </c>
      <c r="G1240" s="737" t="str">
        <f t="shared" si="383"/>
        <v>#VALUE!</v>
      </c>
      <c r="H1240" s="737" t="str">
        <f>MIN($Q$11/('Orbit Info'!G$10),$Q$8*60)</f>
        <v>#VALUE!</v>
      </c>
      <c r="I1240" s="737" t="str">
        <f>IF(D1240=1,$Q$12/'Data DownlinkStorage Budget'!$M$3,0)</f>
        <v>#VALUE!</v>
      </c>
      <c r="J1240" s="737" t="str">
        <f t="shared" si="384"/>
        <v>#VALUE!</v>
      </c>
      <c r="K1240" s="11"/>
      <c r="L1240" s="737" t="str">
        <f t="shared" si="385"/>
        <v>FOUND product plus housekeeping</v>
      </c>
      <c r="M1240" s="737" t="str">
        <f>MIN($Q$18,$Q$10*60)-IF(D1240=1,$Q$17/'Data DownlinkStorage Budget'!$M$3,0)</f>
        <v>#VALUE!</v>
      </c>
      <c r="N1240" s="182"/>
      <c r="O1240" s="737" t="str">
        <f t="shared" si="386"/>
        <v>#VALUE!</v>
      </c>
      <c r="P1240" s="11"/>
      <c r="Q1240" s="11"/>
      <c r="R1240" s="11"/>
      <c r="S1240" s="11"/>
      <c r="T1240" s="11"/>
      <c r="U1240" s="11"/>
      <c r="V1240" s="11"/>
      <c r="W1240" s="11"/>
      <c r="X1240" s="11"/>
      <c r="Y1240" s="11"/>
      <c r="Z1240" s="11"/>
      <c r="AA1240" s="11"/>
    </row>
    <row r="1241" ht="15.75" customHeight="1">
      <c r="A1241" s="737">
        <f t="shared" si="379"/>
        <v>0</v>
      </c>
      <c r="B1241" s="737">
        <f>A1241/'Orbit Info'!$G$10</f>
        <v>0</v>
      </c>
      <c r="C1241" s="737" t="str">
        <f t="shared" si="380"/>
        <v>Housekeeping and events only</v>
      </c>
      <c r="D1241" s="737">
        <f t="shared" si="381"/>
        <v>1</v>
      </c>
      <c r="E1241" s="737" t="str">
        <f t="shared" si="382"/>
        <v>#VALUE!</v>
      </c>
      <c r="F1241" s="737">
        <v>1.0</v>
      </c>
      <c r="G1241" s="737" t="str">
        <f t="shared" si="383"/>
        <v>#VALUE!</v>
      </c>
      <c r="H1241" s="737" t="str">
        <f>MIN($Q$11/('Orbit Info'!G$10),$Q$8*60)</f>
        <v>#VALUE!</v>
      </c>
      <c r="I1241" s="737" t="str">
        <f>IF(D1241=1,$Q$12/'Data DownlinkStorage Budget'!$M$3,0)</f>
        <v>#VALUE!</v>
      </c>
      <c r="J1241" s="737" t="str">
        <f t="shared" si="384"/>
        <v>#VALUE!</v>
      </c>
      <c r="K1241" s="11"/>
      <c r="L1241" s="737" t="str">
        <f t="shared" si="385"/>
        <v>FOUND product plus housekeeping</v>
      </c>
      <c r="M1241" s="737" t="str">
        <f>MIN($Q$18,$Q$10*60)-IF(D1241=1,$Q$17/'Data DownlinkStorage Budget'!$M$3,0)</f>
        <v>#VALUE!</v>
      </c>
      <c r="N1241" s="182"/>
      <c r="O1241" s="737" t="str">
        <f t="shared" si="386"/>
        <v>#VALUE!</v>
      </c>
      <c r="P1241" s="11"/>
      <c r="Q1241" s="11"/>
      <c r="R1241" s="11"/>
      <c r="S1241" s="11"/>
      <c r="T1241" s="11"/>
      <c r="U1241" s="11"/>
      <c r="V1241" s="11"/>
      <c r="W1241" s="11"/>
      <c r="X1241" s="11"/>
      <c r="Y1241" s="11"/>
      <c r="Z1241" s="11"/>
      <c r="AA1241" s="11"/>
    </row>
    <row r="1242" ht="15.75" customHeight="1">
      <c r="A1242" s="737">
        <f t="shared" si="379"/>
        <v>0</v>
      </c>
      <c r="B1242" s="737">
        <f>A1242/'Orbit Info'!$G$10</f>
        <v>0</v>
      </c>
      <c r="C1242" s="737" t="str">
        <f t="shared" si="380"/>
        <v>Housekeeping and events only</v>
      </c>
      <c r="D1242" s="737">
        <f t="shared" si="381"/>
        <v>1</v>
      </c>
      <c r="E1242" s="737" t="str">
        <f t="shared" si="382"/>
        <v>#VALUE!</v>
      </c>
      <c r="F1242" s="737">
        <v>1.0</v>
      </c>
      <c r="G1242" s="737" t="str">
        <f t="shared" si="383"/>
        <v>#VALUE!</v>
      </c>
      <c r="H1242" s="737" t="str">
        <f>MIN($Q$11/('Orbit Info'!G$10),$Q$8*60)</f>
        <v>#VALUE!</v>
      </c>
      <c r="I1242" s="737" t="str">
        <f>IF(D1242=1,$Q$12/'Data DownlinkStorage Budget'!$M$3,0)</f>
        <v>#VALUE!</v>
      </c>
      <c r="J1242" s="737" t="str">
        <f t="shared" si="384"/>
        <v>#VALUE!</v>
      </c>
      <c r="K1242" s="11"/>
      <c r="L1242" s="737" t="str">
        <f t="shared" si="385"/>
        <v>FOUND product plus housekeeping</v>
      </c>
      <c r="M1242" s="737" t="str">
        <f>MIN($Q$18,$Q$10*60)-IF(D1242=1,$Q$17/'Data DownlinkStorage Budget'!$M$3,0)</f>
        <v>#VALUE!</v>
      </c>
      <c r="N1242" s="182"/>
      <c r="O1242" s="737" t="str">
        <f t="shared" si="386"/>
        <v>#VALUE!</v>
      </c>
      <c r="P1242" s="11"/>
      <c r="Q1242" s="11"/>
      <c r="R1242" s="11"/>
      <c r="S1242" s="11"/>
      <c r="T1242" s="11"/>
      <c r="U1242" s="11"/>
      <c r="V1242" s="11"/>
      <c r="W1242" s="11"/>
      <c r="X1242" s="11"/>
      <c r="Y1242" s="11"/>
      <c r="Z1242" s="11"/>
      <c r="AA1242" s="11"/>
    </row>
    <row r="1243" ht="15.75" customHeight="1">
      <c r="A1243" s="737">
        <f t="shared" si="379"/>
        <v>0</v>
      </c>
      <c r="B1243" s="737">
        <f>A1243/'Orbit Info'!$G$10</f>
        <v>0</v>
      </c>
      <c r="C1243" s="737" t="str">
        <f t="shared" si="380"/>
        <v>Housekeeping and events only</v>
      </c>
      <c r="D1243" s="737">
        <f t="shared" si="381"/>
        <v>1</v>
      </c>
      <c r="E1243" s="737" t="str">
        <f t="shared" si="382"/>
        <v>#VALUE!</v>
      </c>
      <c r="F1243" s="737">
        <v>1.0</v>
      </c>
      <c r="G1243" s="737" t="str">
        <f t="shared" si="383"/>
        <v>#VALUE!</v>
      </c>
      <c r="H1243" s="737" t="str">
        <f>MIN($Q$11/('Orbit Info'!G$10),$Q$8*60)</f>
        <v>#VALUE!</v>
      </c>
      <c r="I1243" s="737" t="str">
        <f>IF(D1243=1,$Q$12/'Data DownlinkStorage Budget'!$M$3,0)</f>
        <v>#VALUE!</v>
      </c>
      <c r="J1243" s="737" t="str">
        <f t="shared" si="384"/>
        <v>#VALUE!</v>
      </c>
      <c r="K1243" s="11"/>
      <c r="L1243" s="737" t="str">
        <f t="shared" si="385"/>
        <v>FOUND product plus housekeeping</v>
      </c>
      <c r="M1243" s="737" t="str">
        <f>MIN($Q$18,$Q$10*60)-IF(D1243=1,$Q$17/'Data DownlinkStorage Budget'!$M$3,0)</f>
        <v>#VALUE!</v>
      </c>
      <c r="N1243" s="182"/>
      <c r="O1243" s="737" t="str">
        <f t="shared" si="386"/>
        <v>#VALUE!</v>
      </c>
      <c r="P1243" s="11"/>
      <c r="Q1243" s="11"/>
      <c r="R1243" s="11"/>
      <c r="S1243" s="11"/>
      <c r="T1243" s="11"/>
      <c r="U1243" s="11"/>
      <c r="V1243" s="11"/>
      <c r="W1243" s="11"/>
      <c r="X1243" s="11"/>
      <c r="Y1243" s="11"/>
      <c r="Z1243" s="11"/>
      <c r="AA1243" s="11"/>
    </row>
    <row r="1244" ht="15.75" customHeight="1">
      <c r="A1244" s="737">
        <f t="shared" si="379"/>
        <v>0</v>
      </c>
      <c r="B1244" s="737">
        <f>A1244/'Orbit Info'!$G$10</f>
        <v>0</v>
      </c>
      <c r="C1244" s="737" t="str">
        <f t="shared" si="380"/>
        <v>Housekeeping and events only</v>
      </c>
      <c r="D1244" s="737">
        <f t="shared" si="381"/>
        <v>1</v>
      </c>
      <c r="E1244" s="737" t="str">
        <f t="shared" si="382"/>
        <v>#VALUE!</v>
      </c>
      <c r="F1244" s="737">
        <v>1.0</v>
      </c>
      <c r="G1244" s="737" t="str">
        <f t="shared" si="383"/>
        <v>#VALUE!</v>
      </c>
      <c r="H1244" s="737" t="str">
        <f>MIN($Q$11/('Orbit Info'!G$10),$Q$8*60)</f>
        <v>#VALUE!</v>
      </c>
      <c r="I1244" s="737" t="str">
        <f>IF(D1244=1,$Q$12/'Data DownlinkStorage Budget'!$M$3,0)</f>
        <v>#VALUE!</v>
      </c>
      <c r="J1244" s="737" t="str">
        <f t="shared" si="384"/>
        <v>#VALUE!</v>
      </c>
      <c r="K1244" s="11"/>
      <c r="L1244" s="737" t="str">
        <f t="shared" si="385"/>
        <v>FOUND product plus housekeeping</v>
      </c>
      <c r="M1244" s="737" t="str">
        <f>MIN($Q$18,$Q$10*60)-IF(D1244=1,$Q$17/'Data DownlinkStorage Budget'!$M$3,0)</f>
        <v>#VALUE!</v>
      </c>
      <c r="N1244" s="182"/>
      <c r="O1244" s="737" t="str">
        <f t="shared" si="386"/>
        <v>#VALUE!</v>
      </c>
      <c r="P1244" s="11"/>
      <c r="Q1244" s="11"/>
      <c r="R1244" s="11"/>
      <c r="S1244" s="11"/>
      <c r="T1244" s="11"/>
      <c r="U1244" s="11"/>
      <c r="V1244" s="11"/>
      <c r="W1244" s="11"/>
      <c r="X1244" s="11"/>
      <c r="Y1244" s="11"/>
      <c r="Z1244" s="11"/>
      <c r="AA1244" s="11"/>
    </row>
    <row r="1245" ht="15.75" customHeight="1">
      <c r="A1245" s="737">
        <f t="shared" si="379"/>
        <v>0</v>
      </c>
      <c r="B1245" s="737">
        <f>A1245/'Orbit Info'!$G$10</f>
        <v>0</v>
      </c>
      <c r="C1245" s="737" t="str">
        <f t="shared" si="380"/>
        <v>Housekeeping and events only</v>
      </c>
      <c r="D1245" s="737">
        <f t="shared" si="381"/>
        <v>1</v>
      </c>
      <c r="E1245" s="737" t="str">
        <f t="shared" si="382"/>
        <v>#VALUE!</v>
      </c>
      <c r="F1245" s="737">
        <v>1.0</v>
      </c>
      <c r="G1245" s="737" t="str">
        <f t="shared" si="383"/>
        <v>#VALUE!</v>
      </c>
      <c r="H1245" s="737" t="str">
        <f>MIN($Q$11/('Orbit Info'!G$10),$Q$8*60)</f>
        <v>#VALUE!</v>
      </c>
      <c r="I1245" s="737" t="str">
        <f>IF(D1245=1,$Q$12/'Data DownlinkStorage Budget'!$M$3,0)</f>
        <v>#VALUE!</v>
      </c>
      <c r="J1245" s="737" t="str">
        <f t="shared" si="384"/>
        <v>#VALUE!</v>
      </c>
      <c r="K1245" s="11"/>
      <c r="L1245" s="737" t="str">
        <f t="shared" si="385"/>
        <v>FOUND product plus housekeeping</v>
      </c>
      <c r="M1245" s="737" t="str">
        <f>MIN($Q$18,$Q$10*60)-IF(D1245=1,$Q$17/'Data DownlinkStorage Budget'!$M$3,0)</f>
        <v>#VALUE!</v>
      </c>
      <c r="N1245" s="182"/>
      <c r="O1245" s="737" t="str">
        <f t="shared" si="386"/>
        <v>#VALUE!</v>
      </c>
      <c r="P1245" s="11"/>
      <c r="Q1245" s="11"/>
      <c r="R1245" s="11"/>
      <c r="S1245" s="11"/>
      <c r="T1245" s="11"/>
      <c r="U1245" s="11"/>
      <c r="V1245" s="11"/>
      <c r="W1245" s="11"/>
      <c r="X1245" s="11"/>
      <c r="Y1245" s="11"/>
      <c r="Z1245" s="11"/>
      <c r="AA1245" s="11"/>
    </row>
    <row r="1246" ht="15.75" customHeight="1">
      <c r="A1246" s="737">
        <f t="shared" si="379"/>
        <v>0</v>
      </c>
      <c r="B1246" s="737">
        <f>A1246/'Orbit Info'!$G$10</f>
        <v>0</v>
      </c>
      <c r="C1246" s="737" t="str">
        <f t="shared" si="380"/>
        <v>Housekeeping and events only</v>
      </c>
      <c r="D1246" s="737">
        <f t="shared" si="381"/>
        <v>1</v>
      </c>
      <c r="E1246" s="737" t="str">
        <f t="shared" si="382"/>
        <v>#VALUE!</v>
      </c>
      <c r="F1246" s="737">
        <v>1.0</v>
      </c>
      <c r="G1246" s="737" t="str">
        <f t="shared" si="383"/>
        <v>#VALUE!</v>
      </c>
      <c r="H1246" s="737" t="str">
        <f>MIN($Q$11/('Orbit Info'!G$10),$Q$8*60)</f>
        <v>#VALUE!</v>
      </c>
      <c r="I1246" s="737" t="str">
        <f>IF(D1246=1,$Q$12/'Data DownlinkStorage Budget'!$M$3,0)</f>
        <v>#VALUE!</v>
      </c>
      <c r="J1246" s="737" t="str">
        <f t="shared" si="384"/>
        <v>#VALUE!</v>
      </c>
      <c r="K1246" s="11"/>
      <c r="L1246" s="737" t="str">
        <f t="shared" si="385"/>
        <v>FOUND product plus housekeeping</v>
      </c>
      <c r="M1246" s="737" t="str">
        <f>MIN($Q$18,$Q$10*60)-IF(D1246=1,$Q$17/'Data DownlinkStorage Budget'!$M$3,0)</f>
        <v>#VALUE!</v>
      </c>
      <c r="N1246" s="182"/>
      <c r="O1246" s="737" t="str">
        <f t="shared" si="386"/>
        <v>#VALUE!</v>
      </c>
      <c r="P1246" s="11"/>
      <c r="Q1246" s="11"/>
      <c r="R1246" s="11"/>
      <c r="S1246" s="11"/>
      <c r="T1246" s="11"/>
      <c r="U1246" s="11"/>
      <c r="V1246" s="11"/>
      <c r="W1246" s="11"/>
      <c r="X1246" s="11"/>
      <c r="Y1246" s="11"/>
      <c r="Z1246" s="11"/>
      <c r="AA1246" s="11"/>
    </row>
    <row r="1247" ht="15.75" customHeight="1">
      <c r="A1247" s="737">
        <f t="shared" si="379"/>
        <v>0</v>
      </c>
      <c r="B1247" s="737">
        <f>A1247/'Orbit Info'!$G$10</f>
        <v>0</v>
      </c>
      <c r="C1247" s="737" t="str">
        <f t="shared" si="380"/>
        <v>Housekeeping and events only</v>
      </c>
      <c r="D1247" s="737">
        <f t="shared" si="381"/>
        <v>1</v>
      </c>
      <c r="E1247" s="737" t="str">
        <f t="shared" si="382"/>
        <v>#VALUE!</v>
      </c>
      <c r="F1247" s="737">
        <v>1.0</v>
      </c>
      <c r="G1247" s="737" t="str">
        <f t="shared" si="383"/>
        <v>#VALUE!</v>
      </c>
      <c r="H1247" s="737" t="str">
        <f>MIN($Q$11/('Orbit Info'!G$10),$Q$8*60)</f>
        <v>#VALUE!</v>
      </c>
      <c r="I1247" s="737" t="str">
        <f>IF(D1247=1,$Q$12/'Data DownlinkStorage Budget'!$M$3,0)</f>
        <v>#VALUE!</v>
      </c>
      <c r="J1247" s="737" t="str">
        <f t="shared" si="384"/>
        <v>#VALUE!</v>
      </c>
      <c r="K1247" s="11"/>
      <c r="L1247" s="737" t="str">
        <f t="shared" si="385"/>
        <v>FOUND product plus housekeeping</v>
      </c>
      <c r="M1247" s="737" t="str">
        <f>MIN($Q$18,$Q$10*60)-IF(D1247=1,$Q$17/'Data DownlinkStorage Budget'!$M$3,0)</f>
        <v>#VALUE!</v>
      </c>
      <c r="N1247" s="182"/>
      <c r="O1247" s="737" t="str">
        <f t="shared" si="386"/>
        <v>#VALUE!</v>
      </c>
      <c r="P1247" s="11"/>
      <c r="Q1247" s="11"/>
      <c r="R1247" s="11"/>
      <c r="S1247" s="11"/>
      <c r="T1247" s="11"/>
      <c r="U1247" s="11"/>
      <c r="V1247" s="11"/>
      <c r="W1247" s="11"/>
      <c r="X1247" s="11"/>
      <c r="Y1247" s="11"/>
      <c r="Z1247" s="11"/>
      <c r="AA1247" s="11"/>
    </row>
    <row r="1248" ht="15.75" customHeight="1">
      <c r="A1248" s="737">
        <f t="shared" si="379"/>
        <v>0</v>
      </c>
      <c r="B1248" s="737">
        <f>A1248/'Orbit Info'!$G$10</f>
        <v>0</v>
      </c>
      <c r="C1248" s="737" t="str">
        <f t="shared" si="380"/>
        <v>Housekeeping and events only</v>
      </c>
      <c r="D1248" s="737">
        <f t="shared" si="381"/>
        <v>1</v>
      </c>
      <c r="E1248" s="737" t="str">
        <f t="shared" si="382"/>
        <v>#VALUE!</v>
      </c>
      <c r="F1248" s="737">
        <v>1.0</v>
      </c>
      <c r="G1248" s="737" t="str">
        <f t="shared" si="383"/>
        <v>#VALUE!</v>
      </c>
      <c r="H1248" s="737" t="str">
        <f>MIN($Q$11/('Orbit Info'!G$10),$Q$8*60)</f>
        <v>#VALUE!</v>
      </c>
      <c r="I1248" s="737" t="str">
        <f>IF(D1248=1,$Q$12/'Data DownlinkStorage Budget'!$M$3,0)</f>
        <v>#VALUE!</v>
      </c>
      <c r="J1248" s="737" t="str">
        <f t="shared" si="384"/>
        <v>#VALUE!</v>
      </c>
      <c r="K1248" s="11"/>
      <c r="L1248" s="737" t="str">
        <f t="shared" si="385"/>
        <v>FOUND product plus housekeeping</v>
      </c>
      <c r="M1248" s="737" t="str">
        <f>MIN($Q$18,$Q$10*60)-IF(D1248=1,$Q$17/'Data DownlinkStorage Budget'!$M$3,0)</f>
        <v>#VALUE!</v>
      </c>
      <c r="N1248" s="182"/>
      <c r="O1248" s="737" t="str">
        <f t="shared" si="386"/>
        <v>#VALUE!</v>
      </c>
      <c r="P1248" s="11"/>
      <c r="Q1248" s="11"/>
      <c r="R1248" s="11"/>
      <c r="S1248" s="11"/>
      <c r="T1248" s="11"/>
      <c r="U1248" s="11"/>
      <c r="V1248" s="11"/>
      <c r="W1248" s="11"/>
      <c r="X1248" s="11"/>
      <c r="Y1248" s="11"/>
      <c r="Z1248" s="11"/>
      <c r="AA1248" s="11"/>
    </row>
    <row r="1249" ht="15.75" customHeight="1">
      <c r="A1249" s="737">
        <f t="shared" si="379"/>
        <v>0</v>
      </c>
      <c r="B1249" s="737">
        <f>A1249/'Orbit Info'!$G$10</f>
        <v>0</v>
      </c>
      <c r="C1249" s="737" t="str">
        <f t="shared" si="380"/>
        <v>Housekeeping and events only</v>
      </c>
      <c r="D1249" s="737">
        <f t="shared" si="381"/>
        <v>1</v>
      </c>
      <c r="E1249" s="737" t="str">
        <f t="shared" si="382"/>
        <v>#VALUE!</v>
      </c>
      <c r="F1249" s="737">
        <v>1.0</v>
      </c>
      <c r="G1249" s="737" t="str">
        <f t="shared" si="383"/>
        <v>#VALUE!</v>
      </c>
      <c r="H1249" s="737" t="str">
        <f>MIN($Q$11/('Orbit Info'!G$10),$Q$8*60)</f>
        <v>#VALUE!</v>
      </c>
      <c r="I1249" s="737" t="str">
        <f>IF(D1249=1,$Q$12/'Data DownlinkStorage Budget'!$M$3,0)</f>
        <v>#VALUE!</v>
      </c>
      <c r="J1249" s="737" t="str">
        <f t="shared" si="384"/>
        <v>#VALUE!</v>
      </c>
      <c r="K1249" s="11"/>
      <c r="L1249" s="737" t="str">
        <f t="shared" si="385"/>
        <v>FOUND product plus housekeeping</v>
      </c>
      <c r="M1249" s="737" t="str">
        <f>MIN($Q$18,$Q$10*60)-IF(D1249=1,$Q$17/'Data DownlinkStorage Budget'!$M$3,0)</f>
        <v>#VALUE!</v>
      </c>
      <c r="N1249" s="182"/>
      <c r="O1249" s="737" t="str">
        <f t="shared" si="386"/>
        <v>#VALUE!</v>
      </c>
      <c r="P1249" s="11"/>
      <c r="Q1249" s="11"/>
      <c r="R1249" s="11"/>
      <c r="S1249" s="11"/>
      <c r="T1249" s="11"/>
      <c r="U1249" s="11"/>
      <c r="V1249" s="11"/>
      <c r="W1249" s="11"/>
      <c r="X1249" s="11"/>
      <c r="Y1249" s="11"/>
      <c r="Z1249" s="11"/>
      <c r="AA1249" s="11"/>
    </row>
    <row r="1250" ht="15.75" customHeight="1">
      <c r="A1250" s="737">
        <f t="shared" si="379"/>
        <v>0</v>
      </c>
      <c r="B1250" s="737">
        <f>A1250/'Orbit Info'!$G$10</f>
        <v>0</v>
      </c>
      <c r="C1250" s="737" t="str">
        <f t="shared" si="380"/>
        <v>Housekeeping and events only</v>
      </c>
      <c r="D1250" s="737">
        <f t="shared" si="381"/>
        <v>1</v>
      </c>
      <c r="E1250" s="737" t="str">
        <f t="shared" si="382"/>
        <v>#VALUE!</v>
      </c>
      <c r="F1250" s="737">
        <v>1.0</v>
      </c>
      <c r="G1250" s="737" t="str">
        <f t="shared" si="383"/>
        <v>#VALUE!</v>
      </c>
      <c r="H1250" s="737" t="str">
        <f>MIN($Q$11/('Orbit Info'!G$10),$Q$8*60)</f>
        <v>#VALUE!</v>
      </c>
      <c r="I1250" s="737" t="str">
        <f>IF(D1250=1,$Q$12/'Data DownlinkStorage Budget'!$M$3,0)</f>
        <v>#VALUE!</v>
      </c>
      <c r="J1250" s="737" t="str">
        <f t="shared" si="384"/>
        <v>#VALUE!</v>
      </c>
      <c r="K1250" s="11"/>
      <c r="L1250" s="737" t="str">
        <f t="shared" si="385"/>
        <v>FOUND product plus housekeeping</v>
      </c>
      <c r="M1250" s="737" t="str">
        <f>MIN($Q$18,$Q$10*60)-IF(D1250=1,$Q$17/'Data DownlinkStorage Budget'!$M$3,0)</f>
        <v>#VALUE!</v>
      </c>
      <c r="N1250" s="182"/>
      <c r="O1250" s="737" t="str">
        <f t="shared" si="386"/>
        <v>#VALUE!</v>
      </c>
      <c r="P1250" s="11"/>
      <c r="Q1250" s="11"/>
      <c r="R1250" s="11"/>
      <c r="S1250" s="11"/>
      <c r="T1250" s="11"/>
      <c r="U1250" s="11"/>
      <c r="V1250" s="11"/>
      <c r="W1250" s="11"/>
      <c r="X1250" s="11"/>
      <c r="Y1250" s="11"/>
      <c r="Z1250" s="11"/>
      <c r="AA1250" s="11"/>
    </row>
    <row r="1251" ht="15.75" customHeight="1">
      <c r="A1251" s="737">
        <f t="shared" si="379"/>
        <v>0</v>
      </c>
      <c r="B1251" s="737">
        <f>A1251/'Orbit Info'!$G$10</f>
        <v>0</v>
      </c>
      <c r="C1251" s="737" t="str">
        <f t="shared" si="380"/>
        <v>Housekeeping and events only</v>
      </c>
      <c r="D1251" s="737">
        <f t="shared" si="381"/>
        <v>1</v>
      </c>
      <c r="E1251" s="737" t="str">
        <f t="shared" si="382"/>
        <v>#VALUE!</v>
      </c>
      <c r="F1251" s="737">
        <v>1.0</v>
      </c>
      <c r="G1251" s="737" t="str">
        <f t="shared" si="383"/>
        <v>#VALUE!</v>
      </c>
      <c r="H1251" s="737" t="str">
        <f>MIN($Q$11/('Orbit Info'!G$10),$Q$8*60)</f>
        <v>#VALUE!</v>
      </c>
      <c r="I1251" s="737" t="str">
        <f>IF(D1251=1,$Q$12/'Data DownlinkStorage Budget'!$M$3,0)</f>
        <v>#VALUE!</v>
      </c>
      <c r="J1251" s="737" t="str">
        <f t="shared" si="384"/>
        <v>#VALUE!</v>
      </c>
      <c r="K1251" s="11"/>
      <c r="L1251" s="737" t="str">
        <f t="shared" si="385"/>
        <v>FOUND product plus housekeeping</v>
      </c>
      <c r="M1251" s="737" t="str">
        <f>MIN($Q$18,$Q$10*60)-IF(D1251=1,$Q$17/'Data DownlinkStorage Budget'!$M$3,0)</f>
        <v>#VALUE!</v>
      </c>
      <c r="N1251" s="182"/>
      <c r="O1251" s="737" t="str">
        <f t="shared" si="386"/>
        <v>#VALUE!</v>
      </c>
      <c r="P1251" s="11"/>
      <c r="Q1251" s="11"/>
      <c r="R1251" s="11"/>
      <c r="S1251" s="11"/>
      <c r="T1251" s="11"/>
      <c r="U1251" s="11"/>
      <c r="V1251" s="11"/>
      <c r="W1251" s="11"/>
      <c r="X1251" s="11"/>
      <c r="Y1251" s="11"/>
      <c r="Z1251" s="11"/>
      <c r="AA1251" s="11"/>
    </row>
    <row r="1252" ht="15.75" customHeight="1">
      <c r="A1252" s="737">
        <f t="shared" si="379"/>
        <v>0</v>
      </c>
      <c r="B1252" s="737">
        <f>A1252/'Orbit Info'!$G$10</f>
        <v>0</v>
      </c>
      <c r="C1252" s="737" t="str">
        <f t="shared" si="380"/>
        <v>Housekeeping and events only</v>
      </c>
      <c r="D1252" s="737">
        <f t="shared" si="381"/>
        <v>1</v>
      </c>
      <c r="E1252" s="737" t="str">
        <f t="shared" si="382"/>
        <v>#VALUE!</v>
      </c>
      <c r="F1252" s="737">
        <v>1.0</v>
      </c>
      <c r="G1252" s="737" t="str">
        <f t="shared" si="383"/>
        <v>#VALUE!</v>
      </c>
      <c r="H1252" s="737" t="str">
        <f>MIN($Q$11/('Orbit Info'!G$10),$Q$8*60)</f>
        <v>#VALUE!</v>
      </c>
      <c r="I1252" s="737" t="str">
        <f>IF(D1252=1,$Q$12/'Data DownlinkStorage Budget'!$M$3,0)</f>
        <v>#VALUE!</v>
      </c>
      <c r="J1252" s="737" t="str">
        <f t="shared" si="384"/>
        <v>#VALUE!</v>
      </c>
      <c r="K1252" s="11"/>
      <c r="L1252" s="737" t="str">
        <f t="shared" si="385"/>
        <v>FOUND product plus housekeeping</v>
      </c>
      <c r="M1252" s="737" t="str">
        <f>MIN($Q$18,$Q$10*60)-IF(D1252=1,$Q$17/'Data DownlinkStorage Budget'!$M$3,0)</f>
        <v>#VALUE!</v>
      </c>
      <c r="N1252" s="182"/>
      <c r="O1252" s="737" t="str">
        <f t="shared" si="386"/>
        <v>#VALUE!</v>
      </c>
      <c r="P1252" s="11"/>
      <c r="Q1252" s="11"/>
      <c r="R1252" s="11"/>
      <c r="S1252" s="11"/>
      <c r="T1252" s="11"/>
      <c r="U1252" s="11"/>
      <c r="V1252" s="11"/>
      <c r="W1252" s="11"/>
      <c r="X1252" s="11"/>
      <c r="Y1252" s="11"/>
      <c r="Z1252" s="11"/>
      <c r="AA1252" s="11"/>
    </row>
    <row r="1253" ht="15.75" customHeight="1">
      <c r="A1253" s="737">
        <f t="shared" si="379"/>
        <v>0</v>
      </c>
      <c r="B1253" s="737">
        <f>A1253/'Orbit Info'!$G$10</f>
        <v>0</v>
      </c>
      <c r="C1253" s="737" t="str">
        <f t="shared" si="380"/>
        <v>Housekeeping and events only</v>
      </c>
      <c r="D1253" s="737">
        <f t="shared" si="381"/>
        <v>1</v>
      </c>
      <c r="E1253" s="737" t="str">
        <f t="shared" si="382"/>
        <v>#VALUE!</v>
      </c>
      <c r="F1253" s="737">
        <v>1.0</v>
      </c>
      <c r="G1253" s="737" t="str">
        <f t="shared" si="383"/>
        <v>#VALUE!</v>
      </c>
      <c r="H1253" s="737" t="str">
        <f>MIN($Q$11/('Orbit Info'!G$10),$Q$8*60)</f>
        <v>#VALUE!</v>
      </c>
      <c r="I1253" s="737" t="str">
        <f>IF(D1253=1,$Q$12/'Data DownlinkStorage Budget'!$M$3,0)</f>
        <v>#VALUE!</v>
      </c>
      <c r="J1253" s="737" t="str">
        <f t="shared" si="384"/>
        <v>#VALUE!</v>
      </c>
      <c r="K1253" s="11"/>
      <c r="L1253" s="737" t="str">
        <f t="shared" si="385"/>
        <v>FOUND product plus housekeeping</v>
      </c>
      <c r="M1253" s="737" t="str">
        <f>MIN($Q$18,$Q$10*60)-IF(D1253=1,$Q$17/'Data DownlinkStorage Budget'!$M$3,0)</f>
        <v>#VALUE!</v>
      </c>
      <c r="N1253" s="182"/>
      <c r="O1253" s="737" t="str">
        <f t="shared" si="386"/>
        <v>#VALUE!</v>
      </c>
      <c r="P1253" s="11"/>
      <c r="Q1253" s="11"/>
      <c r="R1253" s="11"/>
      <c r="S1253" s="11"/>
      <c r="T1253" s="11"/>
      <c r="U1253" s="11"/>
      <c r="V1253" s="11"/>
      <c r="W1253" s="11"/>
      <c r="X1253" s="11"/>
      <c r="Y1253" s="11"/>
      <c r="Z1253" s="11"/>
      <c r="AA1253" s="11"/>
    </row>
    <row r="1254" ht="15.75" customHeight="1">
      <c r="A1254" s="737">
        <f t="shared" si="379"/>
        <v>0</v>
      </c>
      <c r="B1254" s="737">
        <f>A1254/'Orbit Info'!$G$10</f>
        <v>0</v>
      </c>
      <c r="C1254" s="737" t="str">
        <f t="shared" si="380"/>
        <v>Housekeeping and events only</v>
      </c>
      <c r="D1254" s="737">
        <f t="shared" si="381"/>
        <v>1</v>
      </c>
      <c r="E1254" s="737" t="str">
        <f t="shared" si="382"/>
        <v>#VALUE!</v>
      </c>
      <c r="F1254" s="737">
        <v>1.0</v>
      </c>
      <c r="G1254" s="737" t="str">
        <f t="shared" si="383"/>
        <v>#VALUE!</v>
      </c>
      <c r="H1254" s="737" t="str">
        <f>MIN($Q$11/('Orbit Info'!G$10),$Q$8*60)</f>
        <v>#VALUE!</v>
      </c>
      <c r="I1254" s="737" t="str">
        <f>IF(D1254=1,$Q$12/'Data DownlinkStorage Budget'!$M$3,0)</f>
        <v>#VALUE!</v>
      </c>
      <c r="J1254" s="737" t="str">
        <f t="shared" si="384"/>
        <v>#VALUE!</v>
      </c>
      <c r="K1254" s="11"/>
      <c r="L1254" s="737" t="str">
        <f t="shared" si="385"/>
        <v>FOUND product plus housekeeping</v>
      </c>
      <c r="M1254" s="737" t="str">
        <f>MIN($Q$18,$Q$10*60)-IF(D1254=1,$Q$17/'Data DownlinkStorage Budget'!$M$3,0)</f>
        <v>#VALUE!</v>
      </c>
      <c r="N1254" s="182"/>
      <c r="O1254" s="737" t="str">
        <f t="shared" si="386"/>
        <v>#VALUE!</v>
      </c>
      <c r="P1254" s="11"/>
      <c r="Q1254" s="11"/>
      <c r="R1254" s="11"/>
      <c r="S1254" s="11"/>
      <c r="T1254" s="11"/>
      <c r="U1254" s="11"/>
      <c r="V1254" s="11"/>
      <c r="W1254" s="11"/>
      <c r="X1254" s="11"/>
      <c r="Y1254" s="11"/>
      <c r="Z1254" s="11"/>
      <c r="AA1254" s="11"/>
    </row>
    <row r="1255" ht="15.75" customHeight="1">
      <c r="A1255" s="737">
        <f t="shared" si="379"/>
        <v>0</v>
      </c>
      <c r="B1255" s="737">
        <f>A1255/'Orbit Info'!$G$10</f>
        <v>0</v>
      </c>
      <c r="C1255" s="737" t="str">
        <f t="shared" si="380"/>
        <v>Housekeeping and events only</v>
      </c>
      <c r="D1255" s="737">
        <f t="shared" si="381"/>
        <v>1</v>
      </c>
      <c r="E1255" s="737" t="str">
        <f t="shared" si="382"/>
        <v>#VALUE!</v>
      </c>
      <c r="F1255" s="737">
        <v>1.0</v>
      </c>
      <c r="G1255" s="737" t="str">
        <f t="shared" si="383"/>
        <v>#VALUE!</v>
      </c>
      <c r="H1255" s="737" t="str">
        <f>MIN($Q$11/('Orbit Info'!G$10),$Q$8*60)</f>
        <v>#VALUE!</v>
      </c>
      <c r="I1255" s="737" t="str">
        <f>IF(D1255=1,$Q$12/'Data DownlinkStorage Budget'!$M$3,0)</f>
        <v>#VALUE!</v>
      </c>
      <c r="J1255" s="737" t="str">
        <f t="shared" si="384"/>
        <v>#VALUE!</v>
      </c>
      <c r="K1255" s="11"/>
      <c r="L1255" s="737" t="str">
        <f t="shared" si="385"/>
        <v>FOUND product plus housekeeping</v>
      </c>
      <c r="M1255" s="737" t="str">
        <f>MIN($Q$18,$Q$10*60)-IF(D1255=1,$Q$17/'Data DownlinkStorage Budget'!$M$3,0)</f>
        <v>#VALUE!</v>
      </c>
      <c r="N1255" s="182"/>
      <c r="O1255" s="737" t="str">
        <f t="shared" si="386"/>
        <v>#VALUE!</v>
      </c>
      <c r="P1255" s="11"/>
      <c r="Q1255" s="11"/>
      <c r="R1255" s="11"/>
      <c r="S1255" s="11"/>
      <c r="T1255" s="11"/>
      <c r="U1255" s="11"/>
      <c r="V1255" s="11"/>
      <c r="W1255" s="11"/>
      <c r="X1255" s="11"/>
      <c r="Y1255" s="11"/>
      <c r="Z1255" s="11"/>
      <c r="AA1255" s="11"/>
    </row>
    <row r="1256" ht="15.75" customHeight="1">
      <c r="A1256" s="737">
        <f t="shared" si="379"/>
        <v>0</v>
      </c>
      <c r="B1256" s="737">
        <f>A1256/'Orbit Info'!$G$10</f>
        <v>0</v>
      </c>
      <c r="C1256" s="737" t="str">
        <f t="shared" si="380"/>
        <v>Housekeeping and events only</v>
      </c>
      <c r="D1256" s="737">
        <f t="shared" si="381"/>
        <v>1</v>
      </c>
      <c r="E1256" s="737" t="str">
        <f t="shared" si="382"/>
        <v>#VALUE!</v>
      </c>
      <c r="F1256" s="737">
        <v>1.0</v>
      </c>
      <c r="G1256" s="737" t="str">
        <f t="shared" si="383"/>
        <v>#VALUE!</v>
      </c>
      <c r="H1256" s="737" t="str">
        <f>MIN($Q$11/('Orbit Info'!G$10),$Q$8*60)</f>
        <v>#VALUE!</v>
      </c>
      <c r="I1256" s="737" t="str">
        <f>IF(D1256=1,$Q$12/'Data DownlinkStorage Budget'!$M$3,0)</f>
        <v>#VALUE!</v>
      </c>
      <c r="J1256" s="737" t="str">
        <f t="shared" si="384"/>
        <v>#VALUE!</v>
      </c>
      <c r="K1256" s="11"/>
      <c r="L1256" s="737" t="str">
        <f t="shared" si="385"/>
        <v>FOUND product plus housekeeping</v>
      </c>
      <c r="M1256" s="737" t="str">
        <f>MIN($Q$18,$Q$10*60)-IF(D1256=1,$Q$17/'Data DownlinkStorage Budget'!$M$3,0)</f>
        <v>#VALUE!</v>
      </c>
      <c r="N1256" s="182"/>
      <c r="O1256" s="737" t="str">
        <f t="shared" si="386"/>
        <v>#VALUE!</v>
      </c>
      <c r="P1256" s="11"/>
      <c r="Q1256" s="11"/>
      <c r="R1256" s="11"/>
      <c r="S1256" s="11"/>
      <c r="T1256" s="11"/>
      <c r="U1256" s="11"/>
      <c r="V1256" s="11"/>
      <c r="W1256" s="11"/>
      <c r="X1256" s="11"/>
      <c r="Y1256" s="11"/>
      <c r="Z1256" s="11"/>
      <c r="AA1256" s="11"/>
    </row>
    <row r="1257" ht="15.75" customHeight="1">
      <c r="A1257" s="737">
        <f t="shared" si="379"/>
        <v>0</v>
      </c>
      <c r="B1257" s="737">
        <f>A1257/'Orbit Info'!$G$10</f>
        <v>0</v>
      </c>
      <c r="C1257" s="737" t="str">
        <f t="shared" si="380"/>
        <v>Housekeeping and events only</v>
      </c>
      <c r="D1257" s="737">
        <f t="shared" si="381"/>
        <v>1</v>
      </c>
      <c r="E1257" s="737" t="str">
        <f t="shared" si="382"/>
        <v>#VALUE!</v>
      </c>
      <c r="F1257" s="737">
        <v>1.0</v>
      </c>
      <c r="G1257" s="737" t="str">
        <f t="shared" si="383"/>
        <v>#VALUE!</v>
      </c>
      <c r="H1257" s="737" t="str">
        <f>MIN($Q$11/('Orbit Info'!G$10),$Q$8*60)</f>
        <v>#VALUE!</v>
      </c>
      <c r="I1257" s="737" t="str">
        <f>IF(D1257=1,$Q$12/'Data DownlinkStorage Budget'!$M$3,0)</f>
        <v>#VALUE!</v>
      </c>
      <c r="J1257" s="737" t="str">
        <f t="shared" si="384"/>
        <v>#VALUE!</v>
      </c>
      <c r="K1257" s="11"/>
      <c r="L1257" s="737" t="str">
        <f t="shared" si="385"/>
        <v>FOUND product plus housekeeping</v>
      </c>
      <c r="M1257" s="737" t="str">
        <f>MIN($Q$18,$Q$10*60)-IF(D1257=1,$Q$17/'Data DownlinkStorage Budget'!$M$3,0)</f>
        <v>#VALUE!</v>
      </c>
      <c r="N1257" s="182"/>
      <c r="O1257" s="737" t="str">
        <f t="shared" si="386"/>
        <v>#VALUE!</v>
      </c>
      <c r="P1257" s="11"/>
      <c r="Q1257" s="11"/>
      <c r="R1257" s="11"/>
      <c r="S1257" s="11"/>
      <c r="T1257" s="11"/>
      <c r="U1257" s="11"/>
      <c r="V1257" s="11"/>
      <c r="W1257" s="11"/>
      <c r="X1257" s="11"/>
      <c r="Y1257" s="11"/>
      <c r="Z1257" s="11"/>
      <c r="AA1257" s="11"/>
    </row>
    <row r="1258" ht="15.75" customHeight="1">
      <c r="A1258" s="737">
        <f t="shared" si="379"/>
        <v>0</v>
      </c>
      <c r="B1258" s="737">
        <f>A1258/'Orbit Info'!$G$10</f>
        <v>0</v>
      </c>
      <c r="C1258" s="737" t="str">
        <f t="shared" si="380"/>
        <v>Housekeeping and events only</v>
      </c>
      <c r="D1258" s="737">
        <f t="shared" si="381"/>
        <v>1</v>
      </c>
      <c r="E1258" s="737" t="str">
        <f t="shared" si="382"/>
        <v>#VALUE!</v>
      </c>
      <c r="F1258" s="737">
        <v>1.0</v>
      </c>
      <c r="G1258" s="737" t="str">
        <f t="shared" si="383"/>
        <v>#VALUE!</v>
      </c>
      <c r="H1258" s="737" t="str">
        <f>MIN($Q$11/('Orbit Info'!G$10),$Q$8*60)</f>
        <v>#VALUE!</v>
      </c>
      <c r="I1258" s="737" t="str">
        <f>IF(D1258=1,$Q$12/'Data DownlinkStorage Budget'!$M$3,0)</f>
        <v>#VALUE!</v>
      </c>
      <c r="J1258" s="737" t="str">
        <f t="shared" si="384"/>
        <v>#VALUE!</v>
      </c>
      <c r="K1258" s="11"/>
      <c r="L1258" s="737" t="str">
        <f t="shared" si="385"/>
        <v>FOUND product plus housekeeping</v>
      </c>
      <c r="M1258" s="737" t="str">
        <f>MIN($Q$18,$Q$10*60)-IF(D1258=1,$Q$17/'Data DownlinkStorage Budget'!$M$3,0)</f>
        <v>#VALUE!</v>
      </c>
      <c r="N1258" s="182"/>
      <c r="O1258" s="737" t="str">
        <f t="shared" si="386"/>
        <v>#VALUE!</v>
      </c>
      <c r="P1258" s="11"/>
      <c r="Q1258" s="11"/>
      <c r="R1258" s="11"/>
      <c r="S1258" s="11"/>
      <c r="T1258" s="11"/>
      <c r="U1258" s="11"/>
      <c r="V1258" s="11"/>
      <c r="W1258" s="11"/>
      <c r="X1258" s="11"/>
      <c r="Y1258" s="11"/>
      <c r="Z1258" s="11"/>
      <c r="AA1258" s="11"/>
    </row>
    <row r="1259" ht="15.75" customHeight="1">
      <c r="A1259" s="737">
        <f t="shared" si="379"/>
        <v>0</v>
      </c>
      <c r="B1259" s="737">
        <f>A1259/'Orbit Info'!$G$10</f>
        <v>0</v>
      </c>
      <c r="C1259" s="737" t="str">
        <f t="shared" si="380"/>
        <v>Housekeeping and events only</v>
      </c>
      <c r="D1259" s="737">
        <f t="shared" si="381"/>
        <v>1</v>
      </c>
      <c r="E1259" s="737" t="str">
        <f t="shared" si="382"/>
        <v>#VALUE!</v>
      </c>
      <c r="F1259" s="737">
        <v>1.0</v>
      </c>
      <c r="G1259" s="737" t="str">
        <f t="shared" si="383"/>
        <v>#VALUE!</v>
      </c>
      <c r="H1259" s="737" t="str">
        <f>MIN($Q$11/('Orbit Info'!G$10),$Q$8*60)</f>
        <v>#VALUE!</v>
      </c>
      <c r="I1259" s="737" t="str">
        <f>IF(D1259=1,$Q$12/'Data DownlinkStorage Budget'!$M$3,0)</f>
        <v>#VALUE!</v>
      </c>
      <c r="J1259" s="737" t="str">
        <f t="shared" si="384"/>
        <v>#VALUE!</v>
      </c>
      <c r="K1259" s="11"/>
      <c r="L1259" s="737" t="str">
        <f t="shared" si="385"/>
        <v>FOUND product plus housekeeping</v>
      </c>
      <c r="M1259" s="737" t="str">
        <f>MIN($Q$18,$Q$10*60)-IF(D1259=1,$Q$17/'Data DownlinkStorage Budget'!$M$3,0)</f>
        <v>#VALUE!</v>
      </c>
      <c r="N1259" s="182"/>
      <c r="O1259" s="737" t="str">
        <f t="shared" si="386"/>
        <v>#VALUE!</v>
      </c>
      <c r="P1259" s="11"/>
      <c r="Q1259" s="11"/>
      <c r="R1259" s="11"/>
      <c r="S1259" s="11"/>
      <c r="T1259" s="11"/>
      <c r="U1259" s="11"/>
      <c r="V1259" s="11"/>
      <c r="W1259" s="11"/>
      <c r="X1259" s="11"/>
      <c r="Y1259" s="11"/>
      <c r="Z1259" s="11"/>
      <c r="AA1259" s="11"/>
    </row>
    <row r="1260" ht="15.75" customHeight="1">
      <c r="A1260" s="737">
        <f t="shared" si="379"/>
        <v>0</v>
      </c>
      <c r="B1260" s="737">
        <f>A1260/'Orbit Info'!$G$10</f>
        <v>0</v>
      </c>
      <c r="C1260" s="737" t="str">
        <f t="shared" si="380"/>
        <v>Housekeeping and events only</v>
      </c>
      <c r="D1260" s="737">
        <f t="shared" si="381"/>
        <v>1</v>
      </c>
      <c r="E1260" s="737" t="str">
        <f t="shared" si="382"/>
        <v>#VALUE!</v>
      </c>
      <c r="F1260" s="737">
        <v>1.0</v>
      </c>
      <c r="G1260" s="737" t="str">
        <f t="shared" si="383"/>
        <v>#VALUE!</v>
      </c>
      <c r="H1260" s="737" t="str">
        <f>MIN($Q$11/('Orbit Info'!G$10),$Q$8*60)</f>
        <v>#VALUE!</v>
      </c>
      <c r="I1260" s="737" t="str">
        <f>IF(D1260=1,$Q$12/'Data DownlinkStorage Budget'!$M$3,0)</f>
        <v>#VALUE!</v>
      </c>
      <c r="J1260" s="737" t="str">
        <f t="shared" si="384"/>
        <v>#VALUE!</v>
      </c>
      <c r="K1260" s="11"/>
      <c r="L1260" s="737" t="str">
        <f t="shared" si="385"/>
        <v>FOUND product plus housekeeping</v>
      </c>
      <c r="M1260" s="737" t="str">
        <f>MIN($Q$18,$Q$10*60)-IF(D1260=1,$Q$17/'Data DownlinkStorage Budget'!$M$3,0)</f>
        <v>#VALUE!</v>
      </c>
      <c r="N1260" s="182"/>
      <c r="O1260" s="737" t="str">
        <f t="shared" si="386"/>
        <v>#VALUE!</v>
      </c>
      <c r="P1260" s="11"/>
      <c r="Q1260" s="11"/>
      <c r="R1260" s="11"/>
      <c r="S1260" s="11"/>
      <c r="T1260" s="11"/>
      <c r="U1260" s="11"/>
      <c r="V1260" s="11"/>
      <c r="W1260" s="11"/>
      <c r="X1260" s="11"/>
      <c r="Y1260" s="11"/>
      <c r="Z1260" s="11"/>
      <c r="AA1260" s="11"/>
    </row>
    <row r="1261" ht="15.75" customHeight="1">
      <c r="A1261" s="737">
        <f t="shared" si="379"/>
        <v>0</v>
      </c>
      <c r="B1261" s="737">
        <f>A1261/'Orbit Info'!$G$10</f>
        <v>0</v>
      </c>
      <c r="C1261" s="737" t="str">
        <f t="shared" si="380"/>
        <v>Housekeeping and events only</v>
      </c>
      <c r="D1261" s="737">
        <f t="shared" si="381"/>
        <v>1</v>
      </c>
      <c r="E1261" s="737" t="str">
        <f t="shared" si="382"/>
        <v>#VALUE!</v>
      </c>
      <c r="F1261" s="737">
        <v>1.0</v>
      </c>
      <c r="G1261" s="737" t="str">
        <f t="shared" si="383"/>
        <v>#VALUE!</v>
      </c>
      <c r="H1261" s="737" t="str">
        <f>MIN($Q$11/('Orbit Info'!G$10),$Q$8*60)</f>
        <v>#VALUE!</v>
      </c>
      <c r="I1261" s="737" t="str">
        <f>IF(D1261=1,$Q$12/'Data DownlinkStorage Budget'!$M$3,0)</f>
        <v>#VALUE!</v>
      </c>
      <c r="J1261" s="737" t="str">
        <f t="shared" si="384"/>
        <v>#VALUE!</v>
      </c>
      <c r="K1261" s="11"/>
      <c r="L1261" s="737" t="str">
        <f t="shared" si="385"/>
        <v>FOUND product plus housekeeping</v>
      </c>
      <c r="M1261" s="737" t="str">
        <f>MIN($Q$18,$Q$10*60)-IF(D1261=1,$Q$17/'Data DownlinkStorage Budget'!$M$3,0)</f>
        <v>#VALUE!</v>
      </c>
      <c r="N1261" s="182"/>
      <c r="O1261" s="737" t="str">
        <f t="shared" si="386"/>
        <v>#VALUE!</v>
      </c>
      <c r="P1261" s="11"/>
      <c r="Q1261" s="11"/>
      <c r="R1261" s="11"/>
      <c r="S1261" s="11"/>
      <c r="T1261" s="11"/>
      <c r="U1261" s="11"/>
      <c r="V1261" s="11"/>
      <c r="W1261" s="11"/>
      <c r="X1261" s="11"/>
      <c r="Y1261" s="11"/>
      <c r="Z1261" s="11"/>
      <c r="AA1261" s="11"/>
    </row>
    <row r="1262" ht="15.75" customHeight="1">
      <c r="A1262" s="737">
        <f t="shared" si="379"/>
        <v>0</v>
      </c>
      <c r="B1262" s="737">
        <f>A1262/'Orbit Info'!$G$10</f>
        <v>0</v>
      </c>
      <c r="C1262" s="737" t="str">
        <f t="shared" si="380"/>
        <v>Housekeeping and events only</v>
      </c>
      <c r="D1262" s="737">
        <f t="shared" si="381"/>
        <v>1</v>
      </c>
      <c r="E1262" s="737" t="str">
        <f t="shared" si="382"/>
        <v>#VALUE!</v>
      </c>
      <c r="F1262" s="737">
        <v>1.0</v>
      </c>
      <c r="G1262" s="737" t="str">
        <f t="shared" si="383"/>
        <v>#VALUE!</v>
      </c>
      <c r="H1262" s="737" t="str">
        <f>MIN($Q$11/('Orbit Info'!G$10),$Q$8*60)</f>
        <v>#VALUE!</v>
      </c>
      <c r="I1262" s="737" t="str">
        <f>IF(D1262=1,$Q$12/'Data DownlinkStorage Budget'!$M$3,0)</f>
        <v>#VALUE!</v>
      </c>
      <c r="J1262" s="737" t="str">
        <f t="shared" si="384"/>
        <v>#VALUE!</v>
      </c>
      <c r="K1262" s="11"/>
      <c r="L1262" s="737" t="str">
        <f t="shared" si="385"/>
        <v>FOUND product plus housekeeping</v>
      </c>
      <c r="M1262" s="737" t="str">
        <f>MIN($Q$18,$Q$10*60)-IF(D1262=1,$Q$17/'Data DownlinkStorage Budget'!$M$3,0)</f>
        <v>#VALUE!</v>
      </c>
      <c r="N1262" s="182"/>
      <c r="O1262" s="737" t="str">
        <f t="shared" si="386"/>
        <v>#VALUE!</v>
      </c>
      <c r="P1262" s="11"/>
      <c r="Q1262" s="11"/>
      <c r="R1262" s="11"/>
      <c r="S1262" s="11"/>
      <c r="T1262" s="11"/>
      <c r="U1262" s="11"/>
      <c r="V1262" s="11"/>
      <c r="W1262" s="11"/>
      <c r="X1262" s="11"/>
      <c r="Y1262" s="11"/>
      <c r="Z1262" s="11"/>
      <c r="AA1262" s="11"/>
    </row>
    <row r="1263" ht="15.75" customHeight="1">
      <c r="A1263" s="737">
        <f t="shared" si="379"/>
        <v>0</v>
      </c>
      <c r="B1263" s="737">
        <f>A1263/'Orbit Info'!$G$10</f>
        <v>0</v>
      </c>
      <c r="C1263" s="737" t="str">
        <f t="shared" si="380"/>
        <v>Housekeeping and events only</v>
      </c>
      <c r="D1263" s="737">
        <f t="shared" si="381"/>
        <v>1</v>
      </c>
      <c r="E1263" s="737" t="str">
        <f t="shared" si="382"/>
        <v>#VALUE!</v>
      </c>
      <c r="F1263" s="737">
        <v>1.0</v>
      </c>
      <c r="G1263" s="737" t="str">
        <f t="shared" si="383"/>
        <v>#VALUE!</v>
      </c>
      <c r="H1263" s="737" t="str">
        <f>MIN($Q$11/('Orbit Info'!G$10),$Q$8*60)</f>
        <v>#VALUE!</v>
      </c>
      <c r="I1263" s="737" t="str">
        <f>IF(D1263=1,$Q$12/'Data DownlinkStorage Budget'!$M$3,0)</f>
        <v>#VALUE!</v>
      </c>
      <c r="J1263" s="737" t="str">
        <f t="shared" si="384"/>
        <v>#VALUE!</v>
      </c>
      <c r="K1263" s="11"/>
      <c r="L1263" s="737" t="str">
        <f t="shared" si="385"/>
        <v>FOUND product plus housekeeping</v>
      </c>
      <c r="M1263" s="737" t="str">
        <f>MIN($Q$18,$Q$10*60)-IF(D1263=1,$Q$17/'Data DownlinkStorage Budget'!$M$3,0)</f>
        <v>#VALUE!</v>
      </c>
      <c r="N1263" s="182"/>
      <c r="O1263" s="737" t="str">
        <f t="shared" si="386"/>
        <v>#VALUE!</v>
      </c>
      <c r="P1263" s="11"/>
      <c r="Q1263" s="11"/>
      <c r="R1263" s="11"/>
      <c r="S1263" s="11"/>
      <c r="T1263" s="11"/>
      <c r="U1263" s="11"/>
      <c r="V1263" s="11"/>
      <c r="W1263" s="11"/>
      <c r="X1263" s="11"/>
      <c r="Y1263" s="11"/>
      <c r="Z1263" s="11"/>
      <c r="AA1263" s="11"/>
    </row>
    <row r="1264" ht="15.75" customHeight="1">
      <c r="A1264" s="737">
        <f t="shared" si="379"/>
        <v>0</v>
      </c>
      <c r="B1264" s="737">
        <f>A1264/'Orbit Info'!$G$10</f>
        <v>0</v>
      </c>
      <c r="C1264" s="737" t="str">
        <f t="shared" si="380"/>
        <v>Housekeeping and events only</v>
      </c>
      <c r="D1264" s="737">
        <f t="shared" si="381"/>
        <v>1</v>
      </c>
      <c r="E1264" s="737" t="str">
        <f t="shared" si="382"/>
        <v>#VALUE!</v>
      </c>
      <c r="F1264" s="737">
        <v>1.0</v>
      </c>
      <c r="G1264" s="737" t="str">
        <f t="shared" si="383"/>
        <v>#VALUE!</v>
      </c>
      <c r="H1264" s="737" t="str">
        <f>MIN($Q$11/('Orbit Info'!G$10),$Q$8*60)</f>
        <v>#VALUE!</v>
      </c>
      <c r="I1264" s="737" t="str">
        <f>IF(D1264=1,$Q$12/'Data DownlinkStorage Budget'!$M$3,0)</f>
        <v>#VALUE!</v>
      </c>
      <c r="J1264" s="737" t="str">
        <f t="shared" si="384"/>
        <v>#VALUE!</v>
      </c>
      <c r="K1264" s="11"/>
      <c r="L1264" s="737" t="str">
        <f t="shared" si="385"/>
        <v>FOUND product plus housekeeping</v>
      </c>
      <c r="M1264" s="737" t="str">
        <f>MIN($Q$18,$Q$10*60)-IF(D1264=1,$Q$17/'Data DownlinkStorage Budget'!$M$3,0)</f>
        <v>#VALUE!</v>
      </c>
      <c r="N1264" s="182"/>
      <c r="O1264" s="737" t="str">
        <f t="shared" si="386"/>
        <v>#VALUE!</v>
      </c>
      <c r="P1264" s="11"/>
      <c r="Q1264" s="11"/>
      <c r="R1264" s="11"/>
      <c r="S1264" s="11"/>
      <c r="T1264" s="11"/>
      <c r="U1264" s="11"/>
      <c r="V1264" s="11"/>
      <c r="W1264" s="11"/>
      <c r="X1264" s="11"/>
      <c r="Y1264" s="11"/>
      <c r="Z1264" s="11"/>
      <c r="AA1264" s="11"/>
    </row>
    <row r="1265" ht="15.75" customHeight="1">
      <c r="A1265" s="737">
        <f t="shared" si="379"/>
        <v>0</v>
      </c>
      <c r="B1265" s="737">
        <f>A1265/'Orbit Info'!$G$10</f>
        <v>0</v>
      </c>
      <c r="C1265" s="737" t="str">
        <f t="shared" si="380"/>
        <v>Housekeeping and events only</v>
      </c>
      <c r="D1265" s="737">
        <f t="shared" si="381"/>
        <v>1</v>
      </c>
      <c r="E1265" s="737" t="str">
        <f t="shared" si="382"/>
        <v>#VALUE!</v>
      </c>
      <c r="F1265" s="737">
        <v>1.0</v>
      </c>
      <c r="G1265" s="737" t="str">
        <f t="shared" si="383"/>
        <v>#VALUE!</v>
      </c>
      <c r="H1265" s="737" t="str">
        <f>MIN($Q$11/('Orbit Info'!G$10),$Q$8*60)</f>
        <v>#VALUE!</v>
      </c>
      <c r="I1265" s="737" t="str">
        <f>IF(D1265=1,$Q$12/'Data DownlinkStorage Budget'!$M$3,0)</f>
        <v>#VALUE!</v>
      </c>
      <c r="J1265" s="737" t="str">
        <f t="shared" si="384"/>
        <v>#VALUE!</v>
      </c>
      <c r="K1265" s="11"/>
      <c r="L1265" s="737" t="str">
        <f t="shared" si="385"/>
        <v>FOUND product plus housekeeping</v>
      </c>
      <c r="M1265" s="737" t="str">
        <f>MIN($Q$18,$Q$10*60)-IF(D1265=1,$Q$17/'Data DownlinkStorage Budget'!$M$3,0)</f>
        <v>#VALUE!</v>
      </c>
      <c r="N1265" s="182"/>
      <c r="O1265" s="737" t="str">
        <f t="shared" si="386"/>
        <v>#VALUE!</v>
      </c>
      <c r="P1265" s="11"/>
      <c r="Q1265" s="11"/>
      <c r="R1265" s="11"/>
      <c r="S1265" s="11"/>
      <c r="T1265" s="11"/>
      <c r="U1265" s="11"/>
      <c r="V1265" s="11"/>
      <c r="W1265" s="11"/>
      <c r="X1265" s="11"/>
      <c r="Y1265" s="11"/>
      <c r="Z1265" s="11"/>
      <c r="AA1265" s="11"/>
    </row>
    <row r="1266" ht="15.75" customHeight="1">
      <c r="A1266" s="737">
        <f t="shared" si="379"/>
        <v>0</v>
      </c>
      <c r="B1266" s="737">
        <f>A1266/'Orbit Info'!$G$10</f>
        <v>0</v>
      </c>
      <c r="C1266" s="737" t="str">
        <f t="shared" si="380"/>
        <v>Housekeeping and events only</v>
      </c>
      <c r="D1266" s="737">
        <f t="shared" si="381"/>
        <v>1</v>
      </c>
      <c r="E1266" s="737" t="str">
        <f t="shared" si="382"/>
        <v>#VALUE!</v>
      </c>
      <c r="F1266" s="737">
        <v>1.0</v>
      </c>
      <c r="G1266" s="737" t="str">
        <f t="shared" si="383"/>
        <v>#VALUE!</v>
      </c>
      <c r="H1266" s="737" t="str">
        <f>MIN($Q$11/('Orbit Info'!G$10),$Q$8*60)</f>
        <v>#VALUE!</v>
      </c>
      <c r="I1266" s="737" t="str">
        <f>IF(D1266=1,$Q$12/'Data DownlinkStorage Budget'!$M$3,0)</f>
        <v>#VALUE!</v>
      </c>
      <c r="J1266" s="737" t="str">
        <f t="shared" si="384"/>
        <v>#VALUE!</v>
      </c>
      <c r="K1266" s="11"/>
      <c r="L1266" s="737" t="str">
        <f t="shared" si="385"/>
        <v>FOUND product plus housekeeping</v>
      </c>
      <c r="M1266" s="737" t="str">
        <f>MIN($Q$18,$Q$10*60)-IF(D1266=1,$Q$17/'Data DownlinkStorage Budget'!$M$3,0)</f>
        <v>#VALUE!</v>
      </c>
      <c r="N1266" s="182"/>
      <c r="O1266" s="737" t="str">
        <f t="shared" si="386"/>
        <v>#VALUE!</v>
      </c>
      <c r="P1266" s="11"/>
      <c r="Q1266" s="11"/>
      <c r="R1266" s="11"/>
      <c r="S1266" s="11"/>
      <c r="T1266" s="11"/>
      <c r="U1266" s="11"/>
      <c r="V1266" s="11"/>
      <c r="W1266" s="11"/>
      <c r="X1266" s="11"/>
      <c r="Y1266" s="11"/>
      <c r="Z1266" s="11"/>
      <c r="AA1266" s="11"/>
    </row>
    <row r="1267" ht="15.75" customHeight="1">
      <c r="A1267" s="737">
        <f t="shared" si="379"/>
        <v>0</v>
      </c>
      <c r="B1267" s="737">
        <f>A1267/'Orbit Info'!$G$10</f>
        <v>0</v>
      </c>
      <c r="C1267" s="737" t="str">
        <f t="shared" si="380"/>
        <v>Housekeeping and events only</v>
      </c>
      <c r="D1267" s="737">
        <f t="shared" si="381"/>
        <v>1</v>
      </c>
      <c r="E1267" s="737" t="str">
        <f t="shared" si="382"/>
        <v>#VALUE!</v>
      </c>
      <c r="F1267" s="737">
        <v>1.0</v>
      </c>
      <c r="G1267" s="737" t="str">
        <f t="shared" si="383"/>
        <v>#VALUE!</v>
      </c>
      <c r="H1267" s="737" t="str">
        <f>MIN($Q$11/('Orbit Info'!G$10),$Q$8*60)</f>
        <v>#VALUE!</v>
      </c>
      <c r="I1267" s="737" t="str">
        <f>IF(D1267=1,$Q$12/'Data DownlinkStorage Budget'!$M$3,0)</f>
        <v>#VALUE!</v>
      </c>
      <c r="J1267" s="737" t="str">
        <f t="shared" si="384"/>
        <v>#VALUE!</v>
      </c>
      <c r="K1267" s="11"/>
      <c r="L1267" s="737" t="str">
        <f t="shared" si="385"/>
        <v>FOUND product plus housekeeping</v>
      </c>
      <c r="M1267" s="737" t="str">
        <f>MIN($Q$18,$Q$10*60)-IF(D1267=1,$Q$17/'Data DownlinkStorage Budget'!$M$3,0)</f>
        <v>#VALUE!</v>
      </c>
      <c r="N1267" s="182"/>
      <c r="O1267" s="737" t="str">
        <f t="shared" si="386"/>
        <v>#VALUE!</v>
      </c>
      <c r="P1267" s="11"/>
      <c r="Q1267" s="11"/>
      <c r="R1267" s="11"/>
      <c r="S1267" s="11"/>
      <c r="T1267" s="11"/>
      <c r="U1267" s="11"/>
      <c r="V1267" s="11"/>
      <c r="W1267" s="11"/>
      <c r="X1267" s="11"/>
      <c r="Y1267" s="11"/>
      <c r="Z1267" s="11"/>
      <c r="AA1267" s="11"/>
    </row>
    <row r="1268" ht="15.75" customHeight="1">
      <c r="A1268" s="737">
        <f t="shared" si="379"/>
        <v>0</v>
      </c>
      <c r="B1268" s="737">
        <f>A1268/'Orbit Info'!$G$10</f>
        <v>0</v>
      </c>
      <c r="C1268" s="737" t="str">
        <f t="shared" si="380"/>
        <v>Housekeeping and events only</v>
      </c>
      <c r="D1268" s="737">
        <f t="shared" si="381"/>
        <v>1</v>
      </c>
      <c r="E1268" s="737" t="str">
        <f t="shared" si="382"/>
        <v>#VALUE!</v>
      </c>
      <c r="F1268" s="737">
        <v>1.0</v>
      </c>
      <c r="G1268" s="737" t="str">
        <f t="shared" si="383"/>
        <v>#VALUE!</v>
      </c>
      <c r="H1268" s="737" t="str">
        <f>MIN($Q$11/('Orbit Info'!G$10),$Q$8*60)</f>
        <v>#VALUE!</v>
      </c>
      <c r="I1268" s="737" t="str">
        <f>IF(D1268=1,$Q$12/'Data DownlinkStorage Budget'!$M$3,0)</f>
        <v>#VALUE!</v>
      </c>
      <c r="J1268" s="737" t="str">
        <f t="shared" si="384"/>
        <v>#VALUE!</v>
      </c>
      <c r="K1268" s="11"/>
      <c r="L1268" s="737" t="str">
        <f t="shared" si="385"/>
        <v>FOUND product plus housekeeping</v>
      </c>
      <c r="M1268" s="737" t="str">
        <f>MIN($Q$18,$Q$10*60)-IF(D1268=1,$Q$17/'Data DownlinkStorage Budget'!$M$3,0)</f>
        <v>#VALUE!</v>
      </c>
      <c r="N1268" s="182"/>
      <c r="O1268" s="737" t="str">
        <f t="shared" si="386"/>
        <v>#VALUE!</v>
      </c>
      <c r="P1268" s="11"/>
      <c r="Q1268" s="11"/>
      <c r="R1268" s="11"/>
      <c r="S1268" s="11"/>
      <c r="T1268" s="11"/>
      <c r="U1268" s="11"/>
      <c r="V1268" s="11"/>
      <c r="W1268" s="11"/>
      <c r="X1268" s="11"/>
      <c r="Y1268" s="11"/>
      <c r="Z1268" s="11"/>
      <c r="AA1268" s="11"/>
    </row>
    <row r="1269" ht="15.75" customHeight="1">
      <c r="A1269" s="737">
        <f t="shared" si="379"/>
        <v>0</v>
      </c>
      <c r="B1269" s="737">
        <f>A1269/'Orbit Info'!$G$10</f>
        <v>0</v>
      </c>
      <c r="C1269" s="737" t="str">
        <f t="shared" si="380"/>
        <v>Housekeeping and events only</v>
      </c>
      <c r="D1269" s="737">
        <f t="shared" si="381"/>
        <v>1</v>
      </c>
      <c r="E1269" s="737" t="str">
        <f t="shared" si="382"/>
        <v>#VALUE!</v>
      </c>
      <c r="F1269" s="737">
        <v>1.0</v>
      </c>
      <c r="G1269" s="737" t="str">
        <f t="shared" si="383"/>
        <v>#VALUE!</v>
      </c>
      <c r="H1269" s="737" t="str">
        <f>MIN($Q$11/('Orbit Info'!G$10),$Q$8*60)</f>
        <v>#VALUE!</v>
      </c>
      <c r="I1269" s="737" t="str">
        <f>IF(D1269=1,$Q$12/'Data DownlinkStorage Budget'!$M$3,0)</f>
        <v>#VALUE!</v>
      </c>
      <c r="J1269" s="737" t="str">
        <f t="shared" si="384"/>
        <v>#VALUE!</v>
      </c>
      <c r="K1269" s="11"/>
      <c r="L1269" s="737" t="str">
        <f t="shared" si="385"/>
        <v>FOUND product plus housekeeping</v>
      </c>
      <c r="M1269" s="737" t="str">
        <f>MIN($Q$18,$Q$10*60)-IF(D1269=1,$Q$17/'Data DownlinkStorage Budget'!$M$3,0)</f>
        <v>#VALUE!</v>
      </c>
      <c r="N1269" s="182"/>
      <c r="O1269" s="737" t="str">
        <f t="shared" si="386"/>
        <v>#VALUE!</v>
      </c>
      <c r="P1269" s="11"/>
      <c r="Q1269" s="11"/>
      <c r="R1269" s="11"/>
      <c r="S1269" s="11"/>
      <c r="T1269" s="11"/>
      <c r="U1269" s="11"/>
      <c r="V1269" s="11"/>
      <c r="W1269" s="11"/>
      <c r="X1269" s="11"/>
      <c r="Y1269" s="11"/>
      <c r="Z1269" s="11"/>
      <c r="AA1269" s="11"/>
    </row>
    <row r="1270" ht="15.75" customHeight="1">
      <c r="A1270" s="737">
        <f t="shared" si="379"/>
        <v>0</v>
      </c>
      <c r="B1270" s="737">
        <f>A1270/'Orbit Info'!$G$10</f>
        <v>0</v>
      </c>
      <c r="C1270" s="737" t="str">
        <f t="shared" si="380"/>
        <v>Housekeeping and events only</v>
      </c>
      <c r="D1270" s="737">
        <f t="shared" si="381"/>
        <v>1</v>
      </c>
      <c r="E1270" s="737" t="str">
        <f t="shared" si="382"/>
        <v>#VALUE!</v>
      </c>
      <c r="F1270" s="737">
        <v>1.0</v>
      </c>
      <c r="G1270" s="737" t="str">
        <f t="shared" si="383"/>
        <v>#VALUE!</v>
      </c>
      <c r="H1270" s="737" t="str">
        <f>MIN($Q$11/('Orbit Info'!G$10),$Q$8*60)</f>
        <v>#VALUE!</v>
      </c>
      <c r="I1270" s="737" t="str">
        <f>IF(D1270=1,$Q$12/'Data DownlinkStorage Budget'!$M$3,0)</f>
        <v>#VALUE!</v>
      </c>
      <c r="J1270" s="737" t="str">
        <f t="shared" si="384"/>
        <v>#VALUE!</v>
      </c>
      <c r="K1270" s="11"/>
      <c r="L1270" s="737" t="str">
        <f t="shared" si="385"/>
        <v>FOUND product plus housekeeping</v>
      </c>
      <c r="M1270" s="737" t="str">
        <f>MIN($Q$18,$Q$10*60)-IF(D1270=1,$Q$17/'Data DownlinkStorage Budget'!$M$3,0)</f>
        <v>#VALUE!</v>
      </c>
      <c r="N1270" s="182"/>
      <c r="O1270" s="737" t="str">
        <f t="shared" si="386"/>
        <v>#VALUE!</v>
      </c>
      <c r="P1270" s="11"/>
      <c r="Q1270" s="11"/>
      <c r="R1270" s="11"/>
      <c r="S1270" s="11"/>
      <c r="T1270" s="11"/>
      <c r="U1270" s="11"/>
      <c r="V1270" s="11"/>
      <c r="W1270" s="11"/>
      <c r="X1270" s="11"/>
      <c r="Y1270" s="11"/>
      <c r="Z1270" s="11"/>
      <c r="AA1270" s="11"/>
    </row>
    <row r="1271" ht="15.75" customHeight="1">
      <c r="A1271" s="737">
        <f t="shared" si="379"/>
        <v>0</v>
      </c>
      <c r="B1271" s="737">
        <f>A1271/'Orbit Info'!$G$10</f>
        <v>0</v>
      </c>
      <c r="C1271" s="737" t="str">
        <f t="shared" si="380"/>
        <v>Housekeeping and events only</v>
      </c>
      <c r="D1271" s="737">
        <f t="shared" si="381"/>
        <v>1</v>
      </c>
      <c r="E1271" s="737" t="str">
        <f t="shared" si="382"/>
        <v>#VALUE!</v>
      </c>
      <c r="F1271" s="737">
        <v>1.0</v>
      </c>
      <c r="G1271" s="737" t="str">
        <f t="shared" si="383"/>
        <v>#VALUE!</v>
      </c>
      <c r="H1271" s="737" t="str">
        <f>MIN($Q$11/('Orbit Info'!G$10),$Q$8*60)</f>
        <v>#VALUE!</v>
      </c>
      <c r="I1271" s="737" t="str">
        <f>IF(D1271=1,$Q$12/'Data DownlinkStorage Budget'!$M$3,0)</f>
        <v>#VALUE!</v>
      </c>
      <c r="J1271" s="737" t="str">
        <f t="shared" si="384"/>
        <v>#VALUE!</v>
      </c>
      <c r="K1271" s="11"/>
      <c r="L1271" s="737" t="str">
        <f t="shared" si="385"/>
        <v>FOUND product plus housekeeping</v>
      </c>
      <c r="M1271" s="737" t="str">
        <f>MIN($Q$18,$Q$10*60)-IF(D1271=1,$Q$17/'Data DownlinkStorage Budget'!$M$3,0)</f>
        <v>#VALUE!</v>
      </c>
      <c r="N1271" s="182"/>
      <c r="O1271" s="737" t="str">
        <f t="shared" si="386"/>
        <v>#VALUE!</v>
      </c>
      <c r="P1271" s="11"/>
      <c r="Q1271" s="11"/>
      <c r="R1271" s="11"/>
      <c r="S1271" s="11"/>
      <c r="T1271" s="11"/>
      <c r="U1271" s="11"/>
      <c r="V1271" s="11"/>
      <c r="W1271" s="11"/>
      <c r="X1271" s="11"/>
      <c r="Y1271" s="11"/>
      <c r="Z1271" s="11"/>
      <c r="AA1271" s="11"/>
    </row>
    <row r="1272" ht="15.75" customHeight="1">
      <c r="A1272" s="737">
        <f t="shared" si="379"/>
        <v>0</v>
      </c>
      <c r="B1272" s="737">
        <f>A1272/'Orbit Info'!$G$10</f>
        <v>0</v>
      </c>
      <c r="C1272" s="737" t="str">
        <f t="shared" si="380"/>
        <v>Housekeeping and events only</v>
      </c>
      <c r="D1272" s="737">
        <f t="shared" si="381"/>
        <v>1</v>
      </c>
      <c r="E1272" s="737" t="str">
        <f t="shared" si="382"/>
        <v>#VALUE!</v>
      </c>
      <c r="F1272" s="737">
        <v>1.0</v>
      </c>
      <c r="G1272" s="737" t="str">
        <f t="shared" si="383"/>
        <v>#VALUE!</v>
      </c>
      <c r="H1272" s="737" t="str">
        <f>MIN($Q$11/('Orbit Info'!G$10),$Q$8*60)</f>
        <v>#VALUE!</v>
      </c>
      <c r="I1272" s="737" t="str">
        <f>IF(D1272=1,$Q$12/'Data DownlinkStorage Budget'!$M$3,0)</f>
        <v>#VALUE!</v>
      </c>
      <c r="J1272" s="737" t="str">
        <f t="shared" si="384"/>
        <v>#VALUE!</v>
      </c>
      <c r="K1272" s="11"/>
      <c r="L1272" s="737" t="str">
        <f t="shared" si="385"/>
        <v>FOUND product plus housekeeping</v>
      </c>
      <c r="M1272" s="737" t="str">
        <f>MIN($Q$18,$Q$10*60)-IF(D1272=1,$Q$17/'Data DownlinkStorage Budget'!$M$3,0)</f>
        <v>#VALUE!</v>
      </c>
      <c r="N1272" s="182"/>
      <c r="O1272" s="737" t="str">
        <f t="shared" si="386"/>
        <v>#VALUE!</v>
      </c>
      <c r="P1272" s="11"/>
      <c r="Q1272" s="11"/>
      <c r="R1272" s="11"/>
      <c r="S1272" s="11"/>
      <c r="T1272" s="11"/>
      <c r="U1272" s="11"/>
      <c r="V1272" s="11"/>
      <c r="W1272" s="11"/>
      <c r="X1272" s="11"/>
      <c r="Y1272" s="11"/>
      <c r="Z1272" s="11"/>
      <c r="AA1272" s="11"/>
    </row>
    <row r="1273" ht="15.75" customHeight="1">
      <c r="A1273" s="737">
        <f t="shared" si="379"/>
        <v>0</v>
      </c>
      <c r="B1273" s="737">
        <f>A1273/'Orbit Info'!$G$10</f>
        <v>0</v>
      </c>
      <c r="C1273" s="737" t="str">
        <f t="shared" si="380"/>
        <v>Housekeeping and events only</v>
      </c>
      <c r="D1273" s="737">
        <f t="shared" si="381"/>
        <v>1</v>
      </c>
      <c r="E1273" s="737" t="str">
        <f t="shared" si="382"/>
        <v>#VALUE!</v>
      </c>
      <c r="F1273" s="737">
        <v>1.0</v>
      </c>
      <c r="G1273" s="737" t="str">
        <f t="shared" si="383"/>
        <v>#VALUE!</v>
      </c>
      <c r="H1273" s="737" t="str">
        <f>MIN($Q$11/('Orbit Info'!G$10),$Q$8*60)</f>
        <v>#VALUE!</v>
      </c>
      <c r="I1273" s="737" t="str">
        <f>IF(D1273=1,$Q$12/'Data DownlinkStorage Budget'!$M$3,0)</f>
        <v>#VALUE!</v>
      </c>
      <c r="J1273" s="737" t="str">
        <f t="shared" si="384"/>
        <v>#VALUE!</v>
      </c>
      <c r="K1273" s="11"/>
      <c r="L1273" s="737" t="str">
        <f t="shared" si="385"/>
        <v>FOUND product plus housekeeping</v>
      </c>
      <c r="M1273" s="737" t="str">
        <f>MIN($Q$18,$Q$10*60)-IF(D1273=1,$Q$17/'Data DownlinkStorage Budget'!$M$3,0)</f>
        <v>#VALUE!</v>
      </c>
      <c r="N1273" s="182"/>
      <c r="O1273" s="737" t="str">
        <f t="shared" si="386"/>
        <v>#VALUE!</v>
      </c>
      <c r="P1273" s="11"/>
      <c r="Q1273" s="11"/>
      <c r="R1273" s="11"/>
      <c r="S1273" s="11"/>
      <c r="T1273" s="11"/>
      <c r="U1273" s="11"/>
      <c r="V1273" s="11"/>
      <c r="W1273" s="11"/>
      <c r="X1273" s="11"/>
      <c r="Y1273" s="11"/>
      <c r="Z1273" s="11"/>
      <c r="AA1273" s="11"/>
    </row>
    <row r="1274" ht="15.75" customHeight="1">
      <c r="A1274" s="737">
        <f t="shared" si="379"/>
        <v>0</v>
      </c>
      <c r="B1274" s="737">
        <f>A1274/'Orbit Info'!$G$10</f>
        <v>0</v>
      </c>
      <c r="C1274" s="737" t="str">
        <f t="shared" si="380"/>
        <v>Housekeeping and events only</v>
      </c>
      <c r="D1274" s="737">
        <f t="shared" si="381"/>
        <v>1</v>
      </c>
      <c r="E1274" s="737" t="str">
        <f t="shared" si="382"/>
        <v>#VALUE!</v>
      </c>
      <c r="F1274" s="737">
        <v>1.0</v>
      </c>
      <c r="G1274" s="737" t="str">
        <f t="shared" si="383"/>
        <v>#VALUE!</v>
      </c>
      <c r="H1274" s="737" t="str">
        <f>MIN($Q$11/('Orbit Info'!G$10),$Q$8*60)</f>
        <v>#VALUE!</v>
      </c>
      <c r="I1274" s="737" t="str">
        <f>IF(D1274=1,$Q$12/'Data DownlinkStorage Budget'!$M$3,0)</f>
        <v>#VALUE!</v>
      </c>
      <c r="J1274" s="737" t="str">
        <f t="shared" si="384"/>
        <v>#VALUE!</v>
      </c>
      <c r="K1274" s="11"/>
      <c r="L1274" s="737" t="str">
        <f t="shared" si="385"/>
        <v>FOUND product plus housekeeping</v>
      </c>
      <c r="M1274" s="737" t="str">
        <f>MIN($Q$18,$Q$10*60)-IF(D1274=1,$Q$17/'Data DownlinkStorage Budget'!$M$3,0)</f>
        <v>#VALUE!</v>
      </c>
      <c r="N1274" s="182"/>
      <c r="O1274" s="737" t="str">
        <f t="shared" si="386"/>
        <v>#VALUE!</v>
      </c>
      <c r="P1274" s="11"/>
      <c r="Q1274" s="11"/>
      <c r="R1274" s="11"/>
      <c r="S1274" s="11"/>
      <c r="T1274" s="11"/>
      <c r="U1274" s="11"/>
      <c r="V1274" s="11"/>
      <c r="W1274" s="11"/>
      <c r="X1274" s="11"/>
      <c r="Y1274" s="11"/>
      <c r="Z1274" s="11"/>
      <c r="AA1274" s="11"/>
    </row>
    <row r="1275" ht="15.75" customHeight="1">
      <c r="A1275" s="737">
        <f t="shared" si="379"/>
        <v>0</v>
      </c>
      <c r="B1275" s="737">
        <f>A1275/'Orbit Info'!$G$10</f>
        <v>0</v>
      </c>
      <c r="C1275" s="737" t="str">
        <f t="shared" si="380"/>
        <v>Housekeeping and events only</v>
      </c>
      <c r="D1275" s="737">
        <f t="shared" si="381"/>
        <v>1</v>
      </c>
      <c r="E1275" s="737" t="str">
        <f t="shared" si="382"/>
        <v>#VALUE!</v>
      </c>
      <c r="F1275" s="737">
        <v>1.0</v>
      </c>
      <c r="G1275" s="737" t="str">
        <f t="shared" si="383"/>
        <v>#VALUE!</v>
      </c>
      <c r="H1275" s="737" t="str">
        <f>MIN($Q$11/('Orbit Info'!G$10),$Q$8*60)</f>
        <v>#VALUE!</v>
      </c>
      <c r="I1275" s="737" t="str">
        <f>IF(D1275=1,$Q$12/'Data DownlinkStorage Budget'!$M$3,0)</f>
        <v>#VALUE!</v>
      </c>
      <c r="J1275" s="737" t="str">
        <f t="shared" si="384"/>
        <v>#VALUE!</v>
      </c>
      <c r="K1275" s="11"/>
      <c r="L1275" s="737" t="str">
        <f t="shared" si="385"/>
        <v>FOUND product plus housekeeping</v>
      </c>
      <c r="M1275" s="737" t="str">
        <f>MIN($Q$18,$Q$10*60)-IF(D1275=1,$Q$17/'Data DownlinkStorage Budget'!$M$3,0)</f>
        <v>#VALUE!</v>
      </c>
      <c r="N1275" s="182"/>
      <c r="O1275" s="737" t="str">
        <f t="shared" si="386"/>
        <v>#VALUE!</v>
      </c>
      <c r="P1275" s="11"/>
      <c r="Q1275" s="11"/>
      <c r="R1275" s="11"/>
      <c r="S1275" s="11"/>
      <c r="T1275" s="11"/>
      <c r="U1275" s="11"/>
      <c r="V1275" s="11"/>
      <c r="W1275" s="11"/>
      <c r="X1275" s="11"/>
      <c r="Y1275" s="11"/>
      <c r="Z1275" s="11"/>
      <c r="AA1275" s="11"/>
    </row>
    <row r="1276" ht="15.75" customHeight="1">
      <c r="A1276" s="737">
        <f t="shared" si="379"/>
        <v>0</v>
      </c>
      <c r="B1276" s="737">
        <f>A1276/'Orbit Info'!$G$10</f>
        <v>0</v>
      </c>
      <c r="C1276" s="737" t="str">
        <f t="shared" si="380"/>
        <v>Housekeeping and events only</v>
      </c>
      <c r="D1276" s="737">
        <f t="shared" si="381"/>
        <v>1</v>
      </c>
      <c r="E1276" s="737" t="str">
        <f t="shared" si="382"/>
        <v>#VALUE!</v>
      </c>
      <c r="F1276" s="737">
        <v>1.0</v>
      </c>
      <c r="G1276" s="737" t="str">
        <f t="shared" si="383"/>
        <v>#VALUE!</v>
      </c>
      <c r="H1276" s="737" t="str">
        <f>MIN($Q$11/('Orbit Info'!G$10),$Q$8*60)</f>
        <v>#VALUE!</v>
      </c>
      <c r="I1276" s="737" t="str">
        <f>IF(D1276=1,$Q$12/'Data DownlinkStorage Budget'!$M$3,0)</f>
        <v>#VALUE!</v>
      </c>
      <c r="J1276" s="737" t="str">
        <f t="shared" si="384"/>
        <v>#VALUE!</v>
      </c>
      <c r="K1276" s="11"/>
      <c r="L1276" s="737" t="str">
        <f t="shared" si="385"/>
        <v>FOUND product plus housekeeping</v>
      </c>
      <c r="M1276" s="737" t="str">
        <f>MIN($Q$18,$Q$10*60)-IF(D1276=1,$Q$17/'Data DownlinkStorage Budget'!$M$3,0)</f>
        <v>#VALUE!</v>
      </c>
      <c r="N1276" s="182"/>
      <c r="O1276" s="737" t="str">
        <f t="shared" si="386"/>
        <v>#VALUE!</v>
      </c>
      <c r="P1276" s="11"/>
      <c r="Q1276" s="11"/>
      <c r="R1276" s="11"/>
      <c r="S1276" s="11"/>
      <c r="T1276" s="11"/>
      <c r="U1276" s="11"/>
      <c r="V1276" s="11"/>
      <c r="W1276" s="11"/>
      <c r="X1276" s="11"/>
      <c r="Y1276" s="11"/>
      <c r="Z1276" s="11"/>
      <c r="AA1276" s="11"/>
    </row>
    <row r="1277" ht="15.75" customHeight="1">
      <c r="A1277" s="737">
        <f t="shared" si="379"/>
        <v>0</v>
      </c>
      <c r="B1277" s="737">
        <f>A1277/'Orbit Info'!$G$10</f>
        <v>0</v>
      </c>
      <c r="C1277" s="737" t="str">
        <f t="shared" si="380"/>
        <v>Housekeeping and events only</v>
      </c>
      <c r="D1277" s="737">
        <f t="shared" si="381"/>
        <v>1</v>
      </c>
      <c r="E1277" s="737" t="str">
        <f t="shared" si="382"/>
        <v>#VALUE!</v>
      </c>
      <c r="F1277" s="737">
        <v>1.0</v>
      </c>
      <c r="G1277" s="737" t="str">
        <f t="shared" si="383"/>
        <v>#VALUE!</v>
      </c>
      <c r="H1277" s="737" t="str">
        <f>MIN($Q$11/('Orbit Info'!G$10),$Q$8*60)</f>
        <v>#VALUE!</v>
      </c>
      <c r="I1277" s="737" t="str">
        <f>IF(D1277=1,$Q$12/'Data DownlinkStorage Budget'!$M$3,0)</f>
        <v>#VALUE!</v>
      </c>
      <c r="J1277" s="737" t="str">
        <f t="shared" si="384"/>
        <v>#VALUE!</v>
      </c>
      <c r="K1277" s="11"/>
      <c r="L1277" s="737" t="str">
        <f t="shared" si="385"/>
        <v>FOUND product plus housekeeping</v>
      </c>
      <c r="M1277" s="737" t="str">
        <f>MIN($Q$18,$Q$10*60)-IF(D1277=1,$Q$17/'Data DownlinkStorage Budget'!$M$3,0)</f>
        <v>#VALUE!</v>
      </c>
      <c r="N1277" s="182"/>
      <c r="O1277" s="737" t="str">
        <f t="shared" si="386"/>
        <v>#VALUE!</v>
      </c>
      <c r="P1277" s="11"/>
      <c r="Q1277" s="11"/>
      <c r="R1277" s="11"/>
      <c r="S1277" s="11"/>
      <c r="T1277" s="11"/>
      <c r="U1277" s="11"/>
      <c r="V1277" s="11"/>
      <c r="W1277" s="11"/>
      <c r="X1277" s="11"/>
      <c r="Y1277" s="11"/>
      <c r="Z1277" s="11"/>
      <c r="AA1277" s="11"/>
    </row>
    <row r="1278" ht="15.75" customHeight="1">
      <c r="A1278" s="737">
        <f t="shared" si="379"/>
        <v>0</v>
      </c>
      <c r="B1278" s="737">
        <f>A1278/'Orbit Info'!$G$10</f>
        <v>0</v>
      </c>
      <c r="C1278" s="737" t="str">
        <f t="shared" si="380"/>
        <v>Housekeeping and events only</v>
      </c>
      <c r="D1278" s="737">
        <f t="shared" si="381"/>
        <v>1</v>
      </c>
      <c r="E1278" s="737" t="str">
        <f t="shared" si="382"/>
        <v>#VALUE!</v>
      </c>
      <c r="F1278" s="737">
        <v>1.0</v>
      </c>
      <c r="G1278" s="737" t="str">
        <f t="shared" si="383"/>
        <v>#VALUE!</v>
      </c>
      <c r="H1278" s="737" t="str">
        <f>MIN($Q$11/('Orbit Info'!G$10),$Q$8*60)</f>
        <v>#VALUE!</v>
      </c>
      <c r="I1278" s="737" t="str">
        <f>IF(D1278=1,$Q$12/'Data DownlinkStorage Budget'!$M$3,0)</f>
        <v>#VALUE!</v>
      </c>
      <c r="J1278" s="737" t="str">
        <f t="shared" si="384"/>
        <v>#VALUE!</v>
      </c>
      <c r="K1278" s="11"/>
      <c r="L1278" s="737" t="str">
        <f t="shared" si="385"/>
        <v>FOUND product plus housekeeping</v>
      </c>
      <c r="M1278" s="737" t="str">
        <f>MIN($Q$18,$Q$10*60)-IF(D1278=1,$Q$17/'Data DownlinkStorage Budget'!$M$3,0)</f>
        <v>#VALUE!</v>
      </c>
      <c r="N1278" s="182"/>
      <c r="O1278" s="737" t="str">
        <f t="shared" si="386"/>
        <v>#VALUE!</v>
      </c>
      <c r="P1278" s="11"/>
      <c r="Q1278" s="11"/>
      <c r="R1278" s="11"/>
      <c r="S1278" s="11"/>
      <c r="T1278" s="11"/>
      <c r="U1278" s="11"/>
      <c r="V1278" s="11"/>
      <c r="W1278" s="11"/>
      <c r="X1278" s="11"/>
      <c r="Y1278" s="11"/>
      <c r="Z1278" s="11"/>
      <c r="AA1278" s="11"/>
    </row>
    <row r="1279" ht="15.75" customHeight="1">
      <c r="A1279" s="737">
        <f t="shared" si="379"/>
        <v>0</v>
      </c>
      <c r="B1279" s="737">
        <f>A1279/'Orbit Info'!$G$10</f>
        <v>0</v>
      </c>
      <c r="C1279" s="737" t="str">
        <f t="shared" si="380"/>
        <v>Housekeeping and events only</v>
      </c>
      <c r="D1279" s="737">
        <f t="shared" si="381"/>
        <v>1</v>
      </c>
      <c r="E1279" s="737" t="str">
        <f t="shared" si="382"/>
        <v>#VALUE!</v>
      </c>
      <c r="F1279" s="737">
        <v>1.0</v>
      </c>
      <c r="G1279" s="737" t="str">
        <f t="shared" si="383"/>
        <v>#VALUE!</v>
      </c>
      <c r="H1279" s="737" t="str">
        <f>MIN($Q$11/('Orbit Info'!G$10),$Q$8*60)</f>
        <v>#VALUE!</v>
      </c>
      <c r="I1279" s="737" t="str">
        <f>IF(D1279=1,$Q$12/'Data DownlinkStorage Budget'!$M$3,0)</f>
        <v>#VALUE!</v>
      </c>
      <c r="J1279" s="737" t="str">
        <f t="shared" si="384"/>
        <v>#VALUE!</v>
      </c>
      <c r="K1279" s="11"/>
      <c r="L1279" s="737" t="str">
        <f t="shared" si="385"/>
        <v>FOUND product plus housekeeping</v>
      </c>
      <c r="M1279" s="737" t="str">
        <f>MIN($Q$18,$Q$10*60)-IF(D1279=1,$Q$17/'Data DownlinkStorage Budget'!$M$3,0)</f>
        <v>#VALUE!</v>
      </c>
      <c r="N1279" s="182"/>
      <c r="O1279" s="737" t="str">
        <f t="shared" si="386"/>
        <v>#VALUE!</v>
      </c>
      <c r="P1279" s="11"/>
      <c r="Q1279" s="11"/>
      <c r="R1279" s="11"/>
      <c r="S1279" s="11"/>
      <c r="T1279" s="11"/>
      <c r="U1279" s="11"/>
      <c r="V1279" s="11"/>
      <c r="W1279" s="11"/>
      <c r="X1279" s="11"/>
      <c r="Y1279" s="11"/>
      <c r="Z1279" s="11"/>
      <c r="AA1279" s="11"/>
    </row>
    <row r="1280" ht="15.75" customHeight="1">
      <c r="A1280" s="737">
        <f t="shared" si="379"/>
        <v>0</v>
      </c>
      <c r="B1280" s="737">
        <f>A1280/'Orbit Info'!$G$10</f>
        <v>0</v>
      </c>
      <c r="C1280" s="737" t="str">
        <f t="shared" si="380"/>
        <v>Housekeeping and events only</v>
      </c>
      <c r="D1280" s="737">
        <f t="shared" si="381"/>
        <v>1</v>
      </c>
      <c r="E1280" s="737" t="str">
        <f t="shared" si="382"/>
        <v>#VALUE!</v>
      </c>
      <c r="F1280" s="737">
        <v>1.0</v>
      </c>
      <c r="G1280" s="737" t="str">
        <f t="shared" si="383"/>
        <v>#VALUE!</v>
      </c>
      <c r="H1280" s="737" t="str">
        <f>MIN($Q$11/('Orbit Info'!G$10),$Q$8*60)</f>
        <v>#VALUE!</v>
      </c>
      <c r="I1280" s="737" t="str">
        <f>IF(D1280=1,$Q$12/'Data DownlinkStorage Budget'!$M$3,0)</f>
        <v>#VALUE!</v>
      </c>
      <c r="J1280" s="737" t="str">
        <f t="shared" si="384"/>
        <v>#VALUE!</v>
      </c>
      <c r="K1280" s="11"/>
      <c r="L1280" s="737" t="str">
        <f t="shared" si="385"/>
        <v>FOUND product plus housekeeping</v>
      </c>
      <c r="M1280" s="737" t="str">
        <f>MIN($Q$18,$Q$10*60)-IF(D1280=1,$Q$17/'Data DownlinkStorage Budget'!$M$3,0)</f>
        <v>#VALUE!</v>
      </c>
      <c r="N1280" s="182"/>
      <c r="O1280" s="737" t="str">
        <f t="shared" si="386"/>
        <v>#VALUE!</v>
      </c>
      <c r="P1280" s="11"/>
      <c r="Q1280" s="11"/>
      <c r="R1280" s="11"/>
      <c r="S1280" s="11"/>
      <c r="T1280" s="11"/>
      <c r="U1280" s="11"/>
      <c r="V1280" s="11"/>
      <c r="W1280" s="11"/>
      <c r="X1280" s="11"/>
      <c r="Y1280" s="11"/>
      <c r="Z1280" s="11"/>
      <c r="AA1280" s="11"/>
    </row>
    <row r="1281" ht="15.75" customHeight="1">
      <c r="A1281" s="737">
        <f t="shared" si="379"/>
        <v>0</v>
      </c>
      <c r="B1281" s="737">
        <f>A1281/'Orbit Info'!$G$10</f>
        <v>0</v>
      </c>
      <c r="C1281" s="737" t="str">
        <f t="shared" si="380"/>
        <v>Housekeeping and events only</v>
      </c>
      <c r="D1281" s="737">
        <f t="shared" si="381"/>
        <v>1</v>
      </c>
      <c r="E1281" s="737" t="str">
        <f t="shared" si="382"/>
        <v>#VALUE!</v>
      </c>
      <c r="F1281" s="737">
        <v>1.0</v>
      </c>
      <c r="G1281" s="737" t="str">
        <f t="shared" si="383"/>
        <v>#VALUE!</v>
      </c>
      <c r="H1281" s="737" t="str">
        <f>MIN($Q$11/('Orbit Info'!G$10),$Q$8*60)</f>
        <v>#VALUE!</v>
      </c>
      <c r="I1281" s="737" t="str">
        <f>IF(D1281=1,$Q$12/'Data DownlinkStorage Budget'!$M$3,0)</f>
        <v>#VALUE!</v>
      </c>
      <c r="J1281" s="737" t="str">
        <f t="shared" si="384"/>
        <v>#VALUE!</v>
      </c>
      <c r="K1281" s="11"/>
      <c r="L1281" s="737" t="str">
        <f t="shared" si="385"/>
        <v>FOUND product plus housekeeping</v>
      </c>
      <c r="M1281" s="737" t="str">
        <f>MIN($Q$18,$Q$10*60)-IF(D1281=1,$Q$17/'Data DownlinkStorage Budget'!$M$3,0)</f>
        <v>#VALUE!</v>
      </c>
      <c r="N1281" s="182"/>
      <c r="O1281" s="737" t="str">
        <f t="shared" si="386"/>
        <v>#VALUE!</v>
      </c>
      <c r="P1281" s="11"/>
      <c r="Q1281" s="11"/>
      <c r="R1281" s="11"/>
      <c r="S1281" s="11"/>
      <c r="T1281" s="11"/>
      <c r="U1281" s="11"/>
      <c r="V1281" s="11"/>
      <c r="W1281" s="11"/>
      <c r="X1281" s="11"/>
      <c r="Y1281" s="11"/>
      <c r="Z1281" s="11"/>
      <c r="AA1281" s="11"/>
    </row>
    <row r="1282" ht="15.75" customHeight="1">
      <c r="A1282" s="737">
        <f t="shared" si="379"/>
        <v>0</v>
      </c>
      <c r="B1282" s="737">
        <f>A1282/'Orbit Info'!$G$10</f>
        <v>0</v>
      </c>
      <c r="C1282" s="737" t="str">
        <f t="shared" si="380"/>
        <v>Housekeeping and events only</v>
      </c>
      <c r="D1282" s="737">
        <f t="shared" si="381"/>
        <v>1</v>
      </c>
      <c r="E1282" s="737" t="str">
        <f t="shared" si="382"/>
        <v>#VALUE!</v>
      </c>
      <c r="F1282" s="737">
        <v>1.0</v>
      </c>
      <c r="G1282" s="737" t="str">
        <f t="shared" si="383"/>
        <v>#VALUE!</v>
      </c>
      <c r="H1282" s="737" t="str">
        <f>MIN($Q$11/('Orbit Info'!G$10),$Q$8*60)</f>
        <v>#VALUE!</v>
      </c>
      <c r="I1282" s="737" t="str">
        <f>IF(D1282=1,$Q$12/'Data DownlinkStorage Budget'!$M$3,0)</f>
        <v>#VALUE!</v>
      </c>
      <c r="J1282" s="737" t="str">
        <f t="shared" si="384"/>
        <v>#VALUE!</v>
      </c>
      <c r="K1282" s="11"/>
      <c r="L1282" s="737" t="str">
        <f t="shared" si="385"/>
        <v>FOUND product plus housekeeping</v>
      </c>
      <c r="M1282" s="737" t="str">
        <f>MIN($Q$18,$Q$10*60)-IF(D1282=1,$Q$17/'Data DownlinkStorage Budget'!$M$3,0)</f>
        <v>#VALUE!</v>
      </c>
      <c r="N1282" s="182"/>
      <c r="O1282" s="737" t="str">
        <f t="shared" si="386"/>
        <v>#VALUE!</v>
      </c>
      <c r="P1282" s="11"/>
      <c r="Q1282" s="11"/>
      <c r="R1282" s="11"/>
      <c r="S1282" s="11"/>
      <c r="T1282" s="11"/>
      <c r="U1282" s="11"/>
      <c r="V1282" s="11"/>
      <c r="W1282" s="11"/>
      <c r="X1282" s="11"/>
      <c r="Y1282" s="11"/>
      <c r="Z1282" s="11"/>
      <c r="AA1282" s="11"/>
    </row>
    <row r="1283" ht="15.75" customHeight="1">
      <c r="A1283" s="737">
        <f t="shared" si="379"/>
        <v>0</v>
      </c>
      <c r="B1283" s="737">
        <f>A1283/'Orbit Info'!$G$10</f>
        <v>0</v>
      </c>
      <c r="C1283" s="737" t="str">
        <f t="shared" si="380"/>
        <v>Housekeeping and events only</v>
      </c>
      <c r="D1283" s="737">
        <f t="shared" si="381"/>
        <v>1</v>
      </c>
      <c r="E1283" s="737" t="str">
        <f t="shared" si="382"/>
        <v>#VALUE!</v>
      </c>
      <c r="F1283" s="737">
        <v>1.0</v>
      </c>
      <c r="G1283" s="737" t="str">
        <f t="shared" si="383"/>
        <v>#VALUE!</v>
      </c>
      <c r="H1283" s="737" t="str">
        <f>MIN($Q$11/('Orbit Info'!G$10),$Q$8*60)</f>
        <v>#VALUE!</v>
      </c>
      <c r="I1283" s="737" t="str">
        <f>IF(D1283=1,$Q$12/'Data DownlinkStorage Budget'!$M$3,0)</f>
        <v>#VALUE!</v>
      </c>
      <c r="J1283" s="737" t="str">
        <f t="shared" si="384"/>
        <v>#VALUE!</v>
      </c>
      <c r="K1283" s="11"/>
      <c r="L1283" s="737" t="str">
        <f t="shared" si="385"/>
        <v>FOUND product plus housekeeping</v>
      </c>
      <c r="M1283" s="737" t="str">
        <f>MIN($Q$18,$Q$10*60)-IF(D1283=1,$Q$17/'Data DownlinkStorage Budget'!$M$3,0)</f>
        <v>#VALUE!</v>
      </c>
      <c r="N1283" s="182"/>
      <c r="O1283" s="737" t="str">
        <f t="shared" si="386"/>
        <v>#VALUE!</v>
      </c>
      <c r="P1283" s="11"/>
      <c r="Q1283" s="11"/>
      <c r="R1283" s="11"/>
      <c r="S1283" s="11"/>
      <c r="T1283" s="11"/>
      <c r="U1283" s="11"/>
      <c r="V1283" s="11"/>
      <c r="W1283" s="11"/>
      <c r="X1283" s="11"/>
      <c r="Y1283" s="11"/>
      <c r="Z1283" s="11"/>
      <c r="AA1283" s="11"/>
    </row>
    <row r="1284" ht="15.75" customHeight="1">
      <c r="A1284" s="737">
        <f t="shared" si="379"/>
        <v>0</v>
      </c>
      <c r="B1284" s="737">
        <f>A1284/'Orbit Info'!$G$10</f>
        <v>0</v>
      </c>
      <c r="C1284" s="737" t="str">
        <f t="shared" si="380"/>
        <v>Housekeeping and events only</v>
      </c>
      <c r="D1284" s="737">
        <f t="shared" si="381"/>
        <v>1</v>
      </c>
      <c r="E1284" s="737" t="str">
        <f t="shared" si="382"/>
        <v>#VALUE!</v>
      </c>
      <c r="F1284" s="737">
        <v>1.0</v>
      </c>
      <c r="G1284" s="737" t="str">
        <f t="shared" si="383"/>
        <v>#VALUE!</v>
      </c>
      <c r="H1284" s="737" t="str">
        <f>MIN($Q$11/('Orbit Info'!G$10),$Q$8*60)</f>
        <v>#VALUE!</v>
      </c>
      <c r="I1284" s="737" t="str">
        <f>IF(D1284=1,$Q$12/'Data DownlinkStorage Budget'!$M$3,0)</f>
        <v>#VALUE!</v>
      </c>
      <c r="J1284" s="737" t="str">
        <f t="shared" si="384"/>
        <v>#VALUE!</v>
      </c>
      <c r="K1284" s="11"/>
      <c r="L1284" s="737" t="str">
        <f t="shared" si="385"/>
        <v>FOUND product plus housekeeping</v>
      </c>
      <c r="M1284" s="737" t="str">
        <f>MIN($Q$18,$Q$10*60)-IF(D1284=1,$Q$17/'Data DownlinkStorage Budget'!$M$3,0)</f>
        <v>#VALUE!</v>
      </c>
      <c r="N1284" s="182"/>
      <c r="O1284" s="737" t="str">
        <f t="shared" si="386"/>
        <v>#VALUE!</v>
      </c>
      <c r="P1284" s="11"/>
      <c r="Q1284" s="11"/>
      <c r="R1284" s="11"/>
      <c r="S1284" s="11"/>
      <c r="T1284" s="11"/>
      <c r="U1284" s="11"/>
      <c r="V1284" s="11"/>
      <c r="W1284" s="11"/>
      <c r="X1284" s="11"/>
      <c r="Y1284" s="11"/>
      <c r="Z1284" s="11"/>
      <c r="AA1284" s="11"/>
    </row>
    <row r="1285" ht="15.75" customHeight="1">
      <c r="A1285" s="737">
        <f t="shared" si="379"/>
        <v>0</v>
      </c>
      <c r="B1285" s="737">
        <f>A1285/'Orbit Info'!$G$10</f>
        <v>0</v>
      </c>
      <c r="C1285" s="737" t="str">
        <f t="shared" si="380"/>
        <v>Housekeeping and events only</v>
      </c>
      <c r="D1285" s="737">
        <f t="shared" si="381"/>
        <v>1</v>
      </c>
      <c r="E1285" s="737" t="str">
        <f t="shared" si="382"/>
        <v>#VALUE!</v>
      </c>
      <c r="F1285" s="737">
        <v>1.0</v>
      </c>
      <c r="G1285" s="737" t="str">
        <f t="shared" si="383"/>
        <v>#VALUE!</v>
      </c>
      <c r="H1285" s="737" t="str">
        <f>MIN($Q$11/('Orbit Info'!G$10),$Q$8*60)</f>
        <v>#VALUE!</v>
      </c>
      <c r="I1285" s="737" t="str">
        <f>IF(D1285=1,$Q$12/'Data DownlinkStorage Budget'!$M$3,0)</f>
        <v>#VALUE!</v>
      </c>
      <c r="J1285" s="737" t="str">
        <f t="shared" si="384"/>
        <v>#VALUE!</v>
      </c>
      <c r="K1285" s="11"/>
      <c r="L1285" s="737" t="str">
        <f t="shared" si="385"/>
        <v>FOUND product plus housekeeping</v>
      </c>
      <c r="M1285" s="737" t="str">
        <f>MIN($Q$18,$Q$10*60)-IF(D1285=1,$Q$17/'Data DownlinkStorage Budget'!$M$3,0)</f>
        <v>#VALUE!</v>
      </c>
      <c r="N1285" s="182"/>
      <c r="O1285" s="737" t="str">
        <f t="shared" si="386"/>
        <v>#VALUE!</v>
      </c>
      <c r="P1285" s="11"/>
      <c r="Q1285" s="11"/>
      <c r="R1285" s="11"/>
      <c r="S1285" s="11"/>
      <c r="T1285" s="11"/>
      <c r="U1285" s="11"/>
      <c r="V1285" s="11"/>
      <c r="W1285" s="11"/>
      <c r="X1285" s="11"/>
      <c r="Y1285" s="11"/>
      <c r="Z1285" s="11"/>
      <c r="AA1285" s="11"/>
    </row>
    <row r="1286" ht="15.75" customHeight="1">
      <c r="A1286" s="737">
        <f t="shared" si="379"/>
        <v>0</v>
      </c>
      <c r="B1286" s="737">
        <f>A1286/'Orbit Info'!$G$10</f>
        <v>0</v>
      </c>
      <c r="C1286" s="737" t="str">
        <f t="shared" si="380"/>
        <v>Housekeeping and events only</v>
      </c>
      <c r="D1286" s="737">
        <f t="shared" si="381"/>
        <v>1</v>
      </c>
      <c r="E1286" s="737" t="str">
        <f t="shared" si="382"/>
        <v>#VALUE!</v>
      </c>
      <c r="F1286" s="737">
        <v>1.0</v>
      </c>
      <c r="G1286" s="737" t="str">
        <f t="shared" si="383"/>
        <v>#VALUE!</v>
      </c>
      <c r="H1286" s="737" t="str">
        <f>MIN($Q$11/('Orbit Info'!G$10),$Q$8*60)</f>
        <v>#VALUE!</v>
      </c>
      <c r="I1286" s="737" t="str">
        <f>IF(D1286=1,$Q$12/'Data DownlinkStorage Budget'!$M$3,0)</f>
        <v>#VALUE!</v>
      </c>
      <c r="J1286" s="737" t="str">
        <f t="shared" si="384"/>
        <v>#VALUE!</v>
      </c>
      <c r="K1286" s="11"/>
      <c r="L1286" s="737" t="str">
        <f t="shared" si="385"/>
        <v>FOUND product plus housekeeping</v>
      </c>
      <c r="M1286" s="737" t="str">
        <f>MIN($Q$18,$Q$10*60)-IF(D1286=1,$Q$17/'Data DownlinkStorage Budget'!$M$3,0)</f>
        <v>#VALUE!</v>
      </c>
      <c r="N1286" s="182"/>
      <c r="O1286" s="737" t="str">
        <f t="shared" si="386"/>
        <v>#VALUE!</v>
      </c>
      <c r="P1286" s="11"/>
      <c r="Q1286" s="11"/>
      <c r="R1286" s="11"/>
      <c r="S1286" s="11"/>
      <c r="T1286" s="11"/>
      <c r="U1286" s="11"/>
      <c r="V1286" s="11"/>
      <c r="W1286" s="11"/>
      <c r="X1286" s="11"/>
      <c r="Y1286" s="11"/>
      <c r="Z1286" s="11"/>
      <c r="AA1286" s="11"/>
    </row>
    <row r="1287" ht="15.75" customHeight="1">
      <c r="A1287" s="737">
        <f t="shared" si="379"/>
        <v>0</v>
      </c>
      <c r="B1287" s="737">
        <f>A1287/'Orbit Info'!$G$10</f>
        <v>0</v>
      </c>
      <c r="C1287" s="737" t="str">
        <f t="shared" si="380"/>
        <v>Housekeeping and events only</v>
      </c>
      <c r="D1287" s="737">
        <f t="shared" si="381"/>
        <v>1</v>
      </c>
      <c r="E1287" s="737" t="str">
        <f t="shared" si="382"/>
        <v>#VALUE!</v>
      </c>
      <c r="F1287" s="737">
        <v>1.0</v>
      </c>
      <c r="G1287" s="737" t="str">
        <f t="shared" si="383"/>
        <v>#VALUE!</v>
      </c>
      <c r="H1287" s="737" t="str">
        <f>MIN($Q$11/('Orbit Info'!G$10),$Q$8*60)</f>
        <v>#VALUE!</v>
      </c>
      <c r="I1287" s="737" t="str">
        <f>IF(D1287=1,$Q$12/'Data DownlinkStorage Budget'!$M$3,0)</f>
        <v>#VALUE!</v>
      </c>
      <c r="J1287" s="737" t="str">
        <f t="shared" si="384"/>
        <v>#VALUE!</v>
      </c>
      <c r="K1287" s="11"/>
      <c r="L1287" s="737" t="str">
        <f t="shared" si="385"/>
        <v>FOUND product plus housekeeping</v>
      </c>
      <c r="M1287" s="737" t="str">
        <f>MIN($Q$18,$Q$10*60)-IF(D1287=1,$Q$17/'Data DownlinkStorage Budget'!$M$3,0)</f>
        <v>#VALUE!</v>
      </c>
      <c r="N1287" s="182"/>
      <c r="O1287" s="737" t="str">
        <f t="shared" si="386"/>
        <v>#VALUE!</v>
      </c>
      <c r="P1287" s="11"/>
      <c r="Q1287" s="11"/>
      <c r="R1287" s="11"/>
      <c r="S1287" s="11"/>
      <c r="T1287" s="11"/>
      <c r="U1287" s="11"/>
      <c r="V1287" s="11"/>
      <c r="W1287" s="11"/>
      <c r="X1287" s="11"/>
      <c r="Y1287" s="11"/>
      <c r="Z1287" s="11"/>
      <c r="AA1287" s="11"/>
    </row>
    <row r="1288" ht="15.75" customHeight="1">
      <c r="A1288" s="737">
        <f t="shared" si="379"/>
        <v>0</v>
      </c>
      <c r="B1288" s="737">
        <f>A1288/'Orbit Info'!$G$10</f>
        <v>0</v>
      </c>
      <c r="C1288" s="737" t="str">
        <f t="shared" si="380"/>
        <v>Housekeeping and events only</v>
      </c>
      <c r="D1288" s="737">
        <f t="shared" si="381"/>
        <v>1</v>
      </c>
      <c r="E1288" s="737" t="str">
        <f t="shared" si="382"/>
        <v>#VALUE!</v>
      </c>
      <c r="F1288" s="737">
        <v>1.0</v>
      </c>
      <c r="G1288" s="737" t="str">
        <f t="shared" si="383"/>
        <v>#VALUE!</v>
      </c>
      <c r="H1288" s="737" t="str">
        <f>MIN($Q$11/('Orbit Info'!G$10),$Q$8*60)</f>
        <v>#VALUE!</v>
      </c>
      <c r="I1288" s="737" t="str">
        <f>IF(D1288=1,$Q$12/'Data DownlinkStorage Budget'!$M$3,0)</f>
        <v>#VALUE!</v>
      </c>
      <c r="J1288" s="737" t="str">
        <f t="shared" si="384"/>
        <v>#VALUE!</v>
      </c>
      <c r="K1288" s="11"/>
      <c r="L1288" s="737" t="str">
        <f t="shared" si="385"/>
        <v>FOUND product plus housekeeping</v>
      </c>
      <c r="M1288" s="737" t="str">
        <f>MIN($Q$18,$Q$10*60)-IF(D1288=1,$Q$17/'Data DownlinkStorage Budget'!$M$3,0)</f>
        <v>#VALUE!</v>
      </c>
      <c r="N1288" s="182"/>
      <c r="O1288" s="737" t="str">
        <f t="shared" si="386"/>
        <v>#VALUE!</v>
      </c>
      <c r="P1288" s="11"/>
      <c r="Q1288" s="11"/>
      <c r="R1288" s="11"/>
      <c r="S1288" s="11"/>
      <c r="T1288" s="11"/>
      <c r="U1288" s="11"/>
      <c r="V1288" s="11"/>
      <c r="W1288" s="11"/>
      <c r="X1288" s="11"/>
      <c r="Y1288" s="11"/>
      <c r="Z1288" s="11"/>
      <c r="AA1288" s="11"/>
    </row>
    <row r="1289" ht="15.75" customHeight="1">
      <c r="A1289" s="737">
        <f t="shared" si="379"/>
        <v>0</v>
      </c>
      <c r="B1289" s="737">
        <f>A1289/'Orbit Info'!$G$10</f>
        <v>0</v>
      </c>
      <c r="C1289" s="737" t="str">
        <f t="shared" si="380"/>
        <v>Housekeeping and events only</v>
      </c>
      <c r="D1289" s="737">
        <f t="shared" si="381"/>
        <v>1</v>
      </c>
      <c r="E1289" s="737" t="str">
        <f t="shared" si="382"/>
        <v>#VALUE!</v>
      </c>
      <c r="F1289" s="737">
        <v>1.0</v>
      </c>
      <c r="G1289" s="737" t="str">
        <f t="shared" si="383"/>
        <v>#VALUE!</v>
      </c>
      <c r="H1289" s="737" t="str">
        <f>MIN($Q$11/('Orbit Info'!G$10),$Q$8*60)</f>
        <v>#VALUE!</v>
      </c>
      <c r="I1289" s="737" t="str">
        <f>IF(D1289=1,$Q$12/'Data DownlinkStorage Budget'!$M$3,0)</f>
        <v>#VALUE!</v>
      </c>
      <c r="J1289" s="737" t="str">
        <f t="shared" si="384"/>
        <v>#VALUE!</v>
      </c>
      <c r="K1289" s="11"/>
      <c r="L1289" s="737" t="str">
        <f t="shared" si="385"/>
        <v>FOUND product plus housekeeping</v>
      </c>
      <c r="M1289" s="737" t="str">
        <f>MIN($Q$18,$Q$10*60)-IF(D1289=1,$Q$17/'Data DownlinkStorage Budget'!$M$3,0)</f>
        <v>#VALUE!</v>
      </c>
      <c r="N1289" s="182"/>
      <c r="O1289" s="737" t="str">
        <f t="shared" si="386"/>
        <v>#VALUE!</v>
      </c>
      <c r="P1289" s="11"/>
      <c r="Q1289" s="11"/>
      <c r="R1289" s="11"/>
      <c r="S1289" s="11"/>
      <c r="T1289" s="11"/>
      <c r="U1289" s="11"/>
      <c r="V1289" s="11"/>
      <c r="W1289" s="11"/>
      <c r="X1289" s="11"/>
      <c r="Y1289" s="11"/>
      <c r="Z1289" s="11"/>
      <c r="AA1289" s="11"/>
    </row>
    <row r="1290" ht="15.75" customHeight="1">
      <c r="A1290" s="737">
        <f t="shared" si="379"/>
        <v>0</v>
      </c>
      <c r="B1290" s="737">
        <f>A1290/'Orbit Info'!$G$10</f>
        <v>0</v>
      </c>
      <c r="C1290" s="737" t="str">
        <f t="shared" si="380"/>
        <v>Housekeeping and events only</v>
      </c>
      <c r="D1290" s="737">
        <f t="shared" si="381"/>
        <v>1</v>
      </c>
      <c r="E1290" s="737" t="str">
        <f t="shared" si="382"/>
        <v>#VALUE!</v>
      </c>
      <c r="F1290" s="737">
        <v>1.0</v>
      </c>
      <c r="G1290" s="737" t="str">
        <f t="shared" si="383"/>
        <v>#VALUE!</v>
      </c>
      <c r="H1290" s="737" t="str">
        <f>MIN($Q$11/('Orbit Info'!G$10),$Q$8*60)</f>
        <v>#VALUE!</v>
      </c>
      <c r="I1290" s="737" t="str">
        <f>IF(D1290=1,$Q$12/'Data DownlinkStorage Budget'!$M$3,0)</f>
        <v>#VALUE!</v>
      </c>
      <c r="J1290" s="737" t="str">
        <f t="shared" si="384"/>
        <v>#VALUE!</v>
      </c>
      <c r="K1290" s="11"/>
      <c r="L1290" s="737" t="str">
        <f t="shared" si="385"/>
        <v>FOUND product plus housekeeping</v>
      </c>
      <c r="M1290" s="737" t="str">
        <f>MIN($Q$18,$Q$10*60)-IF(D1290=1,$Q$17/'Data DownlinkStorage Budget'!$M$3,0)</f>
        <v>#VALUE!</v>
      </c>
      <c r="N1290" s="182"/>
      <c r="O1290" s="737" t="str">
        <f t="shared" si="386"/>
        <v>#VALUE!</v>
      </c>
      <c r="P1290" s="11"/>
      <c r="Q1290" s="11"/>
      <c r="R1290" s="11"/>
      <c r="S1290" s="11"/>
      <c r="T1290" s="11"/>
      <c r="U1290" s="11"/>
      <c r="V1290" s="11"/>
      <c r="W1290" s="11"/>
      <c r="X1290" s="11"/>
      <c r="Y1290" s="11"/>
      <c r="Z1290" s="11"/>
      <c r="AA1290" s="11"/>
    </row>
    <row r="1291" ht="15.75" customHeight="1">
      <c r="A1291" s="737">
        <f t="shared" si="379"/>
        <v>0</v>
      </c>
      <c r="B1291" s="737">
        <f>A1291/'Orbit Info'!$G$10</f>
        <v>0</v>
      </c>
      <c r="C1291" s="737" t="str">
        <f t="shared" si="380"/>
        <v>Housekeeping and events only</v>
      </c>
      <c r="D1291" s="737">
        <f t="shared" si="381"/>
        <v>1</v>
      </c>
      <c r="E1291" s="737" t="str">
        <f t="shared" si="382"/>
        <v>#VALUE!</v>
      </c>
      <c r="F1291" s="737">
        <v>1.0</v>
      </c>
      <c r="G1291" s="737" t="str">
        <f t="shared" si="383"/>
        <v>#VALUE!</v>
      </c>
      <c r="H1291" s="737" t="str">
        <f>MIN($Q$11/('Orbit Info'!G$10),$Q$8*60)</f>
        <v>#VALUE!</v>
      </c>
      <c r="I1291" s="737" t="str">
        <f>IF(D1291=1,$Q$12/'Data DownlinkStorage Budget'!$M$3,0)</f>
        <v>#VALUE!</v>
      </c>
      <c r="J1291" s="737" t="str">
        <f t="shared" si="384"/>
        <v>#VALUE!</v>
      </c>
      <c r="K1291" s="11"/>
      <c r="L1291" s="737" t="str">
        <f t="shared" si="385"/>
        <v>FOUND product plus housekeeping</v>
      </c>
      <c r="M1291" s="737" t="str">
        <f>MIN($Q$18,$Q$10*60)-IF(D1291=1,$Q$17/'Data DownlinkStorage Budget'!$M$3,0)</f>
        <v>#VALUE!</v>
      </c>
      <c r="N1291" s="182"/>
      <c r="O1291" s="737" t="str">
        <f t="shared" si="386"/>
        <v>#VALUE!</v>
      </c>
      <c r="P1291" s="11"/>
      <c r="Q1291" s="11"/>
      <c r="R1291" s="11"/>
      <c r="S1291" s="11"/>
      <c r="T1291" s="11"/>
      <c r="U1291" s="11"/>
      <c r="V1291" s="11"/>
      <c r="W1291" s="11"/>
      <c r="X1291" s="11"/>
      <c r="Y1291" s="11"/>
      <c r="Z1291" s="11"/>
      <c r="AA1291" s="11"/>
    </row>
    <row r="1292" ht="15.75" customHeight="1">
      <c r="A1292" s="737">
        <f t="shared" si="379"/>
        <v>0</v>
      </c>
      <c r="B1292" s="737">
        <f>A1292/'Orbit Info'!$G$10</f>
        <v>0</v>
      </c>
      <c r="C1292" s="737" t="str">
        <f t="shared" si="380"/>
        <v>Housekeeping and events only</v>
      </c>
      <c r="D1292" s="737">
        <f t="shared" si="381"/>
        <v>1</v>
      </c>
      <c r="E1292" s="737" t="str">
        <f t="shared" si="382"/>
        <v>#VALUE!</v>
      </c>
      <c r="F1292" s="737">
        <v>1.0</v>
      </c>
      <c r="G1292" s="737" t="str">
        <f t="shared" si="383"/>
        <v>#VALUE!</v>
      </c>
      <c r="H1292" s="737" t="str">
        <f>MIN($Q$11/('Orbit Info'!G$10),$Q$8*60)</f>
        <v>#VALUE!</v>
      </c>
      <c r="I1292" s="737" t="str">
        <f>IF(D1292=1,$Q$12/'Data DownlinkStorage Budget'!$M$3,0)</f>
        <v>#VALUE!</v>
      </c>
      <c r="J1292" s="737" t="str">
        <f t="shared" si="384"/>
        <v>#VALUE!</v>
      </c>
      <c r="K1292" s="11"/>
      <c r="L1292" s="737" t="str">
        <f t="shared" si="385"/>
        <v>FOUND product plus housekeeping</v>
      </c>
      <c r="M1292" s="737" t="str">
        <f>MIN($Q$18,$Q$10*60)-IF(D1292=1,$Q$17/'Data DownlinkStorage Budget'!$M$3,0)</f>
        <v>#VALUE!</v>
      </c>
      <c r="N1292" s="182"/>
      <c r="O1292" s="737" t="str">
        <f t="shared" si="386"/>
        <v>#VALUE!</v>
      </c>
      <c r="P1292" s="11"/>
      <c r="Q1292" s="11"/>
      <c r="R1292" s="11"/>
      <c r="S1292" s="11"/>
      <c r="T1292" s="11"/>
      <c r="U1292" s="11"/>
      <c r="V1292" s="11"/>
      <c r="W1292" s="11"/>
      <c r="X1292" s="11"/>
      <c r="Y1292" s="11"/>
      <c r="Z1292" s="11"/>
      <c r="AA1292" s="11"/>
    </row>
    <row r="1293" ht="15.75" customHeight="1">
      <c r="A1293" s="737">
        <f t="shared" si="379"/>
        <v>0</v>
      </c>
      <c r="B1293" s="737">
        <f>A1293/'Orbit Info'!$G$10</f>
        <v>0</v>
      </c>
      <c r="C1293" s="737" t="str">
        <f t="shared" si="380"/>
        <v>Housekeeping and events only</v>
      </c>
      <c r="D1293" s="737">
        <f t="shared" si="381"/>
        <v>1</v>
      </c>
      <c r="E1293" s="737" t="str">
        <f t="shared" si="382"/>
        <v>#VALUE!</v>
      </c>
      <c r="F1293" s="737">
        <v>1.0</v>
      </c>
      <c r="G1293" s="737" t="str">
        <f t="shared" si="383"/>
        <v>#VALUE!</v>
      </c>
      <c r="H1293" s="737" t="str">
        <f>MIN($Q$11/('Orbit Info'!G$10),$Q$8*60)</f>
        <v>#VALUE!</v>
      </c>
      <c r="I1293" s="737" t="str">
        <f>IF(D1293=1,$Q$12/'Data DownlinkStorage Budget'!$M$3,0)</f>
        <v>#VALUE!</v>
      </c>
      <c r="J1293" s="737" t="str">
        <f t="shared" si="384"/>
        <v>#VALUE!</v>
      </c>
      <c r="K1293" s="11"/>
      <c r="L1293" s="737" t="str">
        <f t="shared" si="385"/>
        <v>FOUND product plus housekeeping</v>
      </c>
      <c r="M1293" s="737" t="str">
        <f>MIN($Q$18,$Q$10*60)-IF(D1293=1,$Q$17/'Data DownlinkStorage Budget'!$M$3,0)</f>
        <v>#VALUE!</v>
      </c>
      <c r="N1293" s="182"/>
      <c r="O1293" s="737" t="str">
        <f t="shared" si="386"/>
        <v>#VALUE!</v>
      </c>
      <c r="P1293" s="11"/>
      <c r="Q1293" s="11"/>
      <c r="R1293" s="11"/>
      <c r="S1293" s="11"/>
      <c r="T1293" s="11"/>
      <c r="U1293" s="11"/>
      <c r="V1293" s="11"/>
      <c r="W1293" s="11"/>
      <c r="X1293" s="11"/>
      <c r="Y1293" s="11"/>
      <c r="Z1293" s="11"/>
      <c r="AA1293" s="11"/>
    </row>
    <row r="1294" ht="15.75" customHeight="1">
      <c r="A1294" s="737">
        <f t="shared" si="379"/>
        <v>0</v>
      </c>
      <c r="B1294" s="737">
        <f>A1294/'Orbit Info'!$G$10</f>
        <v>0</v>
      </c>
      <c r="C1294" s="737" t="str">
        <f t="shared" si="380"/>
        <v>Housekeeping and events only</v>
      </c>
      <c r="D1294" s="737">
        <f t="shared" si="381"/>
        <v>1</v>
      </c>
      <c r="E1294" s="737" t="str">
        <f t="shared" si="382"/>
        <v>#VALUE!</v>
      </c>
      <c r="F1294" s="737">
        <v>1.0</v>
      </c>
      <c r="G1294" s="737" t="str">
        <f t="shared" si="383"/>
        <v>#VALUE!</v>
      </c>
      <c r="H1294" s="737" t="str">
        <f>MIN($Q$11/('Orbit Info'!G$10),$Q$8*60)</f>
        <v>#VALUE!</v>
      </c>
      <c r="I1294" s="737" t="str">
        <f>IF(D1294=1,$Q$12/'Data DownlinkStorage Budget'!$M$3,0)</f>
        <v>#VALUE!</v>
      </c>
      <c r="J1294" s="737" t="str">
        <f t="shared" si="384"/>
        <v>#VALUE!</v>
      </c>
      <c r="K1294" s="11"/>
      <c r="L1294" s="737" t="str">
        <f t="shared" si="385"/>
        <v>FOUND product plus housekeeping</v>
      </c>
      <c r="M1294" s="737" t="str">
        <f>MIN($Q$18,$Q$10*60)-IF(D1294=1,$Q$17/'Data DownlinkStorage Budget'!$M$3,0)</f>
        <v>#VALUE!</v>
      </c>
      <c r="N1294" s="182"/>
      <c r="O1294" s="737" t="str">
        <f t="shared" si="386"/>
        <v>#VALUE!</v>
      </c>
      <c r="P1294" s="11"/>
      <c r="Q1294" s="11"/>
      <c r="R1294" s="11"/>
      <c r="S1294" s="11"/>
      <c r="T1294" s="11"/>
      <c r="U1294" s="11"/>
      <c r="V1294" s="11"/>
      <c r="W1294" s="11"/>
      <c r="X1294" s="11"/>
      <c r="Y1294" s="11"/>
      <c r="Z1294" s="11"/>
      <c r="AA1294" s="11"/>
    </row>
    <row r="1295" ht="15.75" customHeight="1">
      <c r="A1295" s="737">
        <f t="shared" si="379"/>
        <v>0</v>
      </c>
      <c r="B1295" s="737">
        <f>A1295/'Orbit Info'!$G$10</f>
        <v>0</v>
      </c>
      <c r="C1295" s="737" t="str">
        <f t="shared" si="380"/>
        <v>Housekeeping and events only</v>
      </c>
      <c r="D1295" s="737">
        <f t="shared" si="381"/>
        <v>1</v>
      </c>
      <c r="E1295" s="737" t="str">
        <f t="shared" si="382"/>
        <v>#VALUE!</v>
      </c>
      <c r="F1295" s="737">
        <v>1.0</v>
      </c>
      <c r="G1295" s="737" t="str">
        <f t="shared" si="383"/>
        <v>#VALUE!</v>
      </c>
      <c r="H1295" s="737" t="str">
        <f>MIN($Q$11/('Orbit Info'!G$10),$Q$8*60)</f>
        <v>#VALUE!</v>
      </c>
      <c r="I1295" s="737" t="str">
        <f>IF(D1295=1,$Q$12/'Data DownlinkStorage Budget'!$M$3,0)</f>
        <v>#VALUE!</v>
      </c>
      <c r="J1295" s="737" t="str">
        <f t="shared" si="384"/>
        <v>#VALUE!</v>
      </c>
      <c r="K1295" s="11"/>
      <c r="L1295" s="737" t="str">
        <f t="shared" si="385"/>
        <v>FOUND product plus housekeeping</v>
      </c>
      <c r="M1295" s="737" t="str">
        <f>MIN($Q$18,$Q$10*60)-IF(D1295=1,$Q$17/'Data DownlinkStorage Budget'!$M$3,0)</f>
        <v>#VALUE!</v>
      </c>
      <c r="N1295" s="182"/>
      <c r="O1295" s="737" t="str">
        <f t="shared" si="386"/>
        <v>#VALUE!</v>
      </c>
      <c r="P1295" s="11"/>
      <c r="Q1295" s="11"/>
      <c r="R1295" s="11"/>
      <c r="S1295" s="11"/>
      <c r="T1295" s="11"/>
      <c r="U1295" s="11"/>
      <c r="V1295" s="11"/>
      <c r="W1295" s="11"/>
      <c r="X1295" s="11"/>
      <c r="Y1295" s="11"/>
      <c r="Z1295" s="11"/>
      <c r="AA1295" s="11"/>
    </row>
    <row r="1296" ht="15.75" customHeight="1">
      <c r="A1296" s="737">
        <f t="shared" si="379"/>
        <v>0</v>
      </c>
      <c r="B1296" s="737">
        <f>A1296/'Orbit Info'!$G$10</f>
        <v>0</v>
      </c>
      <c r="C1296" s="737" t="str">
        <f t="shared" si="380"/>
        <v>Housekeeping and events only</v>
      </c>
      <c r="D1296" s="737">
        <f t="shared" si="381"/>
        <v>1</v>
      </c>
      <c r="E1296" s="737" t="str">
        <f t="shared" si="382"/>
        <v>#VALUE!</v>
      </c>
      <c r="F1296" s="737">
        <v>1.0</v>
      </c>
      <c r="G1296" s="737" t="str">
        <f t="shared" si="383"/>
        <v>#VALUE!</v>
      </c>
      <c r="H1296" s="737" t="str">
        <f>MIN($Q$11/('Orbit Info'!G$10),$Q$8*60)</f>
        <v>#VALUE!</v>
      </c>
      <c r="I1296" s="737" t="str">
        <f>IF(D1296=1,$Q$12/'Data DownlinkStorage Budget'!$M$3,0)</f>
        <v>#VALUE!</v>
      </c>
      <c r="J1296" s="737" t="str">
        <f t="shared" si="384"/>
        <v>#VALUE!</v>
      </c>
      <c r="K1296" s="11"/>
      <c r="L1296" s="737" t="str">
        <f t="shared" si="385"/>
        <v>FOUND product plus housekeeping</v>
      </c>
      <c r="M1296" s="737" t="str">
        <f>MIN($Q$18,$Q$10*60)-IF(D1296=1,$Q$17/'Data DownlinkStorage Budget'!$M$3,0)</f>
        <v>#VALUE!</v>
      </c>
      <c r="N1296" s="182"/>
      <c r="O1296" s="737" t="str">
        <f t="shared" si="386"/>
        <v>#VALUE!</v>
      </c>
      <c r="P1296" s="11"/>
      <c r="Q1296" s="11"/>
      <c r="R1296" s="11"/>
      <c r="S1296" s="11"/>
      <c r="T1296" s="11"/>
      <c r="U1296" s="11"/>
      <c r="V1296" s="11"/>
      <c r="W1296" s="11"/>
      <c r="X1296" s="11"/>
      <c r="Y1296" s="11"/>
      <c r="Z1296" s="11"/>
      <c r="AA1296" s="11"/>
    </row>
    <row r="1297" ht="15.75" customHeight="1">
      <c r="A1297" s="737">
        <f t="shared" si="379"/>
        <v>0</v>
      </c>
      <c r="B1297" s="737">
        <f>A1297/'Orbit Info'!$G$10</f>
        <v>0</v>
      </c>
      <c r="C1297" s="737" t="str">
        <f t="shared" si="380"/>
        <v>Housekeeping and events only</v>
      </c>
      <c r="D1297" s="737">
        <f t="shared" si="381"/>
        <v>1</v>
      </c>
      <c r="E1297" s="737" t="str">
        <f t="shared" si="382"/>
        <v>#VALUE!</v>
      </c>
      <c r="F1297" s="737">
        <v>1.0</v>
      </c>
      <c r="G1297" s="737" t="str">
        <f t="shared" si="383"/>
        <v>#VALUE!</v>
      </c>
      <c r="H1297" s="737" t="str">
        <f>MIN($Q$11/('Orbit Info'!G$10),$Q$8*60)</f>
        <v>#VALUE!</v>
      </c>
      <c r="I1297" s="737" t="str">
        <f>IF(D1297=1,$Q$12/'Data DownlinkStorage Budget'!$M$3,0)</f>
        <v>#VALUE!</v>
      </c>
      <c r="J1297" s="737" t="str">
        <f t="shared" si="384"/>
        <v>#VALUE!</v>
      </c>
      <c r="K1297" s="11"/>
      <c r="L1297" s="737" t="str">
        <f t="shared" si="385"/>
        <v>FOUND product plus housekeeping</v>
      </c>
      <c r="M1297" s="737" t="str">
        <f>MIN($Q$18,$Q$10*60)-IF(D1297=1,$Q$17/'Data DownlinkStorage Budget'!$M$3,0)</f>
        <v>#VALUE!</v>
      </c>
      <c r="N1297" s="182"/>
      <c r="O1297" s="737" t="str">
        <f t="shared" si="386"/>
        <v>#VALUE!</v>
      </c>
      <c r="P1297" s="11"/>
      <c r="Q1297" s="11"/>
      <c r="R1297" s="11"/>
      <c r="S1297" s="11"/>
      <c r="T1297" s="11"/>
      <c r="U1297" s="11"/>
      <c r="V1297" s="11"/>
      <c r="W1297" s="11"/>
      <c r="X1297" s="11"/>
      <c r="Y1297" s="11"/>
      <c r="Z1297" s="11"/>
      <c r="AA1297" s="11"/>
    </row>
    <row r="1298" ht="15.75" customHeight="1">
      <c r="A1298" s="737">
        <f t="shared" si="379"/>
        <v>0</v>
      </c>
      <c r="B1298" s="737">
        <f>A1298/'Orbit Info'!$G$10</f>
        <v>0</v>
      </c>
      <c r="C1298" s="737" t="str">
        <f t="shared" si="380"/>
        <v>Housekeeping and events only</v>
      </c>
      <c r="D1298" s="737">
        <f t="shared" si="381"/>
        <v>1</v>
      </c>
      <c r="E1298" s="737" t="str">
        <f t="shared" si="382"/>
        <v>#VALUE!</v>
      </c>
      <c r="F1298" s="737">
        <v>1.0</v>
      </c>
      <c r="G1298" s="737" t="str">
        <f t="shared" si="383"/>
        <v>#VALUE!</v>
      </c>
      <c r="H1298" s="737" t="str">
        <f>MIN($Q$11/('Orbit Info'!G$10),$Q$8*60)</f>
        <v>#VALUE!</v>
      </c>
      <c r="I1298" s="737" t="str">
        <f>IF(D1298=1,$Q$12/'Data DownlinkStorage Budget'!$M$3,0)</f>
        <v>#VALUE!</v>
      </c>
      <c r="J1298" s="737" t="str">
        <f t="shared" si="384"/>
        <v>#VALUE!</v>
      </c>
      <c r="K1298" s="11"/>
      <c r="L1298" s="737" t="str">
        <f t="shared" si="385"/>
        <v>FOUND product plus housekeeping</v>
      </c>
      <c r="M1298" s="737" t="str">
        <f>MIN($Q$18,$Q$10*60)-IF(D1298=1,$Q$17/'Data DownlinkStorage Budget'!$M$3,0)</f>
        <v>#VALUE!</v>
      </c>
      <c r="N1298" s="182"/>
      <c r="O1298" s="737" t="str">
        <f t="shared" si="386"/>
        <v>#VALUE!</v>
      </c>
      <c r="P1298" s="11"/>
      <c r="Q1298" s="11"/>
      <c r="R1298" s="11"/>
      <c r="S1298" s="11"/>
      <c r="T1298" s="11"/>
      <c r="U1298" s="11"/>
      <c r="V1298" s="11"/>
      <c r="W1298" s="11"/>
      <c r="X1298" s="11"/>
      <c r="Y1298" s="11"/>
      <c r="Z1298" s="11"/>
      <c r="AA1298" s="11"/>
    </row>
    <row r="1299" ht="15.75" customHeight="1">
      <c r="A1299" s="737">
        <f t="shared" si="379"/>
        <v>0</v>
      </c>
      <c r="B1299" s="737">
        <f>A1299/'Orbit Info'!$G$10</f>
        <v>0</v>
      </c>
      <c r="C1299" s="737" t="str">
        <f t="shared" si="380"/>
        <v>Housekeeping and events only</v>
      </c>
      <c r="D1299" s="737">
        <f t="shared" si="381"/>
        <v>1</v>
      </c>
      <c r="E1299" s="737" t="str">
        <f t="shared" si="382"/>
        <v>#VALUE!</v>
      </c>
      <c r="F1299" s="737">
        <v>1.0</v>
      </c>
      <c r="G1299" s="737" t="str">
        <f t="shared" si="383"/>
        <v>#VALUE!</v>
      </c>
      <c r="H1299" s="737" t="str">
        <f>MIN($Q$11/('Orbit Info'!G$10),$Q$8*60)</f>
        <v>#VALUE!</v>
      </c>
      <c r="I1299" s="737" t="str">
        <f>IF(D1299=1,$Q$12/'Data DownlinkStorage Budget'!$M$3,0)</f>
        <v>#VALUE!</v>
      </c>
      <c r="J1299" s="737" t="str">
        <f t="shared" si="384"/>
        <v>#VALUE!</v>
      </c>
      <c r="K1299" s="11"/>
      <c r="L1299" s="737" t="str">
        <f t="shared" si="385"/>
        <v>FOUND product plus housekeeping</v>
      </c>
      <c r="M1299" s="737" t="str">
        <f>MIN($Q$18,$Q$10*60)-IF(D1299=1,$Q$17/'Data DownlinkStorage Budget'!$M$3,0)</f>
        <v>#VALUE!</v>
      </c>
      <c r="N1299" s="182"/>
      <c r="O1299" s="737" t="str">
        <f t="shared" si="386"/>
        <v>#VALUE!</v>
      </c>
      <c r="P1299" s="11"/>
      <c r="Q1299" s="11"/>
      <c r="R1299" s="11"/>
      <c r="S1299" s="11"/>
      <c r="T1299" s="11"/>
      <c r="U1299" s="11"/>
      <c r="V1299" s="11"/>
      <c r="W1299" s="11"/>
      <c r="X1299" s="11"/>
      <c r="Y1299" s="11"/>
      <c r="Z1299" s="11"/>
      <c r="AA1299" s="11"/>
    </row>
    <row r="1300" ht="15.75" customHeight="1">
      <c r="A1300" s="737">
        <f t="shared" si="379"/>
        <v>0</v>
      </c>
      <c r="B1300" s="737">
        <f>A1300/'Orbit Info'!$G$10</f>
        <v>0</v>
      </c>
      <c r="C1300" s="737" t="str">
        <f t="shared" si="380"/>
        <v>Housekeeping and events only</v>
      </c>
      <c r="D1300" s="737">
        <f t="shared" si="381"/>
        <v>1</v>
      </c>
      <c r="E1300" s="737" t="str">
        <f t="shared" si="382"/>
        <v>#VALUE!</v>
      </c>
      <c r="F1300" s="737">
        <v>1.0</v>
      </c>
      <c r="G1300" s="737" t="str">
        <f t="shared" si="383"/>
        <v>#VALUE!</v>
      </c>
      <c r="H1300" s="737" t="str">
        <f>MIN($Q$11/('Orbit Info'!G$10),$Q$8*60)</f>
        <v>#VALUE!</v>
      </c>
      <c r="I1300" s="737" t="str">
        <f>IF(D1300=1,$Q$12/'Data DownlinkStorage Budget'!$M$3,0)</f>
        <v>#VALUE!</v>
      </c>
      <c r="J1300" s="737" t="str">
        <f t="shared" si="384"/>
        <v>#VALUE!</v>
      </c>
      <c r="K1300" s="11"/>
      <c r="L1300" s="737" t="str">
        <f t="shared" si="385"/>
        <v>FOUND product plus housekeeping</v>
      </c>
      <c r="M1300" s="737" t="str">
        <f>MIN($Q$18,$Q$10*60)-IF(D1300=1,$Q$17/'Data DownlinkStorage Budget'!$M$3,0)</f>
        <v>#VALUE!</v>
      </c>
      <c r="N1300" s="182"/>
      <c r="O1300" s="737" t="str">
        <f t="shared" si="386"/>
        <v>#VALUE!</v>
      </c>
      <c r="P1300" s="11"/>
      <c r="Q1300" s="11"/>
      <c r="R1300" s="11"/>
      <c r="S1300" s="11"/>
      <c r="T1300" s="11"/>
      <c r="U1300" s="11"/>
      <c r="V1300" s="11"/>
      <c r="W1300" s="11"/>
      <c r="X1300" s="11"/>
      <c r="Y1300" s="11"/>
      <c r="Z1300" s="11"/>
      <c r="AA1300" s="11"/>
    </row>
    <row r="1301" ht="15.75" customHeight="1">
      <c r="A1301" s="737">
        <f t="shared" si="379"/>
        <v>0</v>
      </c>
      <c r="B1301" s="737">
        <f>A1301/'Orbit Info'!$G$10</f>
        <v>0</v>
      </c>
      <c r="C1301" s="737" t="str">
        <f t="shared" si="380"/>
        <v>Housekeeping and events only</v>
      </c>
      <c r="D1301" s="737">
        <f t="shared" si="381"/>
        <v>1</v>
      </c>
      <c r="E1301" s="737" t="str">
        <f t="shared" si="382"/>
        <v>#VALUE!</v>
      </c>
      <c r="F1301" s="737">
        <v>1.0</v>
      </c>
      <c r="G1301" s="737" t="str">
        <f t="shared" si="383"/>
        <v>#VALUE!</v>
      </c>
      <c r="H1301" s="737" t="str">
        <f>MIN($Q$11/('Orbit Info'!G$10),$Q$8*60)</f>
        <v>#VALUE!</v>
      </c>
      <c r="I1301" s="737" t="str">
        <f>IF(D1301=1,$Q$12/'Data DownlinkStorage Budget'!$M$3,0)</f>
        <v>#VALUE!</v>
      </c>
      <c r="J1301" s="737" t="str">
        <f t="shared" si="384"/>
        <v>#VALUE!</v>
      </c>
      <c r="K1301" s="11"/>
      <c r="L1301" s="737" t="str">
        <f t="shared" si="385"/>
        <v>FOUND product plus housekeeping</v>
      </c>
      <c r="M1301" s="737" t="str">
        <f>MIN($Q$18,$Q$10*60)-IF(D1301=1,$Q$17/'Data DownlinkStorage Budget'!$M$3,0)</f>
        <v>#VALUE!</v>
      </c>
      <c r="N1301" s="182"/>
      <c r="O1301" s="737" t="str">
        <f t="shared" si="386"/>
        <v>#VALUE!</v>
      </c>
      <c r="P1301" s="11"/>
      <c r="Q1301" s="11"/>
      <c r="R1301" s="11"/>
      <c r="S1301" s="11"/>
      <c r="T1301" s="11"/>
      <c r="U1301" s="11"/>
      <c r="V1301" s="11"/>
      <c r="W1301" s="11"/>
      <c r="X1301" s="11"/>
      <c r="Y1301" s="11"/>
      <c r="Z1301" s="11"/>
      <c r="AA1301" s="11"/>
    </row>
    <row r="1302" ht="15.75" customHeight="1">
      <c r="A1302" s="737">
        <f t="shared" si="379"/>
        <v>0</v>
      </c>
      <c r="B1302" s="737">
        <f>A1302/'Orbit Info'!$G$10</f>
        <v>0</v>
      </c>
      <c r="C1302" s="737" t="str">
        <f t="shared" si="380"/>
        <v>Housekeeping and events only</v>
      </c>
      <c r="D1302" s="737">
        <f t="shared" si="381"/>
        <v>1</v>
      </c>
      <c r="E1302" s="737" t="str">
        <f t="shared" si="382"/>
        <v>#VALUE!</v>
      </c>
      <c r="F1302" s="737">
        <v>1.0</v>
      </c>
      <c r="G1302" s="737" t="str">
        <f t="shared" si="383"/>
        <v>#VALUE!</v>
      </c>
      <c r="H1302" s="737" t="str">
        <f>MIN($Q$11/('Orbit Info'!G$10),$Q$8*60)</f>
        <v>#VALUE!</v>
      </c>
      <c r="I1302" s="737" t="str">
        <f>IF(D1302=1,$Q$12/'Data DownlinkStorage Budget'!$M$3,0)</f>
        <v>#VALUE!</v>
      </c>
      <c r="J1302" s="737" t="str">
        <f t="shared" si="384"/>
        <v>#VALUE!</v>
      </c>
      <c r="K1302" s="11"/>
      <c r="L1302" s="737" t="str">
        <f t="shared" si="385"/>
        <v>FOUND product plus housekeeping</v>
      </c>
      <c r="M1302" s="737" t="str">
        <f>MIN($Q$18,$Q$10*60)-IF(D1302=1,$Q$17/'Data DownlinkStorage Budget'!$M$3,0)</f>
        <v>#VALUE!</v>
      </c>
      <c r="N1302" s="182"/>
      <c r="O1302" s="737" t="str">
        <f t="shared" si="386"/>
        <v>#VALUE!</v>
      </c>
      <c r="P1302" s="11"/>
      <c r="Q1302" s="11"/>
      <c r="R1302" s="11"/>
      <c r="S1302" s="11"/>
      <c r="T1302" s="11"/>
      <c r="U1302" s="11"/>
      <c r="V1302" s="11"/>
      <c r="W1302" s="11"/>
      <c r="X1302" s="11"/>
      <c r="Y1302" s="11"/>
      <c r="Z1302" s="11"/>
      <c r="AA1302" s="11"/>
    </row>
    <row r="1303" ht="15.75" customHeight="1">
      <c r="A1303" s="737">
        <f t="shared" si="379"/>
        <v>0</v>
      </c>
      <c r="B1303" s="737">
        <f>A1303/'Orbit Info'!$G$10</f>
        <v>0</v>
      </c>
      <c r="C1303" s="737" t="str">
        <f t="shared" si="380"/>
        <v>Housekeeping and events only</v>
      </c>
      <c r="D1303" s="737">
        <f t="shared" si="381"/>
        <v>1</v>
      </c>
      <c r="E1303" s="737" t="str">
        <f t="shared" si="382"/>
        <v>#VALUE!</v>
      </c>
      <c r="F1303" s="737">
        <v>1.0</v>
      </c>
      <c r="G1303" s="737" t="str">
        <f t="shared" si="383"/>
        <v>#VALUE!</v>
      </c>
      <c r="H1303" s="737" t="str">
        <f>MIN($Q$11/('Orbit Info'!G$10),$Q$8*60)</f>
        <v>#VALUE!</v>
      </c>
      <c r="I1303" s="737" t="str">
        <f>IF(D1303=1,$Q$12/'Data DownlinkStorage Budget'!$M$3,0)</f>
        <v>#VALUE!</v>
      </c>
      <c r="J1303" s="737" t="str">
        <f t="shared" si="384"/>
        <v>#VALUE!</v>
      </c>
      <c r="K1303" s="11"/>
      <c r="L1303" s="737" t="str">
        <f t="shared" si="385"/>
        <v>FOUND product plus housekeeping</v>
      </c>
      <c r="M1303" s="737" t="str">
        <f>MIN($Q$18,$Q$10*60)-IF(D1303=1,$Q$17/'Data DownlinkStorage Budget'!$M$3,0)</f>
        <v>#VALUE!</v>
      </c>
      <c r="N1303" s="182"/>
      <c r="O1303" s="737" t="str">
        <f t="shared" si="386"/>
        <v>#VALUE!</v>
      </c>
      <c r="P1303" s="11"/>
      <c r="Q1303" s="11"/>
      <c r="R1303" s="11"/>
      <c r="S1303" s="11"/>
      <c r="T1303" s="11"/>
      <c r="U1303" s="11"/>
      <c r="V1303" s="11"/>
      <c r="W1303" s="11"/>
      <c r="X1303" s="11"/>
      <c r="Y1303" s="11"/>
      <c r="Z1303" s="11"/>
      <c r="AA1303" s="11"/>
    </row>
    <row r="1304" ht="15.75" customHeight="1">
      <c r="A1304" s="737">
        <f t="shared" si="379"/>
        <v>0</v>
      </c>
      <c r="B1304" s="737">
        <f>A1304/'Orbit Info'!$G$10</f>
        <v>0</v>
      </c>
      <c r="C1304" s="737" t="str">
        <f t="shared" si="380"/>
        <v>Housekeeping and events only</v>
      </c>
      <c r="D1304" s="737">
        <f t="shared" si="381"/>
        <v>1</v>
      </c>
      <c r="E1304" s="737" t="str">
        <f t="shared" si="382"/>
        <v>#VALUE!</v>
      </c>
      <c r="F1304" s="737">
        <v>1.0</v>
      </c>
      <c r="G1304" s="737" t="str">
        <f t="shared" si="383"/>
        <v>#VALUE!</v>
      </c>
      <c r="H1304" s="737" t="str">
        <f>MIN($Q$11/('Orbit Info'!G$10),$Q$8*60)</f>
        <v>#VALUE!</v>
      </c>
      <c r="I1304" s="737" t="str">
        <f>IF(D1304=1,$Q$12/'Data DownlinkStorage Budget'!$M$3,0)</f>
        <v>#VALUE!</v>
      </c>
      <c r="J1304" s="737" t="str">
        <f t="shared" si="384"/>
        <v>#VALUE!</v>
      </c>
      <c r="K1304" s="11"/>
      <c r="L1304" s="737" t="str">
        <f t="shared" si="385"/>
        <v>FOUND product plus housekeeping</v>
      </c>
      <c r="M1304" s="737" t="str">
        <f>MIN($Q$18,$Q$10*60)-IF(D1304=1,$Q$17/'Data DownlinkStorage Budget'!$M$3,0)</f>
        <v>#VALUE!</v>
      </c>
      <c r="N1304" s="182"/>
      <c r="O1304" s="737" t="str">
        <f t="shared" si="386"/>
        <v>#VALUE!</v>
      </c>
      <c r="P1304" s="11"/>
      <c r="Q1304" s="11"/>
      <c r="R1304" s="11"/>
      <c r="S1304" s="11"/>
      <c r="T1304" s="11"/>
      <c r="U1304" s="11"/>
      <c r="V1304" s="11"/>
      <c r="W1304" s="11"/>
      <c r="X1304" s="11"/>
      <c r="Y1304" s="11"/>
      <c r="Z1304" s="11"/>
      <c r="AA1304" s="11"/>
    </row>
    <row r="1305" ht="15.75" customHeight="1">
      <c r="A1305" s="737">
        <f t="shared" si="379"/>
        <v>0</v>
      </c>
      <c r="B1305" s="737">
        <f>A1305/'Orbit Info'!$G$10</f>
        <v>0</v>
      </c>
      <c r="C1305" s="737" t="str">
        <f t="shared" si="380"/>
        <v>Housekeeping and events only</v>
      </c>
      <c r="D1305" s="737">
        <f t="shared" si="381"/>
        <v>1</v>
      </c>
      <c r="E1305" s="737" t="str">
        <f t="shared" si="382"/>
        <v>#VALUE!</v>
      </c>
      <c r="F1305" s="737">
        <v>1.0</v>
      </c>
      <c r="G1305" s="737" t="str">
        <f t="shared" si="383"/>
        <v>#VALUE!</v>
      </c>
      <c r="H1305" s="737" t="str">
        <f>MIN($Q$11/('Orbit Info'!G$10),$Q$8*60)</f>
        <v>#VALUE!</v>
      </c>
      <c r="I1305" s="737" t="str">
        <f>IF(D1305=1,$Q$12/'Data DownlinkStorage Budget'!$M$3,0)</f>
        <v>#VALUE!</v>
      </c>
      <c r="J1305" s="737" t="str">
        <f t="shared" si="384"/>
        <v>#VALUE!</v>
      </c>
      <c r="K1305" s="11"/>
      <c r="L1305" s="737" t="str">
        <f t="shared" si="385"/>
        <v>FOUND product plus housekeeping</v>
      </c>
      <c r="M1305" s="737" t="str">
        <f>MIN($Q$18,$Q$10*60)-IF(D1305=1,$Q$17/'Data DownlinkStorage Budget'!$M$3,0)</f>
        <v>#VALUE!</v>
      </c>
      <c r="N1305" s="182"/>
      <c r="O1305" s="737" t="str">
        <f t="shared" si="386"/>
        <v>#VALUE!</v>
      </c>
      <c r="P1305" s="11"/>
      <c r="Q1305" s="11"/>
      <c r="R1305" s="11"/>
      <c r="S1305" s="11"/>
      <c r="T1305" s="11"/>
      <c r="U1305" s="11"/>
      <c r="V1305" s="11"/>
      <c r="W1305" s="11"/>
      <c r="X1305" s="11"/>
      <c r="Y1305" s="11"/>
      <c r="Z1305" s="11"/>
      <c r="AA1305" s="11"/>
    </row>
    <row r="1306" ht="15.75" customHeight="1">
      <c r="A1306" s="737">
        <f t="shared" si="379"/>
        <v>0</v>
      </c>
      <c r="B1306" s="737">
        <f>A1306/'Orbit Info'!$G$10</f>
        <v>0</v>
      </c>
      <c r="C1306" s="737" t="str">
        <f t="shared" si="380"/>
        <v>Housekeeping and events only</v>
      </c>
      <c r="D1306" s="737">
        <f t="shared" si="381"/>
        <v>1</v>
      </c>
      <c r="E1306" s="737" t="str">
        <f t="shared" si="382"/>
        <v>#VALUE!</v>
      </c>
      <c r="F1306" s="737">
        <v>1.0</v>
      </c>
      <c r="G1306" s="737" t="str">
        <f t="shared" si="383"/>
        <v>#VALUE!</v>
      </c>
      <c r="H1306" s="737" t="str">
        <f>MIN($Q$11/('Orbit Info'!G$10),$Q$8*60)</f>
        <v>#VALUE!</v>
      </c>
      <c r="I1306" s="737" t="str">
        <f>IF(D1306=1,$Q$12/'Data DownlinkStorage Budget'!$M$3,0)</f>
        <v>#VALUE!</v>
      </c>
      <c r="J1306" s="737" t="str">
        <f t="shared" si="384"/>
        <v>#VALUE!</v>
      </c>
      <c r="K1306" s="11"/>
      <c r="L1306" s="737" t="str">
        <f t="shared" si="385"/>
        <v>FOUND product plus housekeeping</v>
      </c>
      <c r="M1306" s="737" t="str">
        <f>MIN($Q$18,$Q$10*60)-IF(D1306=1,$Q$17/'Data DownlinkStorage Budget'!$M$3,0)</f>
        <v>#VALUE!</v>
      </c>
      <c r="N1306" s="182"/>
      <c r="O1306" s="737" t="str">
        <f t="shared" si="386"/>
        <v>#VALUE!</v>
      </c>
      <c r="P1306" s="11"/>
      <c r="Q1306" s="11"/>
      <c r="R1306" s="11"/>
      <c r="S1306" s="11"/>
      <c r="T1306" s="11"/>
      <c r="U1306" s="11"/>
      <c r="V1306" s="11"/>
      <c r="W1306" s="11"/>
      <c r="X1306" s="11"/>
      <c r="Y1306" s="11"/>
      <c r="Z1306" s="11"/>
      <c r="AA1306" s="11"/>
    </row>
    <row r="1307" ht="15.75" customHeight="1">
      <c r="A1307" s="737">
        <f t="shared" si="379"/>
        <v>0</v>
      </c>
      <c r="B1307" s="737">
        <f>A1307/'Orbit Info'!$G$10</f>
        <v>0</v>
      </c>
      <c r="C1307" s="737" t="str">
        <f t="shared" si="380"/>
        <v>Housekeeping and events only</v>
      </c>
      <c r="D1307" s="737">
        <f t="shared" si="381"/>
        <v>1</v>
      </c>
      <c r="E1307" s="737" t="str">
        <f t="shared" si="382"/>
        <v>#VALUE!</v>
      </c>
      <c r="F1307" s="737">
        <v>1.0</v>
      </c>
      <c r="G1307" s="737" t="str">
        <f t="shared" si="383"/>
        <v>#VALUE!</v>
      </c>
      <c r="H1307" s="737" t="str">
        <f>MIN($Q$11/('Orbit Info'!G$10),$Q$8*60)</f>
        <v>#VALUE!</v>
      </c>
      <c r="I1307" s="737" t="str">
        <f>IF(D1307=1,$Q$12/'Data DownlinkStorage Budget'!$M$3,0)</f>
        <v>#VALUE!</v>
      </c>
      <c r="J1307" s="737" t="str">
        <f t="shared" si="384"/>
        <v>#VALUE!</v>
      </c>
      <c r="K1307" s="11"/>
      <c r="L1307" s="737" t="str">
        <f t="shared" si="385"/>
        <v>FOUND product plus housekeeping</v>
      </c>
      <c r="M1307" s="737" t="str">
        <f>MIN($Q$18,$Q$10*60)-IF(D1307=1,$Q$17/'Data DownlinkStorage Budget'!$M$3,0)</f>
        <v>#VALUE!</v>
      </c>
      <c r="N1307" s="182"/>
      <c r="O1307" s="737" t="str">
        <f t="shared" si="386"/>
        <v>#VALUE!</v>
      </c>
      <c r="P1307" s="11"/>
      <c r="Q1307" s="11"/>
      <c r="R1307" s="11"/>
      <c r="S1307" s="11"/>
      <c r="T1307" s="11"/>
      <c r="U1307" s="11"/>
      <c r="V1307" s="11"/>
      <c r="W1307" s="11"/>
      <c r="X1307" s="11"/>
      <c r="Y1307" s="11"/>
      <c r="Z1307" s="11"/>
      <c r="AA1307" s="11"/>
    </row>
    <row r="1308" ht="15.75" customHeight="1">
      <c r="A1308" s="737">
        <f t="shared" si="379"/>
        <v>0</v>
      </c>
      <c r="B1308" s="737">
        <f>A1308/'Orbit Info'!$G$10</f>
        <v>0</v>
      </c>
      <c r="C1308" s="737" t="str">
        <f t="shared" si="380"/>
        <v>Housekeeping and events only</v>
      </c>
      <c r="D1308" s="737">
        <f t="shared" si="381"/>
        <v>1</v>
      </c>
      <c r="E1308" s="737" t="str">
        <f t="shared" si="382"/>
        <v>#VALUE!</v>
      </c>
      <c r="F1308" s="737">
        <v>1.0</v>
      </c>
      <c r="G1308" s="737" t="str">
        <f t="shared" si="383"/>
        <v>#VALUE!</v>
      </c>
      <c r="H1308" s="737" t="str">
        <f>MIN($Q$11/('Orbit Info'!G$10),$Q$8*60)</f>
        <v>#VALUE!</v>
      </c>
      <c r="I1308" s="737" t="str">
        <f>IF(D1308=1,$Q$12/'Data DownlinkStorage Budget'!$M$3,0)</f>
        <v>#VALUE!</v>
      </c>
      <c r="J1308" s="737" t="str">
        <f t="shared" si="384"/>
        <v>#VALUE!</v>
      </c>
      <c r="K1308" s="11"/>
      <c r="L1308" s="737" t="str">
        <f t="shared" si="385"/>
        <v>FOUND product plus housekeeping</v>
      </c>
      <c r="M1308" s="737" t="str">
        <f>MIN($Q$18,$Q$10*60)-IF(D1308=1,$Q$17/'Data DownlinkStorage Budget'!$M$3,0)</f>
        <v>#VALUE!</v>
      </c>
      <c r="N1308" s="182"/>
      <c r="O1308" s="737" t="str">
        <f t="shared" si="386"/>
        <v>#VALUE!</v>
      </c>
      <c r="P1308" s="11"/>
      <c r="Q1308" s="11"/>
      <c r="R1308" s="11"/>
      <c r="S1308" s="11"/>
      <c r="T1308" s="11"/>
      <c r="U1308" s="11"/>
      <c r="V1308" s="11"/>
      <c r="W1308" s="11"/>
      <c r="X1308" s="11"/>
      <c r="Y1308" s="11"/>
      <c r="Z1308" s="11"/>
      <c r="AA1308" s="11"/>
    </row>
    <row r="1309" ht="15.75" customHeight="1">
      <c r="A1309" s="737">
        <f t="shared" si="379"/>
        <v>0</v>
      </c>
      <c r="B1309" s="737">
        <f>A1309/'Orbit Info'!$G$10</f>
        <v>0</v>
      </c>
      <c r="C1309" s="737" t="str">
        <f t="shared" si="380"/>
        <v>Housekeeping and events only</v>
      </c>
      <c r="D1309" s="737">
        <f t="shared" si="381"/>
        <v>1</v>
      </c>
      <c r="E1309" s="737" t="str">
        <f t="shared" si="382"/>
        <v>#VALUE!</v>
      </c>
      <c r="F1309" s="737">
        <v>1.0</v>
      </c>
      <c r="G1309" s="737" t="str">
        <f t="shared" si="383"/>
        <v>#VALUE!</v>
      </c>
      <c r="H1309" s="737" t="str">
        <f>MIN($Q$11/('Orbit Info'!G$10),$Q$8*60)</f>
        <v>#VALUE!</v>
      </c>
      <c r="I1309" s="737" t="str">
        <f>IF(D1309=1,$Q$12/'Data DownlinkStorage Budget'!$M$3,0)</f>
        <v>#VALUE!</v>
      </c>
      <c r="J1309" s="737" t="str">
        <f t="shared" si="384"/>
        <v>#VALUE!</v>
      </c>
      <c r="K1309" s="11"/>
      <c r="L1309" s="737" t="str">
        <f t="shared" si="385"/>
        <v>FOUND product plus housekeeping</v>
      </c>
      <c r="M1309" s="737" t="str">
        <f>MIN($Q$18,$Q$10*60)-IF(D1309=1,$Q$17/'Data DownlinkStorage Budget'!$M$3,0)</f>
        <v>#VALUE!</v>
      </c>
      <c r="N1309" s="182"/>
      <c r="O1309" s="737" t="str">
        <f t="shared" si="386"/>
        <v>#VALUE!</v>
      </c>
      <c r="P1309" s="11"/>
      <c r="Q1309" s="11"/>
      <c r="R1309" s="11"/>
      <c r="S1309" s="11"/>
      <c r="T1309" s="11"/>
      <c r="U1309" s="11"/>
      <c r="V1309" s="11"/>
      <c r="W1309" s="11"/>
      <c r="X1309" s="11"/>
      <c r="Y1309" s="11"/>
      <c r="Z1309" s="11"/>
      <c r="AA1309" s="11"/>
    </row>
    <row r="1310" ht="15.75" customHeight="1">
      <c r="A1310" s="737">
        <f t="shared" si="379"/>
        <v>0</v>
      </c>
      <c r="B1310" s="737">
        <f>A1310/'Orbit Info'!$G$10</f>
        <v>0</v>
      </c>
      <c r="C1310" s="737" t="str">
        <f t="shared" si="380"/>
        <v>Housekeeping and events only</v>
      </c>
      <c r="D1310" s="737">
        <f t="shared" si="381"/>
        <v>1</v>
      </c>
      <c r="E1310" s="737" t="str">
        <f t="shared" si="382"/>
        <v>#VALUE!</v>
      </c>
      <c r="F1310" s="737">
        <v>1.0</v>
      </c>
      <c r="G1310" s="737" t="str">
        <f t="shared" si="383"/>
        <v>#VALUE!</v>
      </c>
      <c r="H1310" s="737" t="str">
        <f>MIN($Q$11/('Orbit Info'!G$10),$Q$8*60)</f>
        <v>#VALUE!</v>
      </c>
      <c r="I1310" s="737" t="str">
        <f>IF(D1310=1,$Q$12/'Data DownlinkStorage Budget'!$M$3,0)</f>
        <v>#VALUE!</v>
      </c>
      <c r="J1310" s="737" t="str">
        <f t="shared" si="384"/>
        <v>#VALUE!</v>
      </c>
      <c r="K1310" s="11"/>
      <c r="L1310" s="737" t="str">
        <f t="shared" si="385"/>
        <v>FOUND product plus housekeeping</v>
      </c>
      <c r="M1310" s="737" t="str">
        <f>MIN($Q$18,$Q$10*60)-IF(D1310=1,$Q$17/'Data DownlinkStorage Budget'!$M$3,0)</f>
        <v>#VALUE!</v>
      </c>
      <c r="N1310" s="182"/>
      <c r="O1310" s="737" t="str">
        <f t="shared" si="386"/>
        <v>#VALUE!</v>
      </c>
      <c r="P1310" s="11"/>
      <c r="Q1310" s="11"/>
      <c r="R1310" s="11"/>
      <c r="S1310" s="11"/>
      <c r="T1310" s="11"/>
      <c r="U1310" s="11"/>
      <c r="V1310" s="11"/>
      <c r="W1310" s="11"/>
      <c r="X1310" s="11"/>
      <c r="Y1310" s="11"/>
      <c r="Z1310" s="11"/>
      <c r="AA1310" s="11"/>
    </row>
    <row r="1311" ht="15.75" customHeight="1">
      <c r="A1311" s="737">
        <f t="shared" si="379"/>
        <v>0</v>
      </c>
      <c r="B1311" s="737">
        <f>A1311/'Orbit Info'!$G$10</f>
        <v>0</v>
      </c>
      <c r="C1311" s="737" t="str">
        <f t="shared" si="380"/>
        <v>Housekeeping and events only</v>
      </c>
      <c r="D1311" s="737">
        <f t="shared" si="381"/>
        <v>1</v>
      </c>
      <c r="E1311" s="737" t="str">
        <f t="shared" si="382"/>
        <v>#VALUE!</v>
      </c>
      <c r="F1311" s="737">
        <v>1.0</v>
      </c>
      <c r="G1311" s="737" t="str">
        <f t="shared" si="383"/>
        <v>#VALUE!</v>
      </c>
      <c r="H1311" s="737" t="str">
        <f>MIN($Q$11/('Orbit Info'!G$10),$Q$8*60)</f>
        <v>#VALUE!</v>
      </c>
      <c r="I1311" s="737" t="str">
        <f>IF(D1311=1,$Q$12/'Data DownlinkStorage Budget'!$M$3,0)</f>
        <v>#VALUE!</v>
      </c>
      <c r="J1311" s="737" t="str">
        <f t="shared" si="384"/>
        <v>#VALUE!</v>
      </c>
      <c r="K1311" s="11"/>
      <c r="L1311" s="737" t="str">
        <f t="shared" si="385"/>
        <v>FOUND product plus housekeeping</v>
      </c>
      <c r="M1311" s="737" t="str">
        <f>MIN($Q$18,$Q$10*60)-IF(D1311=1,$Q$17/'Data DownlinkStorage Budget'!$M$3,0)</f>
        <v>#VALUE!</v>
      </c>
      <c r="N1311" s="182"/>
      <c r="O1311" s="737" t="str">
        <f t="shared" si="386"/>
        <v>#VALUE!</v>
      </c>
      <c r="P1311" s="11"/>
      <c r="Q1311" s="11"/>
      <c r="R1311" s="11"/>
      <c r="S1311" s="11"/>
      <c r="T1311" s="11"/>
      <c r="U1311" s="11"/>
      <c r="V1311" s="11"/>
      <c r="W1311" s="11"/>
      <c r="X1311" s="11"/>
      <c r="Y1311" s="11"/>
      <c r="Z1311" s="11"/>
      <c r="AA1311" s="11"/>
    </row>
    <row r="1312" ht="15.75" customHeight="1">
      <c r="A1312" s="737">
        <f t="shared" si="379"/>
        <v>0</v>
      </c>
      <c r="B1312" s="737">
        <f>A1312/'Orbit Info'!$G$10</f>
        <v>0</v>
      </c>
      <c r="C1312" s="737" t="str">
        <f t="shared" si="380"/>
        <v>Housekeeping and events only</v>
      </c>
      <c r="D1312" s="737">
        <f t="shared" si="381"/>
        <v>1</v>
      </c>
      <c r="E1312" s="737" t="str">
        <f t="shared" si="382"/>
        <v>#VALUE!</v>
      </c>
      <c r="F1312" s="737">
        <v>1.0</v>
      </c>
      <c r="G1312" s="737" t="str">
        <f t="shared" si="383"/>
        <v>#VALUE!</v>
      </c>
      <c r="H1312" s="737" t="str">
        <f>MIN($Q$11/('Orbit Info'!G$10),$Q$8*60)</f>
        <v>#VALUE!</v>
      </c>
      <c r="I1312" s="737" t="str">
        <f>IF(D1312=1,$Q$12/'Data DownlinkStorage Budget'!$M$3,0)</f>
        <v>#VALUE!</v>
      </c>
      <c r="J1312" s="737" t="str">
        <f t="shared" si="384"/>
        <v>#VALUE!</v>
      </c>
      <c r="K1312" s="11"/>
      <c r="L1312" s="737" t="str">
        <f t="shared" si="385"/>
        <v>FOUND product plus housekeeping</v>
      </c>
      <c r="M1312" s="737" t="str">
        <f>MIN($Q$18,$Q$10*60)-IF(D1312=1,$Q$17/'Data DownlinkStorage Budget'!$M$3,0)</f>
        <v>#VALUE!</v>
      </c>
      <c r="N1312" s="182"/>
      <c r="O1312" s="737" t="str">
        <f t="shared" si="386"/>
        <v>#VALUE!</v>
      </c>
      <c r="P1312" s="11"/>
      <c r="Q1312" s="11"/>
      <c r="R1312" s="11"/>
      <c r="S1312" s="11"/>
      <c r="T1312" s="11"/>
      <c r="U1312" s="11"/>
      <c r="V1312" s="11"/>
      <c r="W1312" s="11"/>
      <c r="X1312" s="11"/>
      <c r="Y1312" s="11"/>
      <c r="Z1312" s="11"/>
      <c r="AA1312" s="11"/>
    </row>
    <row r="1313" ht="15.75" customHeight="1">
      <c r="A1313" s="737">
        <f t="shared" si="379"/>
        <v>0</v>
      </c>
      <c r="B1313" s="737">
        <f>A1313/'Orbit Info'!$G$10</f>
        <v>0</v>
      </c>
      <c r="C1313" s="737" t="str">
        <f t="shared" si="380"/>
        <v>Housekeeping and events only</v>
      </c>
      <c r="D1313" s="737">
        <f t="shared" si="381"/>
        <v>1</v>
      </c>
      <c r="E1313" s="737" t="str">
        <f t="shared" si="382"/>
        <v>#VALUE!</v>
      </c>
      <c r="F1313" s="737">
        <v>1.0</v>
      </c>
      <c r="G1313" s="737" t="str">
        <f t="shared" si="383"/>
        <v>#VALUE!</v>
      </c>
      <c r="H1313" s="737" t="str">
        <f>MIN($Q$11/('Orbit Info'!G$10),$Q$8*60)</f>
        <v>#VALUE!</v>
      </c>
      <c r="I1313" s="737" t="str">
        <f>IF(D1313=1,$Q$12/'Data DownlinkStorage Budget'!$M$3,0)</f>
        <v>#VALUE!</v>
      </c>
      <c r="J1313" s="737" t="str">
        <f t="shared" si="384"/>
        <v>#VALUE!</v>
      </c>
      <c r="K1313" s="11"/>
      <c r="L1313" s="737" t="str">
        <f t="shared" si="385"/>
        <v>FOUND product plus housekeeping</v>
      </c>
      <c r="M1313" s="737" t="str">
        <f>MIN($Q$18,$Q$10*60)-IF(D1313=1,$Q$17/'Data DownlinkStorage Budget'!$M$3,0)</f>
        <v>#VALUE!</v>
      </c>
      <c r="N1313" s="182"/>
      <c r="O1313" s="737" t="str">
        <f t="shared" si="386"/>
        <v>#VALUE!</v>
      </c>
      <c r="P1313" s="11"/>
      <c r="Q1313" s="11"/>
      <c r="R1313" s="11"/>
      <c r="S1313" s="11"/>
      <c r="T1313" s="11"/>
      <c r="U1313" s="11"/>
      <c r="V1313" s="11"/>
      <c r="W1313" s="11"/>
      <c r="X1313" s="11"/>
      <c r="Y1313" s="11"/>
      <c r="Z1313" s="11"/>
      <c r="AA1313" s="11"/>
    </row>
    <row r="1314" ht="15.75" customHeight="1">
      <c r="A1314" s="737">
        <f t="shared" si="379"/>
        <v>0</v>
      </c>
      <c r="B1314" s="737">
        <f>A1314/'Orbit Info'!$G$10</f>
        <v>0</v>
      </c>
      <c r="C1314" s="737" t="str">
        <f t="shared" si="380"/>
        <v>Housekeeping and events only</v>
      </c>
      <c r="D1314" s="737">
        <f t="shared" si="381"/>
        <v>1</v>
      </c>
      <c r="E1314" s="737" t="str">
        <f t="shared" si="382"/>
        <v>#VALUE!</v>
      </c>
      <c r="F1314" s="737">
        <v>1.0</v>
      </c>
      <c r="G1314" s="737" t="str">
        <f t="shared" si="383"/>
        <v>#VALUE!</v>
      </c>
      <c r="H1314" s="737" t="str">
        <f>MIN($Q$11/('Orbit Info'!G$10),$Q$8*60)</f>
        <v>#VALUE!</v>
      </c>
      <c r="I1314" s="737" t="str">
        <f>IF(D1314=1,$Q$12/'Data DownlinkStorage Budget'!$M$3,0)</f>
        <v>#VALUE!</v>
      </c>
      <c r="J1314" s="737" t="str">
        <f t="shared" si="384"/>
        <v>#VALUE!</v>
      </c>
      <c r="K1314" s="11"/>
      <c r="L1314" s="737" t="str">
        <f t="shared" si="385"/>
        <v>FOUND product plus housekeeping</v>
      </c>
      <c r="M1314" s="737" t="str">
        <f>MIN($Q$18,$Q$10*60)-IF(D1314=1,$Q$17/'Data DownlinkStorage Budget'!$M$3,0)</f>
        <v>#VALUE!</v>
      </c>
      <c r="N1314" s="182"/>
      <c r="O1314" s="737" t="str">
        <f t="shared" si="386"/>
        <v>#VALUE!</v>
      </c>
      <c r="P1314" s="11"/>
      <c r="Q1314" s="11"/>
      <c r="R1314" s="11"/>
      <c r="S1314" s="11"/>
      <c r="T1314" s="11"/>
      <c r="U1314" s="11"/>
      <c r="V1314" s="11"/>
      <c r="W1314" s="11"/>
      <c r="X1314" s="11"/>
      <c r="Y1314" s="11"/>
      <c r="Z1314" s="11"/>
      <c r="AA1314" s="11"/>
    </row>
    <row r="1315" ht="15.75" customHeight="1">
      <c r="A1315" s="737">
        <f t="shared" si="379"/>
        <v>0</v>
      </c>
      <c r="B1315" s="737">
        <f>A1315/'Orbit Info'!$G$10</f>
        <v>0</v>
      </c>
      <c r="C1315" s="737" t="str">
        <f t="shared" si="380"/>
        <v>Housekeeping and events only</v>
      </c>
      <c r="D1315" s="737">
        <f t="shared" si="381"/>
        <v>1</v>
      </c>
      <c r="E1315" s="737" t="str">
        <f t="shared" si="382"/>
        <v>#VALUE!</v>
      </c>
      <c r="F1315" s="737">
        <v>1.0</v>
      </c>
      <c r="G1315" s="737" t="str">
        <f t="shared" si="383"/>
        <v>#VALUE!</v>
      </c>
      <c r="H1315" s="737" t="str">
        <f>MIN($Q$11/('Orbit Info'!G$10),$Q$8*60)</f>
        <v>#VALUE!</v>
      </c>
      <c r="I1315" s="737" t="str">
        <f>IF(D1315=1,$Q$12/'Data DownlinkStorage Budget'!$M$3,0)</f>
        <v>#VALUE!</v>
      </c>
      <c r="J1315" s="737" t="str">
        <f t="shared" si="384"/>
        <v>#VALUE!</v>
      </c>
      <c r="K1315" s="11"/>
      <c r="L1315" s="737" t="str">
        <f t="shared" si="385"/>
        <v>FOUND product plus housekeeping</v>
      </c>
      <c r="M1315" s="737" t="str">
        <f>MIN($Q$18,$Q$10*60)-IF(D1315=1,$Q$17/'Data DownlinkStorage Budget'!$M$3,0)</f>
        <v>#VALUE!</v>
      </c>
      <c r="N1315" s="182"/>
      <c r="O1315" s="737" t="str">
        <f t="shared" si="386"/>
        <v>#VALUE!</v>
      </c>
      <c r="P1315" s="11"/>
      <c r="Q1315" s="11"/>
      <c r="R1315" s="11"/>
      <c r="S1315" s="11"/>
      <c r="T1315" s="11"/>
      <c r="U1315" s="11"/>
      <c r="V1315" s="11"/>
      <c r="W1315" s="11"/>
      <c r="X1315" s="11"/>
      <c r="Y1315" s="11"/>
      <c r="Z1315" s="11"/>
      <c r="AA1315" s="11"/>
    </row>
    <row r="1316" ht="15.75" customHeight="1">
      <c r="A1316" s="737">
        <f t="shared" si="379"/>
        <v>0</v>
      </c>
      <c r="B1316" s="737">
        <f>A1316/'Orbit Info'!$G$10</f>
        <v>0</v>
      </c>
      <c r="C1316" s="737" t="str">
        <f t="shared" si="380"/>
        <v>Housekeeping and events only</v>
      </c>
      <c r="D1316" s="737">
        <f t="shared" si="381"/>
        <v>1</v>
      </c>
      <c r="E1316" s="737" t="str">
        <f t="shared" si="382"/>
        <v>#VALUE!</v>
      </c>
      <c r="F1316" s="737">
        <v>1.0</v>
      </c>
      <c r="G1316" s="737" t="str">
        <f t="shared" si="383"/>
        <v>#VALUE!</v>
      </c>
      <c r="H1316" s="737" t="str">
        <f>MIN($Q$11/('Orbit Info'!G$10),$Q$8*60)</f>
        <v>#VALUE!</v>
      </c>
      <c r="I1316" s="737" t="str">
        <f>IF(D1316=1,$Q$12/'Data DownlinkStorage Budget'!$M$3,0)</f>
        <v>#VALUE!</v>
      </c>
      <c r="J1316" s="737" t="str">
        <f t="shared" si="384"/>
        <v>#VALUE!</v>
      </c>
      <c r="K1316" s="11"/>
      <c r="L1316" s="737" t="str">
        <f t="shared" si="385"/>
        <v>FOUND product plus housekeeping</v>
      </c>
      <c r="M1316" s="737" t="str">
        <f>MIN($Q$18,$Q$10*60)-IF(D1316=1,$Q$17/'Data DownlinkStorage Budget'!$M$3,0)</f>
        <v>#VALUE!</v>
      </c>
      <c r="N1316" s="182"/>
      <c r="O1316" s="737" t="str">
        <f t="shared" si="386"/>
        <v>#VALUE!</v>
      </c>
      <c r="P1316" s="11"/>
      <c r="Q1316" s="11"/>
      <c r="R1316" s="11"/>
      <c r="S1316" s="11"/>
      <c r="T1316" s="11"/>
      <c r="U1316" s="11"/>
      <c r="V1316" s="11"/>
      <c r="W1316" s="11"/>
      <c r="X1316" s="11"/>
      <c r="Y1316" s="11"/>
      <c r="Z1316" s="11"/>
      <c r="AA1316" s="11"/>
    </row>
    <row r="1317" ht="15.75" customHeight="1">
      <c r="A1317" s="737">
        <f t="shared" si="379"/>
        <v>0</v>
      </c>
      <c r="B1317" s="737">
        <f>A1317/'Orbit Info'!$G$10</f>
        <v>0</v>
      </c>
      <c r="C1317" s="737" t="str">
        <f t="shared" si="380"/>
        <v>Housekeeping and events only</v>
      </c>
      <c r="D1317" s="737">
        <f t="shared" si="381"/>
        <v>1</v>
      </c>
      <c r="E1317" s="737" t="str">
        <f t="shared" si="382"/>
        <v>#VALUE!</v>
      </c>
      <c r="F1317" s="737">
        <v>1.0</v>
      </c>
      <c r="G1317" s="737" t="str">
        <f t="shared" si="383"/>
        <v>#VALUE!</v>
      </c>
      <c r="H1317" s="737" t="str">
        <f>MIN($Q$11/('Orbit Info'!G$10),$Q$8*60)</f>
        <v>#VALUE!</v>
      </c>
      <c r="I1317" s="737" t="str">
        <f>IF(D1317=1,$Q$12/'Data DownlinkStorage Budget'!$M$3,0)</f>
        <v>#VALUE!</v>
      </c>
      <c r="J1317" s="737" t="str">
        <f t="shared" si="384"/>
        <v>#VALUE!</v>
      </c>
      <c r="K1317" s="11"/>
      <c r="L1317" s="737" t="str">
        <f t="shared" si="385"/>
        <v>FOUND product plus housekeeping</v>
      </c>
      <c r="M1317" s="737" t="str">
        <f>MIN($Q$18,$Q$10*60)-IF(D1317=1,$Q$17/'Data DownlinkStorage Budget'!$M$3,0)</f>
        <v>#VALUE!</v>
      </c>
      <c r="N1317" s="182"/>
      <c r="O1317" s="737" t="str">
        <f t="shared" si="386"/>
        <v>#VALUE!</v>
      </c>
      <c r="P1317" s="11"/>
      <c r="Q1317" s="11"/>
      <c r="R1317" s="11"/>
      <c r="S1317" s="11"/>
      <c r="T1317" s="11"/>
      <c r="U1317" s="11"/>
      <c r="V1317" s="11"/>
      <c r="W1317" s="11"/>
      <c r="X1317" s="11"/>
      <c r="Y1317" s="11"/>
      <c r="Z1317" s="11"/>
      <c r="AA1317" s="11"/>
    </row>
    <row r="1318" ht="15.75" customHeight="1">
      <c r="A1318" s="737">
        <f t="shared" si="379"/>
        <v>0</v>
      </c>
      <c r="B1318" s="737">
        <f>A1318/'Orbit Info'!$G$10</f>
        <v>0</v>
      </c>
      <c r="C1318" s="737" t="str">
        <f t="shared" si="380"/>
        <v>Housekeeping and events only</v>
      </c>
      <c r="D1318" s="737">
        <f t="shared" si="381"/>
        <v>1</v>
      </c>
      <c r="E1318" s="737" t="str">
        <f t="shared" si="382"/>
        <v>#VALUE!</v>
      </c>
      <c r="F1318" s="737">
        <v>1.0</v>
      </c>
      <c r="G1318" s="737" t="str">
        <f t="shared" si="383"/>
        <v>#VALUE!</v>
      </c>
      <c r="H1318" s="737" t="str">
        <f>MIN($Q$11/('Orbit Info'!G$10),$Q$8*60)</f>
        <v>#VALUE!</v>
      </c>
      <c r="I1318" s="737" t="str">
        <f>IF(D1318=1,$Q$12/'Data DownlinkStorage Budget'!$M$3,0)</f>
        <v>#VALUE!</v>
      </c>
      <c r="J1318" s="737" t="str">
        <f t="shared" si="384"/>
        <v>#VALUE!</v>
      </c>
      <c r="K1318" s="11"/>
      <c r="L1318" s="737" t="str">
        <f t="shared" si="385"/>
        <v>FOUND product plus housekeeping</v>
      </c>
      <c r="M1318" s="737" t="str">
        <f>MIN($Q$18,$Q$10*60)-IF(D1318=1,$Q$17/'Data DownlinkStorage Budget'!$M$3,0)</f>
        <v>#VALUE!</v>
      </c>
      <c r="N1318" s="182"/>
      <c r="O1318" s="737" t="str">
        <f t="shared" si="386"/>
        <v>#VALUE!</v>
      </c>
      <c r="P1318" s="11"/>
      <c r="Q1318" s="11"/>
      <c r="R1318" s="11"/>
      <c r="S1318" s="11"/>
      <c r="T1318" s="11"/>
      <c r="U1318" s="11"/>
      <c r="V1318" s="11"/>
      <c r="W1318" s="11"/>
      <c r="X1318" s="11"/>
      <c r="Y1318" s="11"/>
      <c r="Z1318" s="11"/>
      <c r="AA1318" s="11"/>
    </row>
    <row r="1319" ht="15.75" customHeight="1">
      <c r="A1319" s="737">
        <f t="shared" si="379"/>
        <v>0</v>
      </c>
      <c r="B1319" s="737">
        <f>A1319/'Orbit Info'!$G$10</f>
        <v>0</v>
      </c>
      <c r="C1319" s="737" t="str">
        <f t="shared" si="380"/>
        <v>Housekeeping and events only</v>
      </c>
      <c r="D1319" s="737">
        <f t="shared" si="381"/>
        <v>1</v>
      </c>
      <c r="E1319" s="737" t="str">
        <f t="shared" si="382"/>
        <v>#VALUE!</v>
      </c>
      <c r="F1319" s="737">
        <v>1.0</v>
      </c>
      <c r="G1319" s="737" t="str">
        <f t="shared" si="383"/>
        <v>#VALUE!</v>
      </c>
      <c r="H1319" s="737" t="str">
        <f>MIN($Q$11/('Orbit Info'!G$10),$Q$8*60)</f>
        <v>#VALUE!</v>
      </c>
      <c r="I1319" s="737" t="str">
        <f>IF(D1319=1,$Q$12/'Data DownlinkStorage Budget'!$M$3,0)</f>
        <v>#VALUE!</v>
      </c>
      <c r="J1319" s="737" t="str">
        <f t="shared" si="384"/>
        <v>#VALUE!</v>
      </c>
      <c r="K1319" s="11"/>
      <c r="L1319" s="737" t="str">
        <f t="shared" si="385"/>
        <v>FOUND product plus housekeeping</v>
      </c>
      <c r="M1319" s="737" t="str">
        <f>MIN($Q$18,$Q$10*60)-IF(D1319=1,$Q$17/'Data DownlinkStorage Budget'!$M$3,0)</f>
        <v>#VALUE!</v>
      </c>
      <c r="N1319" s="182"/>
      <c r="O1319" s="737" t="str">
        <f t="shared" si="386"/>
        <v>#VALUE!</v>
      </c>
      <c r="P1319" s="11"/>
      <c r="Q1319" s="11"/>
      <c r="R1319" s="11"/>
      <c r="S1319" s="11"/>
      <c r="T1319" s="11"/>
      <c r="U1319" s="11"/>
      <c r="V1319" s="11"/>
      <c r="W1319" s="11"/>
      <c r="X1319" s="11"/>
      <c r="Y1319" s="11"/>
      <c r="Z1319" s="11"/>
      <c r="AA1319" s="11"/>
    </row>
    <row r="1320" ht="15.75" customHeight="1">
      <c r="A1320" s="737">
        <f t="shared" si="379"/>
        <v>0</v>
      </c>
      <c r="B1320" s="737">
        <f>A1320/'Orbit Info'!$G$10</f>
        <v>0</v>
      </c>
      <c r="C1320" s="737" t="str">
        <f t="shared" si="380"/>
        <v>Housekeeping and events only</v>
      </c>
      <c r="D1320" s="737">
        <f t="shared" si="381"/>
        <v>1</v>
      </c>
      <c r="E1320" s="737" t="str">
        <f t="shared" si="382"/>
        <v>#VALUE!</v>
      </c>
      <c r="F1320" s="737">
        <v>1.0</v>
      </c>
      <c r="G1320" s="737" t="str">
        <f t="shared" si="383"/>
        <v>#VALUE!</v>
      </c>
      <c r="H1320" s="737" t="str">
        <f>MIN($Q$11/('Orbit Info'!G$10),$Q$8*60)</f>
        <v>#VALUE!</v>
      </c>
      <c r="I1320" s="737" t="str">
        <f>IF(D1320=1,$Q$12/'Data DownlinkStorage Budget'!$M$3,0)</f>
        <v>#VALUE!</v>
      </c>
      <c r="J1320" s="737" t="str">
        <f t="shared" si="384"/>
        <v>#VALUE!</v>
      </c>
      <c r="K1320" s="11"/>
      <c r="L1320" s="737" t="str">
        <f t="shared" si="385"/>
        <v>FOUND product plus housekeeping</v>
      </c>
      <c r="M1320" s="737" t="str">
        <f>MIN($Q$18,$Q$10*60)-IF(D1320=1,$Q$17/'Data DownlinkStorage Budget'!$M$3,0)</f>
        <v>#VALUE!</v>
      </c>
      <c r="N1320" s="182"/>
      <c r="O1320" s="737" t="str">
        <f t="shared" si="386"/>
        <v>#VALUE!</v>
      </c>
      <c r="P1320" s="11"/>
      <c r="Q1320" s="11"/>
      <c r="R1320" s="11"/>
      <c r="S1320" s="11"/>
      <c r="T1320" s="11"/>
      <c r="U1320" s="11"/>
      <c r="V1320" s="11"/>
      <c r="W1320" s="11"/>
      <c r="X1320" s="11"/>
      <c r="Y1320" s="11"/>
      <c r="Z1320" s="11"/>
      <c r="AA1320" s="11"/>
    </row>
    <row r="1321" ht="15.75" customHeight="1">
      <c r="A1321" s="737">
        <f t="shared" si="379"/>
        <v>0</v>
      </c>
      <c r="B1321" s="737">
        <f>A1321/'Orbit Info'!$G$10</f>
        <v>0</v>
      </c>
      <c r="C1321" s="737" t="str">
        <f t="shared" si="380"/>
        <v>Housekeeping and events only</v>
      </c>
      <c r="D1321" s="737">
        <f t="shared" si="381"/>
        <v>1</v>
      </c>
      <c r="E1321" s="737" t="str">
        <f t="shared" si="382"/>
        <v>#VALUE!</v>
      </c>
      <c r="F1321" s="737">
        <v>1.0</v>
      </c>
      <c r="G1321" s="737" t="str">
        <f t="shared" si="383"/>
        <v>#VALUE!</v>
      </c>
      <c r="H1321" s="737" t="str">
        <f>MIN($Q$11/('Orbit Info'!G$10),$Q$8*60)</f>
        <v>#VALUE!</v>
      </c>
      <c r="I1321" s="737" t="str">
        <f>IF(D1321=1,$Q$12/'Data DownlinkStorage Budget'!$M$3,0)</f>
        <v>#VALUE!</v>
      </c>
      <c r="J1321" s="737" t="str">
        <f t="shared" si="384"/>
        <v>#VALUE!</v>
      </c>
      <c r="K1321" s="11"/>
      <c r="L1321" s="737" t="str">
        <f t="shared" si="385"/>
        <v>FOUND product plus housekeeping</v>
      </c>
      <c r="M1321" s="737" t="str">
        <f>MIN($Q$18,$Q$10*60)-IF(D1321=1,$Q$17/'Data DownlinkStorage Budget'!$M$3,0)</f>
        <v>#VALUE!</v>
      </c>
      <c r="N1321" s="182"/>
      <c r="O1321" s="737" t="str">
        <f t="shared" si="386"/>
        <v>#VALUE!</v>
      </c>
      <c r="P1321" s="11"/>
      <c r="Q1321" s="11"/>
      <c r="R1321" s="11"/>
      <c r="S1321" s="11"/>
      <c r="T1321" s="11"/>
      <c r="U1321" s="11"/>
      <c r="V1321" s="11"/>
      <c r="W1321" s="11"/>
      <c r="X1321" s="11"/>
      <c r="Y1321" s="11"/>
      <c r="Z1321" s="11"/>
      <c r="AA1321" s="11"/>
    </row>
    <row r="1322" ht="15.75" customHeight="1">
      <c r="A1322" s="737">
        <f t="shared" si="379"/>
        <v>0</v>
      </c>
      <c r="B1322" s="737">
        <f>A1322/'Orbit Info'!$G$10</f>
        <v>0</v>
      </c>
      <c r="C1322" s="737" t="str">
        <f t="shared" si="380"/>
        <v>Housekeeping and events only</v>
      </c>
      <c r="D1322" s="737">
        <f t="shared" si="381"/>
        <v>1</v>
      </c>
      <c r="E1322" s="737" t="str">
        <f t="shared" si="382"/>
        <v>#VALUE!</v>
      </c>
      <c r="F1322" s="737">
        <v>1.0</v>
      </c>
      <c r="G1322" s="737" t="str">
        <f t="shared" si="383"/>
        <v>#VALUE!</v>
      </c>
      <c r="H1322" s="737" t="str">
        <f>MIN($Q$11/('Orbit Info'!G$10),$Q$8*60)</f>
        <v>#VALUE!</v>
      </c>
      <c r="I1322" s="737" t="str">
        <f>IF(D1322=1,$Q$12/'Data DownlinkStorage Budget'!$M$3,0)</f>
        <v>#VALUE!</v>
      </c>
      <c r="J1322" s="737" t="str">
        <f t="shared" si="384"/>
        <v>#VALUE!</v>
      </c>
      <c r="K1322" s="11"/>
      <c r="L1322" s="737" t="str">
        <f t="shared" si="385"/>
        <v>FOUND product plus housekeeping</v>
      </c>
      <c r="M1322" s="737" t="str">
        <f>MIN($Q$18,$Q$10*60)-IF(D1322=1,$Q$17/'Data DownlinkStorage Budget'!$M$3,0)</f>
        <v>#VALUE!</v>
      </c>
      <c r="N1322" s="182"/>
      <c r="O1322" s="737" t="str">
        <f t="shared" si="386"/>
        <v>#VALUE!</v>
      </c>
      <c r="P1322" s="11"/>
      <c r="Q1322" s="11"/>
      <c r="R1322" s="11"/>
      <c r="S1322" s="11"/>
      <c r="T1322" s="11"/>
      <c r="U1322" s="11"/>
      <c r="V1322" s="11"/>
      <c r="W1322" s="11"/>
      <c r="X1322" s="11"/>
      <c r="Y1322" s="11"/>
      <c r="Z1322" s="11"/>
      <c r="AA1322" s="11"/>
    </row>
    <row r="1323" ht="15.75" customHeight="1">
      <c r="A1323" s="737">
        <f t="shared" si="379"/>
        <v>0</v>
      </c>
      <c r="B1323" s="737">
        <f>A1323/'Orbit Info'!$G$10</f>
        <v>0</v>
      </c>
      <c r="C1323" s="737" t="str">
        <f t="shared" si="380"/>
        <v>Housekeeping and events only</v>
      </c>
      <c r="D1323" s="737">
        <f t="shared" si="381"/>
        <v>1</v>
      </c>
      <c r="E1323" s="737" t="str">
        <f t="shared" si="382"/>
        <v>#VALUE!</v>
      </c>
      <c r="F1323" s="737">
        <v>1.0</v>
      </c>
      <c r="G1323" s="737" t="str">
        <f t="shared" si="383"/>
        <v>#VALUE!</v>
      </c>
      <c r="H1323" s="737" t="str">
        <f>MIN($Q$11/('Orbit Info'!G$10),$Q$8*60)</f>
        <v>#VALUE!</v>
      </c>
      <c r="I1323" s="737" t="str">
        <f>IF(D1323=1,$Q$12/'Data DownlinkStorage Budget'!$M$3,0)</f>
        <v>#VALUE!</v>
      </c>
      <c r="J1323" s="737" t="str">
        <f t="shared" si="384"/>
        <v>#VALUE!</v>
      </c>
      <c r="K1323" s="11"/>
      <c r="L1323" s="737" t="str">
        <f t="shared" si="385"/>
        <v>FOUND product plus housekeeping</v>
      </c>
      <c r="M1323" s="737" t="str">
        <f>MIN($Q$18,$Q$10*60)-IF(D1323=1,$Q$17/'Data DownlinkStorage Budget'!$M$3,0)</f>
        <v>#VALUE!</v>
      </c>
      <c r="N1323" s="182"/>
      <c r="O1323" s="737" t="str">
        <f t="shared" si="386"/>
        <v>#VALUE!</v>
      </c>
      <c r="P1323" s="11"/>
      <c r="Q1323" s="11"/>
      <c r="R1323" s="11"/>
      <c r="S1323" s="11"/>
      <c r="T1323" s="11"/>
      <c r="U1323" s="11"/>
      <c r="V1323" s="11"/>
      <c r="W1323" s="11"/>
      <c r="X1323" s="11"/>
      <c r="Y1323" s="11"/>
      <c r="Z1323" s="11"/>
      <c r="AA1323" s="11"/>
    </row>
    <row r="1324" ht="15.75" customHeight="1">
      <c r="A1324" s="737">
        <f t="shared" si="379"/>
        <v>0</v>
      </c>
      <c r="B1324" s="737">
        <f>A1324/'Orbit Info'!$G$10</f>
        <v>0</v>
      </c>
      <c r="C1324" s="737" t="str">
        <f t="shared" si="380"/>
        <v>Housekeeping and events only</v>
      </c>
      <c r="D1324" s="737">
        <f t="shared" si="381"/>
        <v>1</v>
      </c>
      <c r="E1324" s="737" t="str">
        <f t="shared" si="382"/>
        <v>#VALUE!</v>
      </c>
      <c r="F1324" s="737">
        <v>1.0</v>
      </c>
      <c r="G1324" s="737" t="str">
        <f t="shared" si="383"/>
        <v>#VALUE!</v>
      </c>
      <c r="H1324" s="737" t="str">
        <f>MIN($Q$11/('Orbit Info'!G$10),$Q$8*60)</f>
        <v>#VALUE!</v>
      </c>
      <c r="I1324" s="737" t="str">
        <f>IF(D1324=1,$Q$12/'Data DownlinkStorage Budget'!$M$3,0)</f>
        <v>#VALUE!</v>
      </c>
      <c r="J1324" s="737" t="str">
        <f t="shared" si="384"/>
        <v>#VALUE!</v>
      </c>
      <c r="K1324" s="11"/>
      <c r="L1324" s="737" t="str">
        <f t="shared" si="385"/>
        <v>FOUND product plus housekeeping</v>
      </c>
      <c r="M1324" s="737" t="str">
        <f>MIN($Q$18,$Q$10*60)-IF(D1324=1,$Q$17/'Data DownlinkStorage Budget'!$M$3,0)</f>
        <v>#VALUE!</v>
      </c>
      <c r="N1324" s="182"/>
      <c r="O1324" s="737" t="str">
        <f t="shared" si="386"/>
        <v>#VALUE!</v>
      </c>
      <c r="P1324" s="11"/>
      <c r="Q1324" s="11"/>
      <c r="R1324" s="11"/>
      <c r="S1324" s="11"/>
      <c r="T1324" s="11"/>
      <c r="U1324" s="11"/>
      <c r="V1324" s="11"/>
      <c r="W1324" s="11"/>
      <c r="X1324" s="11"/>
      <c r="Y1324" s="11"/>
      <c r="Z1324" s="11"/>
      <c r="AA1324" s="11"/>
    </row>
    <row r="1325" ht="15.75" customHeight="1">
      <c r="A1325" s="737">
        <f t="shared" si="379"/>
        <v>0</v>
      </c>
      <c r="B1325" s="737">
        <f>A1325/'Orbit Info'!$G$10</f>
        <v>0</v>
      </c>
      <c r="C1325" s="737" t="str">
        <f t="shared" si="380"/>
        <v>Housekeeping and events only</v>
      </c>
      <c r="D1325" s="737">
        <f t="shared" si="381"/>
        <v>1</v>
      </c>
      <c r="E1325" s="737" t="str">
        <f t="shared" si="382"/>
        <v>#VALUE!</v>
      </c>
      <c r="F1325" s="737">
        <v>1.0</v>
      </c>
      <c r="G1325" s="737" t="str">
        <f t="shared" si="383"/>
        <v>#VALUE!</v>
      </c>
      <c r="H1325" s="737" t="str">
        <f>MIN($Q$11/('Orbit Info'!G$10),$Q$8*60)</f>
        <v>#VALUE!</v>
      </c>
      <c r="I1325" s="737" t="str">
        <f>IF(D1325=1,$Q$12/'Data DownlinkStorage Budget'!$M$3,0)</f>
        <v>#VALUE!</v>
      </c>
      <c r="J1325" s="737" t="str">
        <f t="shared" si="384"/>
        <v>#VALUE!</v>
      </c>
      <c r="K1325" s="11"/>
      <c r="L1325" s="737" t="str">
        <f t="shared" si="385"/>
        <v>FOUND product plus housekeeping</v>
      </c>
      <c r="M1325" s="737" t="str">
        <f>MIN($Q$18,$Q$10*60)-IF(D1325=1,$Q$17/'Data DownlinkStorage Budget'!$M$3,0)</f>
        <v>#VALUE!</v>
      </c>
      <c r="N1325" s="182"/>
      <c r="O1325" s="737" t="str">
        <f t="shared" si="386"/>
        <v>#VALUE!</v>
      </c>
      <c r="P1325" s="11"/>
      <c r="Q1325" s="11"/>
      <c r="R1325" s="11"/>
      <c r="S1325" s="11"/>
      <c r="T1325" s="11"/>
      <c r="U1325" s="11"/>
      <c r="V1325" s="11"/>
      <c r="W1325" s="11"/>
      <c r="X1325" s="11"/>
      <c r="Y1325" s="11"/>
      <c r="Z1325" s="11"/>
      <c r="AA1325" s="11"/>
    </row>
    <row r="1326" ht="15.75" customHeight="1">
      <c r="A1326" s="737">
        <f t="shared" si="379"/>
        <v>0</v>
      </c>
      <c r="B1326" s="737">
        <f>A1326/'Orbit Info'!$G$10</f>
        <v>0</v>
      </c>
      <c r="C1326" s="737" t="str">
        <f t="shared" si="380"/>
        <v>Housekeeping and events only</v>
      </c>
      <c r="D1326" s="737">
        <f t="shared" si="381"/>
        <v>1</v>
      </c>
      <c r="E1326" s="737" t="str">
        <f t="shared" si="382"/>
        <v>#VALUE!</v>
      </c>
      <c r="F1326" s="737">
        <v>1.0</v>
      </c>
      <c r="G1326" s="737" t="str">
        <f t="shared" si="383"/>
        <v>#VALUE!</v>
      </c>
      <c r="H1326" s="737" t="str">
        <f>MIN($Q$11/('Orbit Info'!G$10),$Q$8*60)</f>
        <v>#VALUE!</v>
      </c>
      <c r="I1326" s="737" t="str">
        <f>IF(D1326=1,$Q$12/'Data DownlinkStorage Budget'!$M$3,0)</f>
        <v>#VALUE!</v>
      </c>
      <c r="J1326" s="737" t="str">
        <f t="shared" si="384"/>
        <v>#VALUE!</v>
      </c>
      <c r="K1326" s="11"/>
      <c r="L1326" s="737" t="str">
        <f t="shared" si="385"/>
        <v>FOUND product plus housekeeping</v>
      </c>
      <c r="M1326" s="737" t="str">
        <f>MIN($Q$18,$Q$10*60)-IF(D1326=1,$Q$17/'Data DownlinkStorage Budget'!$M$3,0)</f>
        <v>#VALUE!</v>
      </c>
      <c r="N1326" s="182"/>
      <c r="O1326" s="737" t="str">
        <f t="shared" si="386"/>
        <v>#VALUE!</v>
      </c>
      <c r="P1326" s="11"/>
      <c r="Q1326" s="11"/>
      <c r="R1326" s="11"/>
      <c r="S1326" s="11"/>
      <c r="T1326" s="11"/>
      <c r="U1326" s="11"/>
      <c r="V1326" s="11"/>
      <c r="W1326" s="11"/>
      <c r="X1326" s="11"/>
      <c r="Y1326" s="11"/>
      <c r="Z1326" s="11"/>
      <c r="AA1326" s="11"/>
    </row>
    <row r="1327" ht="15.75" customHeight="1">
      <c r="A1327" s="737">
        <f t="shared" si="379"/>
        <v>0</v>
      </c>
      <c r="B1327" s="737">
        <f>A1327/'Orbit Info'!$G$10</f>
        <v>0</v>
      </c>
      <c r="C1327" s="737" t="str">
        <f t="shared" si="380"/>
        <v>Housekeeping and events only</v>
      </c>
      <c r="D1327" s="737">
        <f t="shared" si="381"/>
        <v>1</v>
      </c>
      <c r="E1327" s="737" t="str">
        <f t="shared" si="382"/>
        <v>#VALUE!</v>
      </c>
      <c r="F1327" s="737">
        <v>1.0</v>
      </c>
      <c r="G1327" s="737" t="str">
        <f t="shared" si="383"/>
        <v>#VALUE!</v>
      </c>
      <c r="H1327" s="737" t="str">
        <f>MIN($Q$11/('Orbit Info'!G$10),$Q$8*60)</f>
        <v>#VALUE!</v>
      </c>
      <c r="I1327" s="737" t="str">
        <f>IF(D1327=1,$Q$12/'Data DownlinkStorage Budget'!$M$3,0)</f>
        <v>#VALUE!</v>
      </c>
      <c r="J1327" s="737" t="str">
        <f t="shared" si="384"/>
        <v>#VALUE!</v>
      </c>
      <c r="K1327" s="11"/>
      <c r="L1327" s="737" t="str">
        <f t="shared" si="385"/>
        <v>FOUND product plus housekeeping</v>
      </c>
      <c r="M1327" s="737" t="str">
        <f>MIN($Q$18,$Q$10*60)-IF(D1327=1,$Q$17/'Data DownlinkStorage Budget'!$M$3,0)</f>
        <v>#VALUE!</v>
      </c>
      <c r="N1327" s="182"/>
      <c r="O1327" s="737" t="str">
        <f t="shared" si="386"/>
        <v>#VALUE!</v>
      </c>
      <c r="P1327" s="11"/>
      <c r="Q1327" s="11"/>
      <c r="R1327" s="11"/>
      <c r="S1327" s="11"/>
      <c r="T1327" s="11"/>
      <c r="U1327" s="11"/>
      <c r="V1327" s="11"/>
      <c r="W1327" s="11"/>
      <c r="X1327" s="11"/>
      <c r="Y1327" s="11"/>
      <c r="Z1327" s="11"/>
      <c r="AA1327" s="11"/>
    </row>
    <row r="1328" ht="15.75" customHeight="1">
      <c r="A1328" s="737">
        <f t="shared" si="379"/>
        <v>0</v>
      </c>
      <c r="B1328" s="737">
        <f>A1328/'Orbit Info'!$G$10</f>
        <v>0</v>
      </c>
      <c r="C1328" s="737" t="str">
        <f t="shared" si="380"/>
        <v>Housekeeping and events only</v>
      </c>
      <c r="D1328" s="737">
        <f t="shared" si="381"/>
        <v>1</v>
      </c>
      <c r="E1328" s="737" t="str">
        <f t="shared" si="382"/>
        <v>#VALUE!</v>
      </c>
      <c r="F1328" s="737">
        <v>1.0</v>
      </c>
      <c r="G1328" s="737" t="str">
        <f t="shared" si="383"/>
        <v>#VALUE!</v>
      </c>
      <c r="H1328" s="737" t="str">
        <f>MIN($Q$11/('Orbit Info'!G$10),$Q$8*60)</f>
        <v>#VALUE!</v>
      </c>
      <c r="I1328" s="737" t="str">
        <f>IF(D1328=1,$Q$12/'Data DownlinkStorage Budget'!$M$3,0)</f>
        <v>#VALUE!</v>
      </c>
      <c r="J1328" s="737" t="str">
        <f t="shared" si="384"/>
        <v>#VALUE!</v>
      </c>
      <c r="K1328" s="11"/>
      <c r="L1328" s="737" t="str">
        <f t="shared" si="385"/>
        <v>FOUND product plus housekeeping</v>
      </c>
      <c r="M1328" s="737" t="str">
        <f>MIN($Q$18,$Q$10*60)-IF(D1328=1,$Q$17/'Data DownlinkStorage Budget'!$M$3,0)</f>
        <v>#VALUE!</v>
      </c>
      <c r="N1328" s="182"/>
      <c r="O1328" s="737" t="str">
        <f t="shared" si="386"/>
        <v>#VALUE!</v>
      </c>
      <c r="P1328" s="11"/>
      <c r="Q1328" s="11"/>
      <c r="R1328" s="11"/>
      <c r="S1328" s="11"/>
      <c r="T1328" s="11"/>
      <c r="U1328" s="11"/>
      <c r="V1328" s="11"/>
      <c r="W1328" s="11"/>
      <c r="X1328" s="11"/>
      <c r="Y1328" s="11"/>
      <c r="Z1328" s="11"/>
      <c r="AA1328" s="11"/>
    </row>
    <row r="1329" ht="15.75" customHeight="1">
      <c r="A1329" s="737">
        <f t="shared" si="379"/>
        <v>0</v>
      </c>
      <c r="B1329" s="737">
        <f>A1329/'Orbit Info'!$G$10</f>
        <v>0</v>
      </c>
      <c r="C1329" s="737" t="str">
        <f t="shared" si="380"/>
        <v>Housekeeping and events only</v>
      </c>
      <c r="D1329" s="737">
        <f t="shared" si="381"/>
        <v>1</v>
      </c>
      <c r="E1329" s="737" t="str">
        <f t="shared" si="382"/>
        <v>#VALUE!</v>
      </c>
      <c r="F1329" s="737">
        <v>1.0</v>
      </c>
      <c r="G1329" s="737" t="str">
        <f t="shared" si="383"/>
        <v>#VALUE!</v>
      </c>
      <c r="H1329" s="737" t="str">
        <f>MIN($Q$11/('Orbit Info'!G$10),$Q$8*60)</f>
        <v>#VALUE!</v>
      </c>
      <c r="I1329" s="737" t="str">
        <f>IF(D1329=1,$Q$12/'Data DownlinkStorage Budget'!$M$3,0)</f>
        <v>#VALUE!</v>
      </c>
      <c r="J1329" s="737" t="str">
        <f t="shared" si="384"/>
        <v>#VALUE!</v>
      </c>
      <c r="K1329" s="11"/>
      <c r="L1329" s="737" t="str">
        <f t="shared" si="385"/>
        <v>FOUND product plus housekeeping</v>
      </c>
      <c r="M1329" s="737" t="str">
        <f>MIN($Q$18,$Q$10*60)-IF(D1329=1,$Q$17/'Data DownlinkStorage Budget'!$M$3,0)</f>
        <v>#VALUE!</v>
      </c>
      <c r="N1329" s="182"/>
      <c r="O1329" s="737" t="str">
        <f t="shared" si="386"/>
        <v>#VALUE!</v>
      </c>
      <c r="P1329" s="11"/>
      <c r="Q1329" s="11"/>
      <c r="R1329" s="11"/>
      <c r="S1329" s="11"/>
      <c r="T1329" s="11"/>
      <c r="U1329" s="11"/>
      <c r="V1329" s="11"/>
      <c r="W1329" s="11"/>
      <c r="X1329" s="11"/>
      <c r="Y1329" s="11"/>
      <c r="Z1329" s="11"/>
      <c r="AA1329" s="11"/>
    </row>
    <row r="1330" ht="15.75" customHeight="1">
      <c r="A1330" s="737">
        <f t="shared" si="379"/>
        <v>0</v>
      </c>
      <c r="B1330" s="737">
        <f>A1330/'Orbit Info'!$G$10</f>
        <v>0</v>
      </c>
      <c r="C1330" s="737" t="str">
        <f t="shared" si="380"/>
        <v>Housekeeping and events only</v>
      </c>
      <c r="D1330" s="737">
        <f t="shared" si="381"/>
        <v>1</v>
      </c>
      <c r="E1330" s="737" t="str">
        <f t="shared" si="382"/>
        <v>#VALUE!</v>
      </c>
      <c r="F1330" s="737">
        <v>1.0</v>
      </c>
      <c r="G1330" s="737" t="str">
        <f t="shared" si="383"/>
        <v>#VALUE!</v>
      </c>
      <c r="H1330" s="737" t="str">
        <f>MIN($Q$11/('Orbit Info'!G$10),$Q$8*60)</f>
        <v>#VALUE!</v>
      </c>
      <c r="I1330" s="737" t="str">
        <f>IF(D1330=1,$Q$12/'Data DownlinkStorage Budget'!$M$3,0)</f>
        <v>#VALUE!</v>
      </c>
      <c r="J1330" s="737" t="str">
        <f t="shared" si="384"/>
        <v>#VALUE!</v>
      </c>
      <c r="K1330" s="11"/>
      <c r="L1330" s="737" t="str">
        <f t="shared" si="385"/>
        <v>FOUND product plus housekeeping</v>
      </c>
      <c r="M1330" s="737" t="str">
        <f>MIN($Q$18,$Q$10*60)-IF(D1330=1,$Q$17/'Data DownlinkStorage Budget'!$M$3,0)</f>
        <v>#VALUE!</v>
      </c>
      <c r="N1330" s="182"/>
      <c r="O1330" s="737" t="str">
        <f t="shared" si="386"/>
        <v>#VALUE!</v>
      </c>
      <c r="P1330" s="11"/>
      <c r="Q1330" s="11"/>
      <c r="R1330" s="11"/>
      <c r="S1330" s="11"/>
      <c r="T1330" s="11"/>
      <c r="U1330" s="11"/>
      <c r="V1330" s="11"/>
      <c r="W1330" s="11"/>
      <c r="X1330" s="11"/>
      <c r="Y1330" s="11"/>
      <c r="Z1330" s="11"/>
      <c r="AA1330" s="11"/>
    </row>
    <row r="1331" ht="15.75" customHeight="1">
      <c r="A1331" s="737">
        <f t="shared" si="379"/>
        <v>0</v>
      </c>
      <c r="B1331" s="737">
        <f>A1331/'Orbit Info'!$G$10</f>
        <v>0</v>
      </c>
      <c r="C1331" s="737" t="str">
        <f t="shared" si="380"/>
        <v>Housekeeping and events only</v>
      </c>
      <c r="D1331" s="737">
        <f t="shared" si="381"/>
        <v>1</v>
      </c>
      <c r="E1331" s="737" t="str">
        <f t="shared" si="382"/>
        <v>#VALUE!</v>
      </c>
      <c r="F1331" s="737">
        <v>1.0</v>
      </c>
      <c r="G1331" s="737" t="str">
        <f t="shared" si="383"/>
        <v>#VALUE!</v>
      </c>
      <c r="H1331" s="737" t="str">
        <f>MIN($Q$11/('Orbit Info'!G$10),$Q$8*60)</f>
        <v>#VALUE!</v>
      </c>
      <c r="I1331" s="737" t="str">
        <f>IF(D1331=1,$Q$12/'Data DownlinkStorage Budget'!$M$3,0)</f>
        <v>#VALUE!</v>
      </c>
      <c r="J1331" s="737" t="str">
        <f t="shared" si="384"/>
        <v>#VALUE!</v>
      </c>
      <c r="K1331" s="11"/>
      <c r="L1331" s="737" t="str">
        <f t="shared" si="385"/>
        <v>FOUND product plus housekeeping</v>
      </c>
      <c r="M1331" s="737" t="str">
        <f>MIN($Q$18,$Q$10*60)-IF(D1331=1,$Q$17/'Data DownlinkStorage Budget'!$M$3,0)</f>
        <v>#VALUE!</v>
      </c>
      <c r="N1331" s="182"/>
      <c r="O1331" s="737" t="str">
        <f t="shared" si="386"/>
        <v>#VALUE!</v>
      </c>
      <c r="P1331" s="11"/>
      <c r="Q1331" s="11"/>
      <c r="R1331" s="11"/>
      <c r="S1331" s="11"/>
      <c r="T1331" s="11"/>
      <c r="U1331" s="11"/>
      <c r="V1331" s="11"/>
      <c r="W1331" s="11"/>
      <c r="X1331" s="11"/>
      <c r="Y1331" s="11"/>
      <c r="Z1331" s="11"/>
      <c r="AA1331" s="11"/>
    </row>
    <row r="1332" ht="15.75" customHeight="1">
      <c r="A1332" s="737">
        <f t="shared" si="379"/>
        <v>0</v>
      </c>
      <c r="B1332" s="737">
        <f>A1332/'Orbit Info'!$G$10</f>
        <v>0</v>
      </c>
      <c r="C1332" s="737" t="str">
        <f t="shared" si="380"/>
        <v>Housekeeping and events only</v>
      </c>
      <c r="D1332" s="737">
        <f t="shared" si="381"/>
        <v>1</v>
      </c>
      <c r="E1332" s="737" t="str">
        <f t="shared" si="382"/>
        <v>#VALUE!</v>
      </c>
      <c r="F1332" s="737">
        <v>1.0</v>
      </c>
      <c r="G1332" s="737" t="str">
        <f t="shared" si="383"/>
        <v>#VALUE!</v>
      </c>
      <c r="H1332" s="737" t="str">
        <f>MIN($Q$11/('Orbit Info'!G$10),$Q$8*60)</f>
        <v>#VALUE!</v>
      </c>
      <c r="I1332" s="737" t="str">
        <f>IF(D1332=1,$Q$12/'Data DownlinkStorage Budget'!$M$3,0)</f>
        <v>#VALUE!</v>
      </c>
      <c r="J1332" s="737" t="str">
        <f t="shared" si="384"/>
        <v>#VALUE!</v>
      </c>
      <c r="K1332" s="11"/>
      <c r="L1332" s="737" t="str">
        <f t="shared" si="385"/>
        <v>FOUND product plus housekeeping</v>
      </c>
      <c r="M1332" s="737" t="str">
        <f>MIN($Q$18,$Q$10*60)-IF(D1332=1,$Q$17/'Data DownlinkStorage Budget'!$M$3,0)</f>
        <v>#VALUE!</v>
      </c>
      <c r="N1332" s="182"/>
      <c r="O1332" s="737" t="str">
        <f t="shared" si="386"/>
        <v>#VALUE!</v>
      </c>
      <c r="P1332" s="11"/>
      <c r="Q1332" s="11"/>
      <c r="R1332" s="11"/>
      <c r="S1332" s="11"/>
      <c r="T1332" s="11"/>
      <c r="U1332" s="11"/>
      <c r="V1332" s="11"/>
      <c r="W1332" s="11"/>
      <c r="X1332" s="11"/>
      <c r="Y1332" s="11"/>
      <c r="Z1332" s="11"/>
      <c r="AA1332" s="11"/>
    </row>
    <row r="1333" ht="15.75" customHeight="1">
      <c r="A1333" s="737">
        <f t="shared" si="379"/>
        <v>0</v>
      </c>
      <c r="B1333" s="737">
        <f>A1333/'Orbit Info'!$G$10</f>
        <v>0</v>
      </c>
      <c r="C1333" s="737" t="str">
        <f t="shared" si="380"/>
        <v>Housekeeping and events only</v>
      </c>
      <c r="D1333" s="737">
        <f t="shared" si="381"/>
        <v>1</v>
      </c>
      <c r="E1333" s="737" t="str">
        <f t="shared" si="382"/>
        <v>#VALUE!</v>
      </c>
      <c r="F1333" s="737">
        <v>1.0</v>
      </c>
      <c r="G1333" s="737" t="str">
        <f t="shared" si="383"/>
        <v>#VALUE!</v>
      </c>
      <c r="H1333" s="737" t="str">
        <f>MIN($Q$11/('Orbit Info'!G$10),$Q$8*60)</f>
        <v>#VALUE!</v>
      </c>
      <c r="I1333" s="737" t="str">
        <f>IF(D1333=1,$Q$12/'Data DownlinkStorage Budget'!$M$3,0)</f>
        <v>#VALUE!</v>
      </c>
      <c r="J1333" s="737" t="str">
        <f t="shared" si="384"/>
        <v>#VALUE!</v>
      </c>
      <c r="K1333" s="11"/>
      <c r="L1333" s="737" t="str">
        <f t="shared" si="385"/>
        <v>FOUND product plus housekeeping</v>
      </c>
      <c r="M1333" s="737" t="str">
        <f>MIN($Q$18,$Q$10*60)-IF(D1333=1,$Q$17/'Data DownlinkStorage Budget'!$M$3,0)</f>
        <v>#VALUE!</v>
      </c>
      <c r="N1333" s="182"/>
      <c r="O1333" s="737" t="str">
        <f t="shared" si="386"/>
        <v>#VALUE!</v>
      </c>
      <c r="P1333" s="11"/>
      <c r="Q1333" s="11"/>
      <c r="R1333" s="11"/>
      <c r="S1333" s="11"/>
      <c r="T1333" s="11"/>
      <c r="U1333" s="11"/>
      <c r="V1333" s="11"/>
      <c r="W1333" s="11"/>
      <c r="X1333" s="11"/>
      <c r="Y1333" s="11"/>
      <c r="Z1333" s="11"/>
      <c r="AA1333" s="11"/>
    </row>
    <row r="1334" ht="15.75" customHeight="1">
      <c r="A1334" s="737">
        <f t="shared" si="379"/>
        <v>0</v>
      </c>
      <c r="B1334" s="737">
        <f>A1334/'Orbit Info'!$G$10</f>
        <v>0</v>
      </c>
      <c r="C1334" s="737" t="str">
        <f t="shared" si="380"/>
        <v>Housekeeping and events only</v>
      </c>
      <c r="D1334" s="737">
        <f t="shared" si="381"/>
        <v>1</v>
      </c>
      <c r="E1334" s="737" t="str">
        <f t="shared" si="382"/>
        <v>#VALUE!</v>
      </c>
      <c r="F1334" s="737">
        <v>1.0</v>
      </c>
      <c r="G1334" s="737" t="str">
        <f t="shared" si="383"/>
        <v>#VALUE!</v>
      </c>
      <c r="H1334" s="737" t="str">
        <f>MIN($Q$11/('Orbit Info'!G$10),$Q$8*60)</f>
        <v>#VALUE!</v>
      </c>
      <c r="I1334" s="737" t="str">
        <f>IF(D1334=1,$Q$12/'Data DownlinkStorage Budget'!$M$3,0)</f>
        <v>#VALUE!</v>
      </c>
      <c r="J1334" s="737" t="str">
        <f t="shared" si="384"/>
        <v>#VALUE!</v>
      </c>
      <c r="K1334" s="11"/>
      <c r="L1334" s="737" t="str">
        <f t="shared" si="385"/>
        <v>FOUND product plus housekeeping</v>
      </c>
      <c r="M1334" s="737" t="str">
        <f>MIN($Q$18,$Q$10*60)-IF(D1334=1,$Q$17/'Data DownlinkStorage Budget'!$M$3,0)</f>
        <v>#VALUE!</v>
      </c>
      <c r="N1334" s="182"/>
      <c r="O1334" s="737" t="str">
        <f t="shared" si="386"/>
        <v>#VALUE!</v>
      </c>
      <c r="P1334" s="11"/>
      <c r="Q1334" s="11"/>
      <c r="R1334" s="11"/>
      <c r="S1334" s="11"/>
      <c r="T1334" s="11"/>
      <c r="U1334" s="11"/>
      <c r="V1334" s="11"/>
      <c r="W1334" s="11"/>
      <c r="X1334" s="11"/>
      <c r="Y1334" s="11"/>
      <c r="Z1334" s="11"/>
      <c r="AA1334" s="11"/>
    </row>
    <row r="1335" ht="15.75" customHeight="1">
      <c r="A1335" s="737">
        <f t="shared" si="379"/>
        <v>0</v>
      </c>
      <c r="B1335" s="737">
        <f>A1335/'Orbit Info'!$G$10</f>
        <v>0</v>
      </c>
      <c r="C1335" s="737" t="str">
        <f t="shared" si="380"/>
        <v>Housekeeping and events only</v>
      </c>
      <c r="D1335" s="737">
        <f t="shared" si="381"/>
        <v>1</v>
      </c>
      <c r="E1335" s="737" t="str">
        <f t="shared" si="382"/>
        <v>#VALUE!</v>
      </c>
      <c r="F1335" s="737">
        <v>1.0</v>
      </c>
      <c r="G1335" s="737" t="str">
        <f t="shared" si="383"/>
        <v>#VALUE!</v>
      </c>
      <c r="H1335" s="737" t="str">
        <f>MIN($Q$11/('Orbit Info'!G$10),$Q$8*60)</f>
        <v>#VALUE!</v>
      </c>
      <c r="I1335" s="737" t="str">
        <f>IF(D1335=1,$Q$12/'Data DownlinkStorage Budget'!$M$3,0)</f>
        <v>#VALUE!</v>
      </c>
      <c r="J1335" s="737" t="str">
        <f t="shared" si="384"/>
        <v>#VALUE!</v>
      </c>
      <c r="K1335" s="11"/>
      <c r="L1335" s="737" t="str">
        <f t="shared" si="385"/>
        <v>FOUND product plus housekeeping</v>
      </c>
      <c r="M1335" s="737" t="str">
        <f>MIN($Q$18,$Q$10*60)-IF(D1335=1,$Q$17/'Data DownlinkStorage Budget'!$M$3,0)</f>
        <v>#VALUE!</v>
      </c>
      <c r="N1335" s="182"/>
      <c r="O1335" s="737" t="str">
        <f t="shared" si="386"/>
        <v>#VALUE!</v>
      </c>
      <c r="P1335" s="11"/>
      <c r="Q1335" s="11"/>
      <c r="R1335" s="11"/>
      <c r="S1335" s="11"/>
      <c r="T1335" s="11"/>
      <c r="U1335" s="11"/>
      <c r="V1335" s="11"/>
      <c r="W1335" s="11"/>
      <c r="X1335" s="11"/>
      <c r="Y1335" s="11"/>
      <c r="Z1335" s="11"/>
      <c r="AA1335" s="11"/>
    </row>
    <row r="1336" ht="15.75" customHeight="1">
      <c r="A1336" s="737">
        <f t="shared" si="379"/>
        <v>0</v>
      </c>
      <c r="B1336" s="737">
        <f>A1336/'Orbit Info'!$G$10</f>
        <v>0</v>
      </c>
      <c r="C1336" s="737" t="str">
        <f t="shared" si="380"/>
        <v>Housekeeping and events only</v>
      </c>
      <c r="D1336" s="737">
        <f t="shared" si="381"/>
        <v>1</v>
      </c>
      <c r="E1336" s="737" t="str">
        <f t="shared" si="382"/>
        <v>#VALUE!</v>
      </c>
      <c r="F1336" s="737">
        <v>1.0</v>
      </c>
      <c r="G1336" s="737" t="str">
        <f t="shared" si="383"/>
        <v>#VALUE!</v>
      </c>
      <c r="H1336" s="737" t="str">
        <f>MIN($Q$11/('Orbit Info'!G$10),$Q$8*60)</f>
        <v>#VALUE!</v>
      </c>
      <c r="I1336" s="737" t="str">
        <f>IF(D1336=1,$Q$12/'Data DownlinkStorage Budget'!$M$3,0)</f>
        <v>#VALUE!</v>
      </c>
      <c r="J1336" s="737" t="str">
        <f t="shared" si="384"/>
        <v>#VALUE!</v>
      </c>
      <c r="K1336" s="11"/>
      <c r="L1336" s="737" t="str">
        <f t="shared" si="385"/>
        <v>FOUND product plus housekeeping</v>
      </c>
      <c r="M1336" s="737" t="str">
        <f>MIN($Q$18,$Q$10*60)-IF(D1336=1,$Q$17/'Data DownlinkStorage Budget'!$M$3,0)</f>
        <v>#VALUE!</v>
      </c>
      <c r="N1336" s="182"/>
      <c r="O1336" s="737" t="str">
        <f t="shared" si="386"/>
        <v>#VALUE!</v>
      </c>
      <c r="P1336" s="11"/>
      <c r="Q1336" s="11"/>
      <c r="R1336" s="11"/>
      <c r="S1336" s="11"/>
      <c r="T1336" s="11"/>
      <c r="U1336" s="11"/>
      <c r="V1336" s="11"/>
      <c r="W1336" s="11"/>
      <c r="X1336" s="11"/>
      <c r="Y1336" s="11"/>
      <c r="Z1336" s="11"/>
      <c r="AA1336" s="11"/>
    </row>
    <row r="1337" ht="15.75" customHeight="1">
      <c r="A1337" s="737">
        <f t="shared" si="379"/>
        <v>0</v>
      </c>
      <c r="B1337" s="737">
        <f>A1337/'Orbit Info'!$G$10</f>
        <v>0</v>
      </c>
      <c r="C1337" s="737" t="str">
        <f t="shared" si="380"/>
        <v>Housekeeping and events only</v>
      </c>
      <c r="D1337" s="737">
        <f t="shared" si="381"/>
        <v>1</v>
      </c>
      <c r="E1337" s="737" t="str">
        <f t="shared" si="382"/>
        <v>#VALUE!</v>
      </c>
      <c r="F1337" s="737">
        <v>1.0</v>
      </c>
      <c r="G1337" s="737" t="str">
        <f t="shared" si="383"/>
        <v>#VALUE!</v>
      </c>
      <c r="H1337" s="737" t="str">
        <f>MIN($Q$11/('Orbit Info'!G$10),$Q$8*60)</f>
        <v>#VALUE!</v>
      </c>
      <c r="I1337" s="737" t="str">
        <f>IF(D1337=1,$Q$12/'Data DownlinkStorage Budget'!$M$3,0)</f>
        <v>#VALUE!</v>
      </c>
      <c r="J1337" s="737" t="str">
        <f t="shared" si="384"/>
        <v>#VALUE!</v>
      </c>
      <c r="K1337" s="11"/>
      <c r="L1337" s="737" t="str">
        <f t="shared" si="385"/>
        <v>FOUND product plus housekeeping</v>
      </c>
      <c r="M1337" s="737" t="str">
        <f>MIN($Q$18,$Q$10*60)-IF(D1337=1,$Q$17/'Data DownlinkStorage Budget'!$M$3,0)</f>
        <v>#VALUE!</v>
      </c>
      <c r="N1337" s="182"/>
      <c r="O1337" s="737" t="str">
        <f t="shared" si="386"/>
        <v>#VALUE!</v>
      </c>
      <c r="P1337" s="11"/>
      <c r="Q1337" s="11"/>
      <c r="R1337" s="11"/>
      <c r="S1337" s="11"/>
      <c r="T1337" s="11"/>
      <c r="U1337" s="11"/>
      <c r="V1337" s="11"/>
      <c r="W1337" s="11"/>
      <c r="X1337" s="11"/>
      <c r="Y1337" s="11"/>
      <c r="Z1337" s="11"/>
      <c r="AA1337" s="11"/>
    </row>
    <row r="1338" ht="15.75" customHeight="1">
      <c r="A1338" s="737">
        <f t="shared" si="379"/>
        <v>0</v>
      </c>
      <c r="B1338" s="737">
        <f>A1338/'Orbit Info'!$G$10</f>
        <v>0</v>
      </c>
      <c r="C1338" s="737" t="str">
        <f t="shared" si="380"/>
        <v>Housekeeping and events only</v>
      </c>
      <c r="D1338" s="737">
        <f t="shared" si="381"/>
        <v>1</v>
      </c>
      <c r="E1338" s="737" t="str">
        <f t="shared" si="382"/>
        <v>#VALUE!</v>
      </c>
      <c r="F1338" s="737">
        <v>1.0</v>
      </c>
      <c r="G1338" s="737" t="str">
        <f t="shared" si="383"/>
        <v>#VALUE!</v>
      </c>
      <c r="H1338" s="737" t="str">
        <f>MIN($Q$11/('Orbit Info'!G$10),$Q$8*60)</f>
        <v>#VALUE!</v>
      </c>
      <c r="I1338" s="737" t="str">
        <f>IF(D1338=1,$Q$12/'Data DownlinkStorage Budget'!$M$3,0)</f>
        <v>#VALUE!</v>
      </c>
      <c r="J1338" s="737" t="str">
        <f t="shared" si="384"/>
        <v>#VALUE!</v>
      </c>
      <c r="K1338" s="11"/>
      <c r="L1338" s="737" t="str">
        <f t="shared" si="385"/>
        <v>FOUND product plus housekeeping</v>
      </c>
      <c r="M1338" s="737" t="str">
        <f>MIN($Q$18,$Q$10*60)-IF(D1338=1,$Q$17/'Data DownlinkStorage Budget'!$M$3,0)</f>
        <v>#VALUE!</v>
      </c>
      <c r="N1338" s="182"/>
      <c r="O1338" s="737" t="str">
        <f t="shared" si="386"/>
        <v>#VALUE!</v>
      </c>
      <c r="P1338" s="11"/>
      <c r="Q1338" s="11"/>
      <c r="R1338" s="11"/>
      <c r="S1338" s="11"/>
      <c r="T1338" s="11"/>
      <c r="U1338" s="11"/>
      <c r="V1338" s="11"/>
      <c r="W1338" s="11"/>
      <c r="X1338" s="11"/>
      <c r="Y1338" s="11"/>
      <c r="Z1338" s="11"/>
      <c r="AA1338" s="11"/>
    </row>
    <row r="1339" ht="15.75" customHeight="1">
      <c r="A1339" s="737">
        <f t="shared" si="379"/>
        <v>0</v>
      </c>
      <c r="B1339" s="737">
        <f>A1339/'Orbit Info'!$G$10</f>
        <v>0</v>
      </c>
      <c r="C1339" s="737" t="str">
        <f t="shared" si="380"/>
        <v>Housekeeping and events only</v>
      </c>
      <c r="D1339" s="737">
        <f t="shared" si="381"/>
        <v>1</v>
      </c>
      <c r="E1339" s="737" t="str">
        <f t="shared" si="382"/>
        <v>#VALUE!</v>
      </c>
      <c r="F1339" s="737">
        <v>1.0</v>
      </c>
      <c r="G1339" s="737" t="str">
        <f t="shared" si="383"/>
        <v>#VALUE!</v>
      </c>
      <c r="H1339" s="737" t="str">
        <f>MIN($Q$11/('Orbit Info'!G$10),$Q$8*60)</f>
        <v>#VALUE!</v>
      </c>
      <c r="I1339" s="737" t="str">
        <f>IF(D1339=1,$Q$12/'Data DownlinkStorage Budget'!$M$3,0)</f>
        <v>#VALUE!</v>
      </c>
      <c r="J1339" s="737" t="str">
        <f t="shared" si="384"/>
        <v>#VALUE!</v>
      </c>
      <c r="K1339" s="11"/>
      <c r="L1339" s="737" t="str">
        <f t="shared" si="385"/>
        <v>FOUND product plus housekeeping</v>
      </c>
      <c r="M1339" s="737" t="str">
        <f>MIN($Q$18,$Q$10*60)-IF(D1339=1,$Q$17/'Data DownlinkStorage Budget'!$M$3,0)</f>
        <v>#VALUE!</v>
      </c>
      <c r="N1339" s="182"/>
      <c r="O1339" s="737" t="str">
        <f t="shared" si="386"/>
        <v>#VALUE!</v>
      </c>
      <c r="P1339" s="11"/>
      <c r="Q1339" s="11"/>
      <c r="R1339" s="11"/>
      <c r="S1339" s="11"/>
      <c r="T1339" s="11"/>
      <c r="U1339" s="11"/>
      <c r="V1339" s="11"/>
      <c r="W1339" s="11"/>
      <c r="X1339" s="11"/>
      <c r="Y1339" s="11"/>
      <c r="Z1339" s="11"/>
      <c r="AA1339" s="11"/>
    </row>
    <row r="1340" ht="15.75" customHeight="1">
      <c r="A1340" s="737">
        <f t="shared" si="379"/>
        <v>0</v>
      </c>
      <c r="B1340" s="737">
        <f>A1340/'Orbit Info'!$G$10</f>
        <v>0</v>
      </c>
      <c r="C1340" s="737" t="str">
        <f t="shared" si="380"/>
        <v>Housekeeping and events only</v>
      </c>
      <c r="D1340" s="737">
        <f t="shared" si="381"/>
        <v>1</v>
      </c>
      <c r="E1340" s="737" t="str">
        <f t="shared" si="382"/>
        <v>#VALUE!</v>
      </c>
      <c r="F1340" s="737">
        <v>1.0</v>
      </c>
      <c r="G1340" s="737" t="str">
        <f t="shared" si="383"/>
        <v>#VALUE!</v>
      </c>
      <c r="H1340" s="737" t="str">
        <f>MIN($Q$11/('Orbit Info'!G$10),$Q$8*60)</f>
        <v>#VALUE!</v>
      </c>
      <c r="I1340" s="737" t="str">
        <f>IF(D1340=1,$Q$12/'Data DownlinkStorage Budget'!$M$3,0)</f>
        <v>#VALUE!</v>
      </c>
      <c r="J1340" s="737" t="str">
        <f t="shared" si="384"/>
        <v>#VALUE!</v>
      </c>
      <c r="K1340" s="11"/>
      <c r="L1340" s="737" t="str">
        <f t="shared" si="385"/>
        <v>FOUND product plus housekeeping</v>
      </c>
      <c r="M1340" s="737" t="str">
        <f>MIN($Q$18,$Q$10*60)-IF(D1340=1,$Q$17/'Data DownlinkStorage Budget'!$M$3,0)</f>
        <v>#VALUE!</v>
      </c>
      <c r="N1340" s="182"/>
      <c r="O1340" s="737" t="str">
        <f t="shared" si="386"/>
        <v>#VALUE!</v>
      </c>
      <c r="P1340" s="11"/>
      <c r="Q1340" s="11"/>
      <c r="R1340" s="11"/>
      <c r="S1340" s="11"/>
      <c r="T1340" s="11"/>
      <c r="U1340" s="11"/>
      <c r="V1340" s="11"/>
      <c r="W1340" s="11"/>
      <c r="X1340" s="11"/>
      <c r="Y1340" s="11"/>
      <c r="Z1340" s="11"/>
      <c r="AA1340" s="11"/>
    </row>
    <row r="1341" ht="15.75" customHeight="1">
      <c r="A1341" s="737">
        <f t="shared" si="379"/>
        <v>0</v>
      </c>
      <c r="B1341" s="737">
        <f>A1341/'Orbit Info'!$G$10</f>
        <v>0</v>
      </c>
      <c r="C1341" s="737" t="str">
        <f t="shared" si="380"/>
        <v>Housekeeping and events only</v>
      </c>
      <c r="D1341" s="737">
        <f t="shared" si="381"/>
        <v>1</v>
      </c>
      <c r="E1341" s="737" t="str">
        <f t="shared" si="382"/>
        <v>#VALUE!</v>
      </c>
      <c r="F1341" s="737">
        <v>1.0</v>
      </c>
      <c r="G1341" s="737" t="str">
        <f t="shared" si="383"/>
        <v>#VALUE!</v>
      </c>
      <c r="H1341" s="737" t="str">
        <f>MIN($Q$11/('Orbit Info'!G$10),$Q$8*60)</f>
        <v>#VALUE!</v>
      </c>
      <c r="I1341" s="737" t="str">
        <f>IF(D1341=1,$Q$12/'Data DownlinkStorage Budget'!$M$3,0)</f>
        <v>#VALUE!</v>
      </c>
      <c r="J1341" s="737" t="str">
        <f t="shared" si="384"/>
        <v>#VALUE!</v>
      </c>
      <c r="K1341" s="11"/>
      <c r="L1341" s="737" t="str">
        <f t="shared" si="385"/>
        <v>FOUND product plus housekeeping</v>
      </c>
      <c r="M1341" s="737" t="str">
        <f>MIN($Q$18,$Q$10*60)-IF(D1341=1,$Q$17/'Data DownlinkStorage Budget'!$M$3,0)</f>
        <v>#VALUE!</v>
      </c>
      <c r="N1341" s="182"/>
      <c r="O1341" s="737" t="str">
        <f t="shared" si="386"/>
        <v>#VALUE!</v>
      </c>
      <c r="P1341" s="11"/>
      <c r="Q1341" s="11"/>
      <c r="R1341" s="11"/>
      <c r="S1341" s="11"/>
      <c r="T1341" s="11"/>
      <c r="U1341" s="11"/>
      <c r="V1341" s="11"/>
      <c r="W1341" s="11"/>
      <c r="X1341" s="11"/>
      <c r="Y1341" s="11"/>
      <c r="Z1341" s="11"/>
      <c r="AA1341" s="11"/>
    </row>
    <row r="1342" ht="15.75" customHeight="1">
      <c r="A1342" s="737">
        <f t="shared" si="379"/>
        <v>0</v>
      </c>
      <c r="B1342" s="737">
        <f>A1342/'Orbit Info'!$G$10</f>
        <v>0</v>
      </c>
      <c r="C1342" s="737" t="str">
        <f t="shared" si="380"/>
        <v>Housekeeping and events only</v>
      </c>
      <c r="D1342" s="737">
        <f t="shared" si="381"/>
        <v>1</v>
      </c>
      <c r="E1342" s="737" t="str">
        <f t="shared" si="382"/>
        <v>#VALUE!</v>
      </c>
      <c r="F1342" s="737">
        <v>1.0</v>
      </c>
      <c r="G1342" s="737" t="str">
        <f t="shared" si="383"/>
        <v>#VALUE!</v>
      </c>
      <c r="H1342" s="737" t="str">
        <f>MIN($Q$11/('Orbit Info'!G$10),$Q$8*60)</f>
        <v>#VALUE!</v>
      </c>
      <c r="I1342" s="737" t="str">
        <f>IF(D1342=1,$Q$12/'Data DownlinkStorage Budget'!$M$3,0)</f>
        <v>#VALUE!</v>
      </c>
      <c r="J1342" s="737" t="str">
        <f t="shared" si="384"/>
        <v>#VALUE!</v>
      </c>
      <c r="K1342" s="11"/>
      <c r="L1342" s="737" t="str">
        <f t="shared" si="385"/>
        <v>FOUND product plus housekeeping</v>
      </c>
      <c r="M1342" s="737" t="str">
        <f>MIN($Q$18,$Q$10*60)-IF(D1342=1,$Q$17/'Data DownlinkStorage Budget'!$M$3,0)</f>
        <v>#VALUE!</v>
      </c>
      <c r="N1342" s="182"/>
      <c r="O1342" s="737" t="str">
        <f t="shared" si="386"/>
        <v>#VALUE!</v>
      </c>
      <c r="P1342" s="11"/>
      <c r="Q1342" s="11"/>
      <c r="R1342" s="11"/>
      <c r="S1342" s="11"/>
      <c r="T1342" s="11"/>
      <c r="U1342" s="11"/>
      <c r="V1342" s="11"/>
      <c r="W1342" s="11"/>
      <c r="X1342" s="11"/>
      <c r="Y1342" s="11"/>
      <c r="Z1342" s="11"/>
      <c r="AA1342" s="11"/>
    </row>
    <row r="1343" ht="15.75" customHeight="1">
      <c r="A1343" s="737">
        <f t="shared" si="379"/>
        <v>0</v>
      </c>
      <c r="B1343" s="737">
        <f>A1343/'Orbit Info'!$G$10</f>
        <v>0</v>
      </c>
      <c r="C1343" s="737" t="str">
        <f t="shared" si="380"/>
        <v>Housekeeping and events only</v>
      </c>
      <c r="D1343" s="737">
        <f t="shared" si="381"/>
        <v>1</v>
      </c>
      <c r="E1343" s="737" t="str">
        <f t="shared" si="382"/>
        <v>#VALUE!</v>
      </c>
      <c r="F1343" s="737">
        <v>1.0</v>
      </c>
      <c r="G1343" s="737" t="str">
        <f t="shared" si="383"/>
        <v>#VALUE!</v>
      </c>
      <c r="H1343" s="737" t="str">
        <f>MIN($Q$11/('Orbit Info'!G$10),$Q$8*60)</f>
        <v>#VALUE!</v>
      </c>
      <c r="I1343" s="737" t="str">
        <f>IF(D1343=1,$Q$12/'Data DownlinkStorage Budget'!$M$3,0)</f>
        <v>#VALUE!</v>
      </c>
      <c r="J1343" s="737" t="str">
        <f t="shared" si="384"/>
        <v>#VALUE!</v>
      </c>
      <c r="K1343" s="11"/>
      <c r="L1343" s="737" t="str">
        <f t="shared" si="385"/>
        <v>FOUND product plus housekeeping</v>
      </c>
      <c r="M1343" s="737" t="str">
        <f>MIN($Q$18,$Q$10*60)-IF(D1343=1,$Q$17/'Data DownlinkStorage Budget'!$M$3,0)</f>
        <v>#VALUE!</v>
      </c>
      <c r="N1343" s="182"/>
      <c r="O1343" s="737" t="str">
        <f t="shared" si="386"/>
        <v>#VALUE!</v>
      </c>
      <c r="P1343" s="11"/>
      <c r="Q1343" s="11"/>
      <c r="R1343" s="11"/>
      <c r="S1343" s="11"/>
      <c r="T1343" s="11"/>
      <c r="U1343" s="11"/>
      <c r="V1343" s="11"/>
      <c r="W1343" s="11"/>
      <c r="X1343" s="11"/>
      <c r="Y1343" s="11"/>
      <c r="Z1343" s="11"/>
      <c r="AA1343" s="11"/>
    </row>
    <row r="1344" ht="15.75" customHeight="1">
      <c r="A1344" s="737">
        <f t="shared" si="379"/>
        <v>0</v>
      </c>
      <c r="B1344" s="737">
        <f>A1344/'Orbit Info'!$G$10</f>
        <v>0</v>
      </c>
      <c r="C1344" s="737" t="str">
        <f t="shared" si="380"/>
        <v>Housekeeping and events only</v>
      </c>
      <c r="D1344" s="737">
        <f t="shared" si="381"/>
        <v>1</v>
      </c>
      <c r="E1344" s="737" t="str">
        <f t="shared" si="382"/>
        <v>#VALUE!</v>
      </c>
      <c r="F1344" s="737">
        <v>1.0</v>
      </c>
      <c r="G1344" s="737" t="str">
        <f t="shared" si="383"/>
        <v>#VALUE!</v>
      </c>
      <c r="H1344" s="737" t="str">
        <f>MIN($Q$11/('Orbit Info'!G$10),$Q$8*60)</f>
        <v>#VALUE!</v>
      </c>
      <c r="I1344" s="737" t="str">
        <f>IF(D1344=1,$Q$12/'Data DownlinkStorage Budget'!$M$3,0)</f>
        <v>#VALUE!</v>
      </c>
      <c r="J1344" s="737" t="str">
        <f t="shared" si="384"/>
        <v>#VALUE!</v>
      </c>
      <c r="K1344" s="11"/>
      <c r="L1344" s="737" t="str">
        <f t="shared" si="385"/>
        <v>FOUND product plus housekeeping</v>
      </c>
      <c r="M1344" s="737" t="str">
        <f>MIN($Q$18,$Q$10*60)-IF(D1344=1,$Q$17/'Data DownlinkStorage Budget'!$M$3,0)</f>
        <v>#VALUE!</v>
      </c>
      <c r="N1344" s="182"/>
      <c r="O1344" s="737" t="str">
        <f t="shared" si="386"/>
        <v>#VALUE!</v>
      </c>
      <c r="P1344" s="11"/>
      <c r="Q1344" s="11"/>
      <c r="R1344" s="11"/>
      <c r="S1344" s="11"/>
      <c r="T1344" s="11"/>
      <c r="U1344" s="11"/>
      <c r="V1344" s="11"/>
      <c r="W1344" s="11"/>
      <c r="X1344" s="11"/>
      <c r="Y1344" s="11"/>
      <c r="Z1344" s="11"/>
      <c r="AA1344" s="11"/>
    </row>
    <row r="1345" ht="15.75" customHeight="1">
      <c r="A1345" s="737">
        <f t="shared" si="379"/>
        <v>0</v>
      </c>
      <c r="B1345" s="737">
        <f>A1345/'Orbit Info'!$G$10</f>
        <v>0</v>
      </c>
      <c r="C1345" s="737" t="str">
        <f t="shared" si="380"/>
        <v>Housekeeping and events only</v>
      </c>
      <c r="D1345" s="737">
        <f t="shared" si="381"/>
        <v>1</v>
      </c>
      <c r="E1345" s="737" t="str">
        <f t="shared" si="382"/>
        <v>#VALUE!</v>
      </c>
      <c r="F1345" s="737">
        <v>1.0</v>
      </c>
      <c r="G1345" s="737" t="str">
        <f t="shared" si="383"/>
        <v>#VALUE!</v>
      </c>
      <c r="H1345" s="737" t="str">
        <f>MIN($Q$11/('Orbit Info'!G$10),$Q$8*60)</f>
        <v>#VALUE!</v>
      </c>
      <c r="I1345" s="737" t="str">
        <f>IF(D1345=1,$Q$12/'Data DownlinkStorage Budget'!$M$3,0)</f>
        <v>#VALUE!</v>
      </c>
      <c r="J1345" s="737" t="str">
        <f t="shared" si="384"/>
        <v>#VALUE!</v>
      </c>
      <c r="K1345" s="11"/>
      <c r="L1345" s="737" t="str">
        <f t="shared" si="385"/>
        <v>FOUND product plus housekeeping</v>
      </c>
      <c r="M1345" s="737" t="str">
        <f>MIN($Q$18,$Q$10*60)-IF(D1345=1,$Q$17/'Data DownlinkStorage Budget'!$M$3,0)</f>
        <v>#VALUE!</v>
      </c>
      <c r="N1345" s="182"/>
      <c r="O1345" s="737" t="str">
        <f t="shared" si="386"/>
        <v>#VALUE!</v>
      </c>
      <c r="P1345" s="11"/>
      <c r="Q1345" s="11"/>
      <c r="R1345" s="11"/>
      <c r="S1345" s="11"/>
      <c r="T1345" s="11"/>
      <c r="U1345" s="11"/>
      <c r="V1345" s="11"/>
      <c r="W1345" s="11"/>
      <c r="X1345" s="11"/>
      <c r="Y1345" s="11"/>
      <c r="Z1345" s="11"/>
      <c r="AA1345" s="11"/>
    </row>
    <row r="1346" ht="15.75" customHeight="1">
      <c r="A1346" s="737">
        <f t="shared" si="379"/>
        <v>0</v>
      </c>
      <c r="B1346" s="737">
        <f>A1346/'Orbit Info'!$G$10</f>
        <v>0</v>
      </c>
      <c r="C1346" s="737" t="str">
        <f t="shared" si="380"/>
        <v>Housekeeping and events only</v>
      </c>
      <c r="D1346" s="737">
        <f t="shared" si="381"/>
        <v>1</v>
      </c>
      <c r="E1346" s="737" t="str">
        <f t="shared" si="382"/>
        <v>#VALUE!</v>
      </c>
      <c r="F1346" s="737">
        <v>1.0</v>
      </c>
      <c r="G1346" s="737" t="str">
        <f t="shared" si="383"/>
        <v>#VALUE!</v>
      </c>
      <c r="H1346" s="737" t="str">
        <f>MIN($Q$11/('Orbit Info'!G$10),$Q$8*60)</f>
        <v>#VALUE!</v>
      </c>
      <c r="I1346" s="737" t="str">
        <f>IF(D1346=1,$Q$12/'Data DownlinkStorage Budget'!$M$3,0)</f>
        <v>#VALUE!</v>
      </c>
      <c r="J1346" s="737" t="str">
        <f t="shared" si="384"/>
        <v>#VALUE!</v>
      </c>
      <c r="K1346" s="11"/>
      <c r="L1346" s="737" t="str">
        <f t="shared" si="385"/>
        <v>FOUND product plus housekeeping</v>
      </c>
      <c r="M1346" s="737" t="str">
        <f>MIN($Q$18,$Q$10*60)-IF(D1346=1,$Q$17/'Data DownlinkStorage Budget'!$M$3,0)</f>
        <v>#VALUE!</v>
      </c>
      <c r="N1346" s="182"/>
      <c r="O1346" s="737" t="str">
        <f t="shared" si="386"/>
        <v>#VALUE!</v>
      </c>
      <c r="P1346" s="11"/>
      <c r="Q1346" s="11"/>
      <c r="R1346" s="11"/>
      <c r="S1346" s="11"/>
      <c r="T1346" s="11"/>
      <c r="U1346" s="11"/>
      <c r="V1346" s="11"/>
      <c r="W1346" s="11"/>
      <c r="X1346" s="11"/>
      <c r="Y1346" s="11"/>
      <c r="Z1346" s="11"/>
      <c r="AA1346" s="11"/>
    </row>
    <row r="1347" ht="15.75" customHeight="1">
      <c r="A1347" s="737">
        <f t="shared" si="379"/>
        <v>0</v>
      </c>
      <c r="B1347" s="737">
        <f>A1347/'Orbit Info'!$G$10</f>
        <v>0</v>
      </c>
      <c r="C1347" s="737" t="str">
        <f t="shared" si="380"/>
        <v>Housekeeping and events only</v>
      </c>
      <c r="D1347" s="737">
        <f t="shared" si="381"/>
        <v>1</v>
      </c>
      <c r="E1347" s="737" t="str">
        <f t="shared" si="382"/>
        <v>#VALUE!</v>
      </c>
      <c r="F1347" s="737">
        <v>1.0</v>
      </c>
      <c r="G1347" s="737" t="str">
        <f t="shared" si="383"/>
        <v>#VALUE!</v>
      </c>
      <c r="H1347" s="737" t="str">
        <f>MIN($Q$11/('Orbit Info'!G$10),$Q$8*60)</f>
        <v>#VALUE!</v>
      </c>
      <c r="I1347" s="737" t="str">
        <f>IF(D1347=1,$Q$12/'Data DownlinkStorage Budget'!$M$3,0)</f>
        <v>#VALUE!</v>
      </c>
      <c r="J1347" s="737" t="str">
        <f t="shared" si="384"/>
        <v>#VALUE!</v>
      </c>
      <c r="K1347" s="11"/>
      <c r="L1347" s="737" t="str">
        <f t="shared" si="385"/>
        <v>FOUND product plus housekeeping</v>
      </c>
      <c r="M1347" s="737" t="str">
        <f>MIN($Q$18,$Q$10*60)-IF(D1347=1,$Q$17/'Data DownlinkStorage Budget'!$M$3,0)</f>
        <v>#VALUE!</v>
      </c>
      <c r="N1347" s="182"/>
      <c r="O1347" s="737" t="str">
        <f t="shared" si="386"/>
        <v>#VALUE!</v>
      </c>
      <c r="P1347" s="11"/>
      <c r="Q1347" s="11"/>
      <c r="R1347" s="11"/>
      <c r="S1347" s="11"/>
      <c r="T1347" s="11"/>
      <c r="U1347" s="11"/>
      <c r="V1347" s="11"/>
      <c r="W1347" s="11"/>
      <c r="X1347" s="11"/>
      <c r="Y1347" s="11"/>
      <c r="Z1347" s="11"/>
      <c r="AA1347" s="11"/>
    </row>
    <row r="1348" ht="15.75" customHeight="1">
      <c r="A1348" s="737">
        <f t="shared" si="379"/>
        <v>0</v>
      </c>
      <c r="B1348" s="737">
        <f>A1348/'Orbit Info'!$G$10</f>
        <v>0</v>
      </c>
      <c r="C1348" s="737" t="str">
        <f t="shared" si="380"/>
        <v>Housekeeping and events only</v>
      </c>
      <c r="D1348" s="737">
        <f t="shared" si="381"/>
        <v>1</v>
      </c>
      <c r="E1348" s="737" t="str">
        <f t="shared" si="382"/>
        <v>#VALUE!</v>
      </c>
      <c r="F1348" s="737">
        <v>1.0</v>
      </c>
      <c r="G1348" s="737" t="str">
        <f t="shared" si="383"/>
        <v>#VALUE!</v>
      </c>
      <c r="H1348" s="737" t="str">
        <f>MIN($Q$11/('Orbit Info'!G$10),$Q$8*60)</f>
        <v>#VALUE!</v>
      </c>
      <c r="I1348" s="737" t="str">
        <f>IF(D1348=1,$Q$12/'Data DownlinkStorage Budget'!$M$3,0)</f>
        <v>#VALUE!</v>
      </c>
      <c r="J1348" s="737" t="str">
        <f t="shared" si="384"/>
        <v>#VALUE!</v>
      </c>
      <c r="K1348" s="11"/>
      <c r="L1348" s="737" t="str">
        <f t="shared" si="385"/>
        <v>FOUND product plus housekeeping</v>
      </c>
      <c r="M1348" s="737" t="str">
        <f>MIN($Q$18,$Q$10*60)-IF(D1348=1,$Q$17/'Data DownlinkStorage Budget'!$M$3,0)</f>
        <v>#VALUE!</v>
      </c>
      <c r="N1348" s="182"/>
      <c r="O1348" s="737" t="str">
        <f t="shared" si="386"/>
        <v>#VALUE!</v>
      </c>
      <c r="P1348" s="11"/>
      <c r="Q1348" s="11"/>
      <c r="R1348" s="11"/>
      <c r="S1348" s="11"/>
      <c r="T1348" s="11"/>
      <c r="U1348" s="11"/>
      <c r="V1348" s="11"/>
      <c r="W1348" s="11"/>
      <c r="X1348" s="11"/>
      <c r="Y1348" s="11"/>
      <c r="Z1348" s="11"/>
      <c r="AA1348" s="11"/>
    </row>
    <row r="1349" ht="15.75" customHeight="1">
      <c r="A1349" s="737">
        <f t="shared" si="379"/>
        <v>0</v>
      </c>
      <c r="B1349" s="737">
        <f>A1349/'Orbit Info'!$G$10</f>
        <v>0</v>
      </c>
      <c r="C1349" s="737" t="str">
        <f t="shared" si="380"/>
        <v>Housekeeping and events only</v>
      </c>
      <c r="D1349" s="737">
        <f t="shared" si="381"/>
        <v>1</v>
      </c>
      <c r="E1349" s="737" t="str">
        <f t="shared" si="382"/>
        <v>#VALUE!</v>
      </c>
      <c r="F1349" s="737">
        <v>1.0</v>
      </c>
      <c r="G1349" s="737" t="str">
        <f t="shared" si="383"/>
        <v>#VALUE!</v>
      </c>
      <c r="H1349" s="737" t="str">
        <f>MIN($Q$11/('Orbit Info'!G$10),$Q$8*60)</f>
        <v>#VALUE!</v>
      </c>
      <c r="I1349" s="737" t="str">
        <f>IF(D1349=1,$Q$12/'Data DownlinkStorage Budget'!$M$3,0)</f>
        <v>#VALUE!</v>
      </c>
      <c r="J1349" s="737" t="str">
        <f t="shared" si="384"/>
        <v>#VALUE!</v>
      </c>
      <c r="K1349" s="11"/>
      <c r="L1349" s="737" t="str">
        <f t="shared" si="385"/>
        <v>FOUND product plus housekeeping</v>
      </c>
      <c r="M1349" s="737" t="str">
        <f>MIN($Q$18,$Q$10*60)-IF(D1349=1,$Q$17/'Data DownlinkStorage Budget'!$M$3,0)</f>
        <v>#VALUE!</v>
      </c>
      <c r="N1349" s="182"/>
      <c r="O1349" s="737" t="str">
        <f t="shared" si="386"/>
        <v>#VALUE!</v>
      </c>
      <c r="P1349" s="11"/>
      <c r="Q1349" s="11"/>
      <c r="R1349" s="11"/>
      <c r="S1349" s="11"/>
      <c r="T1349" s="11"/>
      <c r="U1349" s="11"/>
      <c r="V1349" s="11"/>
      <c r="W1349" s="11"/>
      <c r="X1349" s="11"/>
      <c r="Y1349" s="11"/>
      <c r="Z1349" s="11"/>
      <c r="AA1349" s="11"/>
    </row>
    <row r="1350" ht="15.75" customHeight="1">
      <c r="A1350" s="737">
        <f t="shared" si="379"/>
        <v>0</v>
      </c>
      <c r="B1350" s="737">
        <f>A1350/'Orbit Info'!$G$10</f>
        <v>0</v>
      </c>
      <c r="C1350" s="737" t="str">
        <f t="shared" si="380"/>
        <v>Housekeeping and events only</v>
      </c>
      <c r="D1350" s="737">
        <f t="shared" si="381"/>
        <v>1</v>
      </c>
      <c r="E1350" s="737" t="str">
        <f t="shared" si="382"/>
        <v>#VALUE!</v>
      </c>
      <c r="F1350" s="737">
        <v>1.0</v>
      </c>
      <c r="G1350" s="737" t="str">
        <f t="shared" si="383"/>
        <v>#VALUE!</v>
      </c>
      <c r="H1350" s="737" t="str">
        <f>MIN($Q$11/('Orbit Info'!G$10),$Q$8*60)</f>
        <v>#VALUE!</v>
      </c>
      <c r="I1350" s="737" t="str">
        <f>IF(D1350=1,$Q$12/'Data DownlinkStorage Budget'!$M$3,0)</f>
        <v>#VALUE!</v>
      </c>
      <c r="J1350" s="737" t="str">
        <f t="shared" si="384"/>
        <v>#VALUE!</v>
      </c>
      <c r="K1350" s="11"/>
      <c r="L1350" s="737" t="str">
        <f t="shared" si="385"/>
        <v>FOUND product plus housekeeping</v>
      </c>
      <c r="M1350" s="737" t="str">
        <f>MIN($Q$18,$Q$10*60)-IF(D1350=1,$Q$17/'Data DownlinkStorage Budget'!$M$3,0)</f>
        <v>#VALUE!</v>
      </c>
      <c r="N1350" s="182"/>
      <c r="O1350" s="737" t="str">
        <f t="shared" si="386"/>
        <v>#VALUE!</v>
      </c>
      <c r="P1350" s="11"/>
      <c r="Q1350" s="11"/>
      <c r="R1350" s="11"/>
      <c r="S1350" s="11"/>
      <c r="T1350" s="11"/>
      <c r="U1350" s="11"/>
      <c r="V1350" s="11"/>
      <c r="W1350" s="11"/>
      <c r="X1350" s="11"/>
      <c r="Y1350" s="11"/>
      <c r="Z1350" s="11"/>
      <c r="AA1350" s="11"/>
    </row>
    <row r="1351" ht="15.75" customHeight="1">
      <c r="A1351" s="737">
        <f t="shared" si="379"/>
        <v>0</v>
      </c>
      <c r="B1351" s="737">
        <f>A1351/'Orbit Info'!$G$10</f>
        <v>0</v>
      </c>
      <c r="C1351" s="737" t="str">
        <f t="shared" si="380"/>
        <v>Housekeeping and events only</v>
      </c>
      <c r="D1351" s="737">
        <f t="shared" si="381"/>
        <v>1</v>
      </c>
      <c r="E1351" s="737" t="str">
        <f t="shared" si="382"/>
        <v>#VALUE!</v>
      </c>
      <c r="F1351" s="737">
        <v>1.0</v>
      </c>
      <c r="G1351" s="737" t="str">
        <f t="shared" si="383"/>
        <v>#VALUE!</v>
      </c>
      <c r="H1351" s="737" t="str">
        <f>MIN($Q$11/('Orbit Info'!G$10),$Q$8*60)</f>
        <v>#VALUE!</v>
      </c>
      <c r="I1351" s="737" t="str">
        <f>IF(D1351=1,$Q$12/'Data DownlinkStorage Budget'!$M$3,0)</f>
        <v>#VALUE!</v>
      </c>
      <c r="J1351" s="737" t="str">
        <f t="shared" si="384"/>
        <v>#VALUE!</v>
      </c>
      <c r="K1351" s="11"/>
      <c r="L1351" s="737" t="str">
        <f t="shared" si="385"/>
        <v>FOUND product plus housekeeping</v>
      </c>
      <c r="M1351" s="737" t="str">
        <f>MIN($Q$18,$Q$10*60)-IF(D1351=1,$Q$17/'Data DownlinkStorage Budget'!$M$3,0)</f>
        <v>#VALUE!</v>
      </c>
      <c r="N1351" s="182"/>
      <c r="O1351" s="737" t="str">
        <f t="shared" si="386"/>
        <v>#VALUE!</v>
      </c>
      <c r="P1351" s="11"/>
      <c r="Q1351" s="11"/>
      <c r="R1351" s="11"/>
      <c r="S1351" s="11"/>
      <c r="T1351" s="11"/>
      <c r="U1351" s="11"/>
      <c r="V1351" s="11"/>
      <c r="W1351" s="11"/>
      <c r="X1351" s="11"/>
      <c r="Y1351" s="11"/>
      <c r="Z1351" s="11"/>
      <c r="AA1351" s="11"/>
    </row>
    <row r="1352" ht="15.75" customHeight="1">
      <c r="A1352" s="737">
        <f t="shared" si="379"/>
        <v>0</v>
      </c>
      <c r="B1352" s="737">
        <f>A1352/'Orbit Info'!$G$10</f>
        <v>0</v>
      </c>
      <c r="C1352" s="737" t="str">
        <f t="shared" si="380"/>
        <v>Housekeeping and events only</v>
      </c>
      <c r="D1352" s="737">
        <f t="shared" si="381"/>
        <v>1</v>
      </c>
      <c r="E1352" s="737" t="str">
        <f t="shared" si="382"/>
        <v>#VALUE!</v>
      </c>
      <c r="F1352" s="737">
        <v>1.0</v>
      </c>
      <c r="G1352" s="737" t="str">
        <f t="shared" si="383"/>
        <v>#VALUE!</v>
      </c>
      <c r="H1352" s="737" t="str">
        <f>MIN($Q$11/('Orbit Info'!G$10),$Q$8*60)</f>
        <v>#VALUE!</v>
      </c>
      <c r="I1352" s="737" t="str">
        <f>IF(D1352=1,$Q$12/'Data DownlinkStorage Budget'!$M$3,0)</f>
        <v>#VALUE!</v>
      </c>
      <c r="J1352" s="737" t="str">
        <f t="shared" si="384"/>
        <v>#VALUE!</v>
      </c>
      <c r="K1352" s="11"/>
      <c r="L1352" s="737" t="str">
        <f t="shared" si="385"/>
        <v>FOUND product plus housekeeping</v>
      </c>
      <c r="M1352" s="737" t="str">
        <f>MIN($Q$18,$Q$10*60)-IF(D1352=1,$Q$17/'Data DownlinkStorage Budget'!$M$3,0)</f>
        <v>#VALUE!</v>
      </c>
      <c r="N1352" s="182"/>
      <c r="O1352" s="737" t="str">
        <f t="shared" si="386"/>
        <v>#VALUE!</v>
      </c>
      <c r="P1352" s="11"/>
      <c r="Q1352" s="11"/>
      <c r="R1352" s="11"/>
      <c r="S1352" s="11"/>
      <c r="T1352" s="11"/>
      <c r="U1352" s="11"/>
      <c r="V1352" s="11"/>
      <c r="W1352" s="11"/>
      <c r="X1352" s="11"/>
      <c r="Y1352" s="11"/>
      <c r="Z1352" s="11"/>
      <c r="AA1352" s="11"/>
    </row>
    <row r="1353" ht="15.75" customHeight="1">
      <c r="A1353" s="737">
        <f t="shared" si="379"/>
        <v>0</v>
      </c>
      <c r="B1353" s="737">
        <f>A1353/'Orbit Info'!$G$10</f>
        <v>0</v>
      </c>
      <c r="C1353" s="737" t="str">
        <f t="shared" si="380"/>
        <v>Housekeeping and events only</v>
      </c>
      <c r="D1353" s="737">
        <f t="shared" si="381"/>
        <v>1</v>
      </c>
      <c r="E1353" s="737" t="str">
        <f t="shared" si="382"/>
        <v>#VALUE!</v>
      </c>
      <c r="F1353" s="737">
        <v>1.0</v>
      </c>
      <c r="G1353" s="737" t="str">
        <f t="shared" si="383"/>
        <v>#VALUE!</v>
      </c>
      <c r="H1353" s="737" t="str">
        <f>MIN($Q$11/('Orbit Info'!G$10),$Q$8*60)</f>
        <v>#VALUE!</v>
      </c>
      <c r="I1353" s="737" t="str">
        <f>IF(D1353=1,$Q$12/'Data DownlinkStorage Budget'!$M$3,0)</f>
        <v>#VALUE!</v>
      </c>
      <c r="J1353" s="737" t="str">
        <f t="shared" si="384"/>
        <v>#VALUE!</v>
      </c>
      <c r="K1353" s="11"/>
      <c r="L1353" s="737" t="str">
        <f t="shared" si="385"/>
        <v>FOUND product plus housekeeping</v>
      </c>
      <c r="M1353" s="737" t="str">
        <f>MIN($Q$18,$Q$10*60)-IF(D1353=1,$Q$17/'Data DownlinkStorage Budget'!$M$3,0)</f>
        <v>#VALUE!</v>
      </c>
      <c r="N1353" s="182"/>
      <c r="O1353" s="737" t="str">
        <f t="shared" si="386"/>
        <v>#VALUE!</v>
      </c>
      <c r="P1353" s="11"/>
      <c r="Q1353" s="11"/>
      <c r="R1353" s="11"/>
      <c r="S1353" s="11"/>
      <c r="T1353" s="11"/>
      <c r="U1353" s="11"/>
      <c r="V1353" s="11"/>
      <c r="W1353" s="11"/>
      <c r="X1353" s="11"/>
      <c r="Y1353" s="11"/>
      <c r="Z1353" s="11"/>
      <c r="AA1353" s="11"/>
    </row>
    <row r="1354" ht="15.75" customHeight="1">
      <c r="A1354" s="737">
        <f t="shared" si="379"/>
        <v>0</v>
      </c>
      <c r="B1354" s="737">
        <f>A1354/'Orbit Info'!$G$10</f>
        <v>0</v>
      </c>
      <c r="C1354" s="737" t="str">
        <f t="shared" si="380"/>
        <v>Housekeeping and events only</v>
      </c>
      <c r="D1354" s="737">
        <f t="shared" si="381"/>
        <v>1</v>
      </c>
      <c r="E1354" s="737" t="str">
        <f t="shared" si="382"/>
        <v>#VALUE!</v>
      </c>
      <c r="F1354" s="737">
        <v>1.0</v>
      </c>
      <c r="G1354" s="737" t="str">
        <f t="shared" si="383"/>
        <v>#VALUE!</v>
      </c>
      <c r="H1354" s="737" t="str">
        <f>MIN($Q$11/('Orbit Info'!G$10),$Q$8*60)</f>
        <v>#VALUE!</v>
      </c>
      <c r="I1354" s="737" t="str">
        <f>IF(D1354=1,$Q$12/'Data DownlinkStorage Budget'!$M$3,0)</f>
        <v>#VALUE!</v>
      </c>
      <c r="J1354" s="737" t="str">
        <f t="shared" si="384"/>
        <v>#VALUE!</v>
      </c>
      <c r="K1354" s="11"/>
      <c r="L1354" s="737" t="str">
        <f t="shared" si="385"/>
        <v>FOUND product plus housekeeping</v>
      </c>
      <c r="M1354" s="737" t="str">
        <f>MIN($Q$18,$Q$10*60)-IF(D1354=1,$Q$17/'Data DownlinkStorage Budget'!$M$3,0)</f>
        <v>#VALUE!</v>
      </c>
      <c r="N1354" s="182"/>
      <c r="O1354" s="737" t="str">
        <f t="shared" si="386"/>
        <v>#VALUE!</v>
      </c>
      <c r="P1354" s="11"/>
      <c r="Q1354" s="11"/>
      <c r="R1354" s="11"/>
      <c r="S1354" s="11"/>
      <c r="T1354" s="11"/>
      <c r="U1354" s="11"/>
      <c r="V1354" s="11"/>
      <c r="W1354" s="11"/>
      <c r="X1354" s="11"/>
      <c r="Y1354" s="11"/>
      <c r="Z1354" s="11"/>
      <c r="AA1354" s="11"/>
    </row>
    <row r="1355" ht="15.75" customHeight="1">
      <c r="A1355" s="737">
        <f t="shared" si="379"/>
        <v>0</v>
      </c>
      <c r="B1355" s="737">
        <f>A1355/'Orbit Info'!$G$10</f>
        <v>0</v>
      </c>
      <c r="C1355" s="737" t="str">
        <f t="shared" si="380"/>
        <v>Housekeeping and events only</v>
      </c>
      <c r="D1355" s="737">
        <f t="shared" si="381"/>
        <v>1</v>
      </c>
      <c r="E1355" s="737" t="str">
        <f t="shared" si="382"/>
        <v>#VALUE!</v>
      </c>
      <c r="F1355" s="737">
        <v>1.0</v>
      </c>
      <c r="G1355" s="737" t="str">
        <f t="shared" si="383"/>
        <v>#VALUE!</v>
      </c>
      <c r="H1355" s="737" t="str">
        <f>MIN($Q$11/('Orbit Info'!G$10),$Q$8*60)</f>
        <v>#VALUE!</v>
      </c>
      <c r="I1355" s="737" t="str">
        <f>IF(D1355=1,$Q$12/'Data DownlinkStorage Budget'!$M$3,0)</f>
        <v>#VALUE!</v>
      </c>
      <c r="J1355" s="737" t="str">
        <f t="shared" si="384"/>
        <v>#VALUE!</v>
      </c>
      <c r="K1355" s="11"/>
      <c r="L1355" s="737" t="str">
        <f t="shared" si="385"/>
        <v>FOUND product plus housekeeping</v>
      </c>
      <c r="M1355" s="737" t="str">
        <f>MIN($Q$18,$Q$10*60)-IF(D1355=1,$Q$17/'Data DownlinkStorage Budget'!$M$3,0)</f>
        <v>#VALUE!</v>
      </c>
      <c r="N1355" s="182"/>
      <c r="O1355" s="737" t="str">
        <f t="shared" si="386"/>
        <v>#VALUE!</v>
      </c>
      <c r="P1355" s="11"/>
      <c r="Q1355" s="11"/>
      <c r="R1355" s="11"/>
      <c r="S1355" s="11"/>
      <c r="T1355" s="11"/>
      <c r="U1355" s="11"/>
      <c r="V1355" s="11"/>
      <c r="W1355" s="11"/>
      <c r="X1355" s="11"/>
      <c r="Y1355" s="11"/>
      <c r="Z1355" s="11"/>
      <c r="AA1355" s="11"/>
    </row>
    <row r="1356" ht="15.75" customHeight="1">
      <c r="A1356" s="737">
        <f t="shared" si="379"/>
        <v>0</v>
      </c>
      <c r="B1356" s="737">
        <f>A1356/'Orbit Info'!$G$10</f>
        <v>0</v>
      </c>
      <c r="C1356" s="737" t="str">
        <f t="shared" si="380"/>
        <v>Housekeeping and events only</v>
      </c>
      <c r="D1356" s="737">
        <f t="shared" si="381"/>
        <v>1</v>
      </c>
      <c r="E1356" s="737" t="str">
        <f t="shared" si="382"/>
        <v>#VALUE!</v>
      </c>
      <c r="F1356" s="737">
        <v>1.0</v>
      </c>
      <c r="G1356" s="737" t="str">
        <f t="shared" si="383"/>
        <v>#VALUE!</v>
      </c>
      <c r="H1356" s="737" t="str">
        <f>MIN($Q$11/('Orbit Info'!G$10),$Q$8*60)</f>
        <v>#VALUE!</v>
      </c>
      <c r="I1356" s="737" t="str">
        <f>IF(D1356=1,$Q$12/'Data DownlinkStorage Budget'!$M$3,0)</f>
        <v>#VALUE!</v>
      </c>
      <c r="J1356" s="737" t="str">
        <f t="shared" si="384"/>
        <v>#VALUE!</v>
      </c>
      <c r="K1356" s="11"/>
      <c r="L1356" s="737" t="str">
        <f t="shared" si="385"/>
        <v>FOUND product plus housekeeping</v>
      </c>
      <c r="M1356" s="737" t="str">
        <f>MIN($Q$18,$Q$10*60)-IF(D1356=1,$Q$17/'Data DownlinkStorage Budget'!$M$3,0)</f>
        <v>#VALUE!</v>
      </c>
      <c r="N1356" s="182"/>
      <c r="O1356" s="737" t="str">
        <f t="shared" si="386"/>
        <v>#VALUE!</v>
      </c>
      <c r="P1356" s="11"/>
      <c r="Q1356" s="11"/>
      <c r="R1356" s="11"/>
      <c r="S1356" s="11"/>
      <c r="T1356" s="11"/>
      <c r="U1356" s="11"/>
      <c r="V1356" s="11"/>
      <c r="W1356" s="11"/>
      <c r="X1356" s="11"/>
      <c r="Y1356" s="11"/>
      <c r="Z1356" s="11"/>
      <c r="AA1356" s="11"/>
    </row>
    <row r="1357" ht="15.75" customHeight="1">
      <c r="A1357" s="737">
        <f t="shared" si="379"/>
        <v>0</v>
      </c>
      <c r="B1357" s="737">
        <f>A1357/'Orbit Info'!$G$10</f>
        <v>0</v>
      </c>
      <c r="C1357" s="737" t="str">
        <f t="shared" si="380"/>
        <v>Housekeeping and events only</v>
      </c>
      <c r="D1357" s="737">
        <f t="shared" si="381"/>
        <v>1</v>
      </c>
      <c r="E1357" s="737" t="str">
        <f t="shared" si="382"/>
        <v>#VALUE!</v>
      </c>
      <c r="F1357" s="737">
        <v>1.0</v>
      </c>
      <c r="G1357" s="737" t="str">
        <f t="shared" si="383"/>
        <v>#VALUE!</v>
      </c>
      <c r="H1357" s="737" t="str">
        <f>MIN($Q$11/('Orbit Info'!G$10),$Q$8*60)</f>
        <v>#VALUE!</v>
      </c>
      <c r="I1357" s="737" t="str">
        <f>IF(D1357=1,$Q$12/'Data DownlinkStorage Budget'!$M$3,0)</f>
        <v>#VALUE!</v>
      </c>
      <c r="J1357" s="737" t="str">
        <f t="shared" si="384"/>
        <v>#VALUE!</v>
      </c>
      <c r="K1357" s="11"/>
      <c r="L1357" s="737" t="str">
        <f t="shared" si="385"/>
        <v>FOUND product plus housekeeping</v>
      </c>
      <c r="M1357" s="737" t="str">
        <f>MIN($Q$18,$Q$10*60)-IF(D1357=1,$Q$17/'Data DownlinkStorage Budget'!$M$3,0)</f>
        <v>#VALUE!</v>
      </c>
      <c r="N1357" s="182"/>
      <c r="O1357" s="737" t="str">
        <f t="shared" si="386"/>
        <v>#VALUE!</v>
      </c>
      <c r="P1357" s="11"/>
      <c r="Q1357" s="11"/>
      <c r="R1357" s="11"/>
      <c r="S1357" s="11"/>
      <c r="T1357" s="11"/>
      <c r="U1357" s="11"/>
      <c r="V1357" s="11"/>
      <c r="W1357" s="11"/>
      <c r="X1357" s="11"/>
      <c r="Y1357" s="11"/>
      <c r="Z1357" s="11"/>
      <c r="AA1357" s="11"/>
    </row>
    <row r="1358" ht="15.75" customHeight="1">
      <c r="A1358" s="737">
        <f t="shared" si="379"/>
        <v>0</v>
      </c>
      <c r="B1358" s="737">
        <f>A1358/'Orbit Info'!$G$10</f>
        <v>0</v>
      </c>
      <c r="C1358" s="737" t="str">
        <f t="shared" si="380"/>
        <v>Housekeeping and events only</v>
      </c>
      <c r="D1358" s="737">
        <f t="shared" si="381"/>
        <v>1</v>
      </c>
      <c r="E1358" s="737" t="str">
        <f t="shared" si="382"/>
        <v>#VALUE!</v>
      </c>
      <c r="F1358" s="737">
        <v>1.0</v>
      </c>
      <c r="G1358" s="737" t="str">
        <f t="shared" si="383"/>
        <v>#VALUE!</v>
      </c>
      <c r="H1358" s="737" t="str">
        <f>MIN($Q$11/('Orbit Info'!G$10),$Q$8*60)</f>
        <v>#VALUE!</v>
      </c>
      <c r="I1358" s="737" t="str">
        <f>IF(D1358=1,$Q$12/'Data DownlinkStorage Budget'!$M$3,0)</f>
        <v>#VALUE!</v>
      </c>
      <c r="J1358" s="737" t="str">
        <f t="shared" si="384"/>
        <v>#VALUE!</v>
      </c>
      <c r="K1358" s="11"/>
      <c r="L1358" s="737" t="str">
        <f t="shared" si="385"/>
        <v>FOUND product plus housekeeping</v>
      </c>
      <c r="M1358" s="737" t="str">
        <f>MIN($Q$18,$Q$10*60)-IF(D1358=1,$Q$17/'Data DownlinkStorage Budget'!$M$3,0)</f>
        <v>#VALUE!</v>
      </c>
      <c r="N1358" s="182"/>
      <c r="O1358" s="737" t="str">
        <f t="shared" si="386"/>
        <v>#VALUE!</v>
      </c>
      <c r="P1358" s="11"/>
      <c r="Q1358" s="11"/>
      <c r="R1358" s="11"/>
      <c r="S1358" s="11"/>
      <c r="T1358" s="11"/>
      <c r="U1358" s="11"/>
      <c r="V1358" s="11"/>
      <c r="W1358" s="11"/>
      <c r="X1358" s="11"/>
      <c r="Y1358" s="11"/>
      <c r="Z1358" s="11"/>
      <c r="AA1358" s="11"/>
    </row>
    <row r="1359" ht="15.75" customHeight="1">
      <c r="A1359" s="737">
        <f t="shared" si="379"/>
        <v>0</v>
      </c>
      <c r="B1359" s="737">
        <f>A1359/'Orbit Info'!$G$10</f>
        <v>0</v>
      </c>
      <c r="C1359" s="737" t="str">
        <f t="shared" si="380"/>
        <v>Housekeeping and events only</v>
      </c>
      <c r="D1359" s="737">
        <f t="shared" si="381"/>
        <v>1</v>
      </c>
      <c r="E1359" s="737" t="str">
        <f t="shared" si="382"/>
        <v>#VALUE!</v>
      </c>
      <c r="F1359" s="737">
        <v>1.0</v>
      </c>
      <c r="G1359" s="737" t="str">
        <f t="shared" si="383"/>
        <v>#VALUE!</v>
      </c>
      <c r="H1359" s="737" t="str">
        <f>MIN($Q$11/('Orbit Info'!G$10),$Q$8*60)</f>
        <v>#VALUE!</v>
      </c>
      <c r="I1359" s="737" t="str">
        <f>IF(D1359=1,$Q$12/'Data DownlinkStorage Budget'!$M$3,0)</f>
        <v>#VALUE!</v>
      </c>
      <c r="J1359" s="737" t="str">
        <f t="shared" si="384"/>
        <v>#VALUE!</v>
      </c>
      <c r="K1359" s="11"/>
      <c r="L1359" s="737" t="str">
        <f t="shared" si="385"/>
        <v>FOUND product plus housekeeping</v>
      </c>
      <c r="M1359" s="737" t="str">
        <f>MIN($Q$18,$Q$10*60)-IF(D1359=1,$Q$17/'Data DownlinkStorage Budget'!$M$3,0)</f>
        <v>#VALUE!</v>
      </c>
      <c r="N1359" s="182"/>
      <c r="O1359" s="737" t="str">
        <f t="shared" si="386"/>
        <v>#VALUE!</v>
      </c>
      <c r="P1359" s="11"/>
      <c r="Q1359" s="11"/>
      <c r="R1359" s="11"/>
      <c r="S1359" s="11"/>
      <c r="T1359" s="11"/>
      <c r="U1359" s="11"/>
      <c r="V1359" s="11"/>
      <c r="W1359" s="11"/>
      <c r="X1359" s="11"/>
      <c r="Y1359" s="11"/>
      <c r="Z1359" s="11"/>
      <c r="AA1359" s="11"/>
    </row>
    <row r="1360" ht="15.75" customHeight="1">
      <c r="A1360" s="737">
        <f t="shared" si="379"/>
        <v>0</v>
      </c>
      <c r="B1360" s="737">
        <f>A1360/'Orbit Info'!$G$10</f>
        <v>0</v>
      </c>
      <c r="C1360" s="737" t="str">
        <f t="shared" si="380"/>
        <v>Housekeeping and events only</v>
      </c>
      <c r="D1360" s="737">
        <f t="shared" si="381"/>
        <v>1</v>
      </c>
      <c r="E1360" s="737" t="str">
        <f t="shared" si="382"/>
        <v>#VALUE!</v>
      </c>
      <c r="F1360" s="737">
        <v>1.0</v>
      </c>
      <c r="G1360" s="737" t="str">
        <f t="shared" si="383"/>
        <v>#VALUE!</v>
      </c>
      <c r="H1360" s="737" t="str">
        <f>MIN($Q$11/('Orbit Info'!G$10),$Q$8*60)</f>
        <v>#VALUE!</v>
      </c>
      <c r="I1360" s="737" t="str">
        <f>IF(D1360=1,$Q$12/'Data DownlinkStorage Budget'!$M$3,0)</f>
        <v>#VALUE!</v>
      </c>
      <c r="J1360" s="737" t="str">
        <f t="shared" si="384"/>
        <v>#VALUE!</v>
      </c>
      <c r="K1360" s="11"/>
      <c r="L1360" s="737" t="str">
        <f t="shared" si="385"/>
        <v>FOUND product plus housekeeping</v>
      </c>
      <c r="M1360" s="737" t="str">
        <f>MIN($Q$18,$Q$10*60)-IF(D1360=1,$Q$17/'Data DownlinkStorage Budget'!$M$3,0)</f>
        <v>#VALUE!</v>
      </c>
      <c r="N1360" s="182"/>
      <c r="O1360" s="737" t="str">
        <f t="shared" si="386"/>
        <v>#VALUE!</v>
      </c>
      <c r="P1360" s="11"/>
      <c r="Q1360" s="11"/>
      <c r="R1360" s="11"/>
      <c r="S1360" s="11"/>
      <c r="T1360" s="11"/>
      <c r="U1360" s="11"/>
      <c r="V1360" s="11"/>
      <c r="W1360" s="11"/>
      <c r="X1360" s="11"/>
      <c r="Y1360" s="11"/>
      <c r="Z1360" s="11"/>
      <c r="AA1360" s="11"/>
    </row>
    <row r="1361" ht="15.75" customHeight="1">
      <c r="A1361" s="737">
        <f t="shared" si="379"/>
        <v>0</v>
      </c>
      <c r="B1361" s="737">
        <f>A1361/'Orbit Info'!$G$10</f>
        <v>0</v>
      </c>
      <c r="C1361" s="737" t="str">
        <f t="shared" si="380"/>
        <v>Housekeeping and events only</v>
      </c>
      <c r="D1361" s="737">
        <f t="shared" si="381"/>
        <v>1</v>
      </c>
      <c r="E1361" s="737" t="str">
        <f t="shared" si="382"/>
        <v>#VALUE!</v>
      </c>
      <c r="F1361" s="737">
        <v>1.0</v>
      </c>
      <c r="G1361" s="737" t="str">
        <f t="shared" si="383"/>
        <v>#VALUE!</v>
      </c>
      <c r="H1361" s="737" t="str">
        <f>MIN($Q$11/('Orbit Info'!G$10),$Q$8*60)</f>
        <v>#VALUE!</v>
      </c>
      <c r="I1361" s="737" t="str">
        <f>IF(D1361=1,$Q$12/'Data DownlinkStorage Budget'!$M$3,0)</f>
        <v>#VALUE!</v>
      </c>
      <c r="J1361" s="737" t="str">
        <f t="shared" si="384"/>
        <v>#VALUE!</v>
      </c>
      <c r="K1361" s="11"/>
      <c r="L1361" s="737" t="str">
        <f t="shared" si="385"/>
        <v>FOUND product plus housekeeping</v>
      </c>
      <c r="M1361" s="737" t="str">
        <f>MIN($Q$18,$Q$10*60)-IF(D1361=1,$Q$17/'Data DownlinkStorage Budget'!$M$3,0)</f>
        <v>#VALUE!</v>
      </c>
      <c r="N1361" s="182"/>
      <c r="O1361" s="737" t="str">
        <f t="shared" si="386"/>
        <v>#VALUE!</v>
      </c>
      <c r="P1361" s="11"/>
      <c r="Q1361" s="11"/>
      <c r="R1361" s="11"/>
      <c r="S1361" s="11"/>
      <c r="T1361" s="11"/>
      <c r="U1361" s="11"/>
      <c r="V1361" s="11"/>
      <c r="W1361" s="11"/>
      <c r="X1361" s="11"/>
      <c r="Y1361" s="11"/>
      <c r="Z1361" s="11"/>
      <c r="AA1361" s="11"/>
    </row>
    <row r="1362" ht="15.75" customHeight="1">
      <c r="A1362" s="737">
        <f t="shared" si="379"/>
        <v>0</v>
      </c>
      <c r="B1362" s="737">
        <f>A1362/'Orbit Info'!$G$10</f>
        <v>0</v>
      </c>
      <c r="C1362" s="737" t="str">
        <f t="shared" si="380"/>
        <v>Housekeeping and events only</v>
      </c>
      <c r="D1362" s="737">
        <f t="shared" si="381"/>
        <v>1</v>
      </c>
      <c r="E1362" s="737" t="str">
        <f t="shared" si="382"/>
        <v>#VALUE!</v>
      </c>
      <c r="F1362" s="737">
        <v>1.0</v>
      </c>
      <c r="G1362" s="737" t="str">
        <f t="shared" si="383"/>
        <v>#VALUE!</v>
      </c>
      <c r="H1362" s="737" t="str">
        <f>MIN($Q$11/('Orbit Info'!G$10),$Q$8*60)</f>
        <v>#VALUE!</v>
      </c>
      <c r="I1362" s="737" t="str">
        <f>IF(D1362=1,$Q$12/'Data DownlinkStorage Budget'!$M$3,0)</f>
        <v>#VALUE!</v>
      </c>
      <c r="J1362" s="737" t="str">
        <f t="shared" si="384"/>
        <v>#VALUE!</v>
      </c>
      <c r="K1362" s="11"/>
      <c r="L1362" s="737" t="str">
        <f t="shared" si="385"/>
        <v>FOUND product plus housekeeping</v>
      </c>
      <c r="M1362" s="737" t="str">
        <f>MIN($Q$18,$Q$10*60)-IF(D1362=1,$Q$17/'Data DownlinkStorage Budget'!$M$3,0)</f>
        <v>#VALUE!</v>
      </c>
      <c r="N1362" s="182"/>
      <c r="O1362" s="737" t="str">
        <f t="shared" si="386"/>
        <v>#VALUE!</v>
      </c>
      <c r="P1362" s="11"/>
      <c r="Q1362" s="11"/>
      <c r="R1362" s="11"/>
      <c r="S1362" s="11"/>
      <c r="T1362" s="11"/>
      <c r="U1362" s="11"/>
      <c r="V1362" s="11"/>
      <c r="W1362" s="11"/>
      <c r="X1362" s="11"/>
      <c r="Y1362" s="11"/>
      <c r="Z1362" s="11"/>
      <c r="AA1362" s="11"/>
    </row>
    <row r="1363" ht="15.75" customHeight="1">
      <c r="A1363" s="737">
        <f t="shared" si="379"/>
        <v>0</v>
      </c>
      <c r="B1363" s="737">
        <f>A1363/'Orbit Info'!$G$10</f>
        <v>0</v>
      </c>
      <c r="C1363" s="737" t="str">
        <f t="shared" si="380"/>
        <v>Housekeeping and events only</v>
      </c>
      <c r="D1363" s="737">
        <f t="shared" si="381"/>
        <v>1</v>
      </c>
      <c r="E1363" s="737" t="str">
        <f t="shared" si="382"/>
        <v>#VALUE!</v>
      </c>
      <c r="F1363" s="737">
        <v>1.0</v>
      </c>
      <c r="G1363" s="737" t="str">
        <f t="shared" si="383"/>
        <v>#VALUE!</v>
      </c>
      <c r="H1363" s="737" t="str">
        <f>MIN($Q$11/('Orbit Info'!G$10),$Q$8*60)</f>
        <v>#VALUE!</v>
      </c>
      <c r="I1363" s="737" t="str">
        <f>IF(D1363=1,$Q$12/'Data DownlinkStorage Budget'!$M$3,0)</f>
        <v>#VALUE!</v>
      </c>
      <c r="J1363" s="737" t="str">
        <f t="shared" si="384"/>
        <v>#VALUE!</v>
      </c>
      <c r="K1363" s="11"/>
      <c r="L1363" s="737" t="str">
        <f t="shared" si="385"/>
        <v>FOUND product plus housekeeping</v>
      </c>
      <c r="M1363" s="737" t="str">
        <f>MIN($Q$18,$Q$10*60)-IF(D1363=1,$Q$17/'Data DownlinkStorage Budget'!$M$3,0)</f>
        <v>#VALUE!</v>
      </c>
      <c r="N1363" s="182"/>
      <c r="O1363" s="737" t="str">
        <f t="shared" si="386"/>
        <v>#VALUE!</v>
      </c>
      <c r="P1363" s="11"/>
      <c r="Q1363" s="11"/>
      <c r="R1363" s="11"/>
      <c r="S1363" s="11"/>
      <c r="T1363" s="11"/>
      <c r="U1363" s="11"/>
      <c r="V1363" s="11"/>
      <c r="W1363" s="11"/>
      <c r="X1363" s="11"/>
      <c r="Y1363" s="11"/>
      <c r="Z1363" s="11"/>
      <c r="AA1363" s="11"/>
    </row>
    <row r="1364" ht="15.75" customHeight="1">
      <c r="A1364" s="737">
        <f t="shared" si="379"/>
        <v>0</v>
      </c>
      <c r="B1364" s="737">
        <f>A1364/'Orbit Info'!$G$10</f>
        <v>0</v>
      </c>
      <c r="C1364" s="737" t="str">
        <f t="shared" si="380"/>
        <v>Housekeeping and events only</v>
      </c>
      <c r="D1364" s="737">
        <f t="shared" si="381"/>
        <v>1</v>
      </c>
      <c r="E1364" s="737" t="str">
        <f t="shared" si="382"/>
        <v>#VALUE!</v>
      </c>
      <c r="F1364" s="737">
        <v>1.0</v>
      </c>
      <c r="G1364" s="737" t="str">
        <f t="shared" si="383"/>
        <v>#VALUE!</v>
      </c>
      <c r="H1364" s="737" t="str">
        <f>MIN($Q$11/('Orbit Info'!G$10),$Q$8*60)</f>
        <v>#VALUE!</v>
      </c>
      <c r="I1364" s="737" t="str">
        <f>IF(D1364=1,$Q$12/'Data DownlinkStorage Budget'!$M$3,0)</f>
        <v>#VALUE!</v>
      </c>
      <c r="J1364" s="737" t="str">
        <f t="shared" si="384"/>
        <v>#VALUE!</v>
      </c>
      <c r="K1364" s="11"/>
      <c r="L1364" s="737" t="str">
        <f t="shared" si="385"/>
        <v>FOUND product plus housekeeping</v>
      </c>
      <c r="M1364" s="737" t="str">
        <f>MIN($Q$18,$Q$10*60)-IF(D1364=1,$Q$17/'Data DownlinkStorage Budget'!$M$3,0)</f>
        <v>#VALUE!</v>
      </c>
      <c r="N1364" s="182"/>
      <c r="O1364" s="737" t="str">
        <f t="shared" si="386"/>
        <v>#VALUE!</v>
      </c>
      <c r="P1364" s="11"/>
      <c r="Q1364" s="11"/>
      <c r="R1364" s="11"/>
      <c r="S1364" s="11"/>
      <c r="T1364" s="11"/>
      <c r="U1364" s="11"/>
      <c r="V1364" s="11"/>
      <c r="W1364" s="11"/>
      <c r="X1364" s="11"/>
      <c r="Y1364" s="11"/>
      <c r="Z1364" s="11"/>
      <c r="AA1364" s="11"/>
    </row>
    <row r="1365" ht="15.75" customHeight="1">
      <c r="A1365" s="737">
        <f t="shared" si="379"/>
        <v>0</v>
      </c>
      <c r="B1365" s="737">
        <f>A1365/'Orbit Info'!$G$10</f>
        <v>0</v>
      </c>
      <c r="C1365" s="737" t="str">
        <f t="shared" si="380"/>
        <v>Housekeeping and events only</v>
      </c>
      <c r="D1365" s="737">
        <f t="shared" si="381"/>
        <v>1</v>
      </c>
      <c r="E1365" s="737" t="str">
        <f t="shared" si="382"/>
        <v>#VALUE!</v>
      </c>
      <c r="F1365" s="737">
        <v>1.0</v>
      </c>
      <c r="G1365" s="737" t="str">
        <f t="shared" si="383"/>
        <v>#VALUE!</v>
      </c>
      <c r="H1365" s="737" t="str">
        <f>MIN($Q$11/('Orbit Info'!G$10),$Q$8*60)</f>
        <v>#VALUE!</v>
      </c>
      <c r="I1365" s="737" t="str">
        <f>IF(D1365=1,$Q$12/'Data DownlinkStorage Budget'!$M$3,0)</f>
        <v>#VALUE!</v>
      </c>
      <c r="J1365" s="737" t="str">
        <f t="shared" si="384"/>
        <v>#VALUE!</v>
      </c>
      <c r="K1365" s="11"/>
      <c r="L1365" s="737" t="str">
        <f t="shared" si="385"/>
        <v>FOUND product plus housekeeping</v>
      </c>
      <c r="M1365" s="737" t="str">
        <f>MIN($Q$18,$Q$10*60)-IF(D1365=1,$Q$17/'Data DownlinkStorage Budget'!$M$3,0)</f>
        <v>#VALUE!</v>
      </c>
      <c r="N1365" s="182"/>
      <c r="O1365" s="737" t="str">
        <f t="shared" si="386"/>
        <v>#VALUE!</v>
      </c>
      <c r="P1365" s="11"/>
      <c r="Q1365" s="11"/>
      <c r="R1365" s="11"/>
      <c r="S1365" s="11"/>
      <c r="T1365" s="11"/>
      <c r="U1365" s="11"/>
      <c r="V1365" s="11"/>
      <c r="W1365" s="11"/>
      <c r="X1365" s="11"/>
      <c r="Y1365" s="11"/>
      <c r="Z1365" s="11"/>
      <c r="AA1365" s="11"/>
    </row>
    <row r="1366" ht="15.75" customHeight="1">
      <c r="A1366" s="737">
        <f t="shared" si="379"/>
        <v>0</v>
      </c>
      <c r="B1366" s="737">
        <f>A1366/'Orbit Info'!$G$10</f>
        <v>0</v>
      </c>
      <c r="C1366" s="737" t="str">
        <f t="shared" si="380"/>
        <v>Housekeeping and events only</v>
      </c>
      <c r="D1366" s="737">
        <f t="shared" si="381"/>
        <v>1</v>
      </c>
      <c r="E1366" s="737" t="str">
        <f t="shared" si="382"/>
        <v>#VALUE!</v>
      </c>
      <c r="F1366" s="737">
        <v>1.0</v>
      </c>
      <c r="G1366" s="737" t="str">
        <f t="shared" si="383"/>
        <v>#VALUE!</v>
      </c>
      <c r="H1366" s="737" t="str">
        <f>MIN($Q$11/('Orbit Info'!G$10),$Q$8*60)</f>
        <v>#VALUE!</v>
      </c>
      <c r="I1366" s="737" t="str">
        <f>IF(D1366=1,$Q$12/'Data DownlinkStorage Budget'!$M$3,0)</f>
        <v>#VALUE!</v>
      </c>
      <c r="J1366" s="737" t="str">
        <f t="shared" si="384"/>
        <v>#VALUE!</v>
      </c>
      <c r="K1366" s="11"/>
      <c r="L1366" s="737" t="str">
        <f t="shared" si="385"/>
        <v>FOUND product plus housekeeping</v>
      </c>
      <c r="M1366" s="737" t="str">
        <f>MIN($Q$18,$Q$10*60)-IF(D1366=1,$Q$17/'Data DownlinkStorage Budget'!$M$3,0)</f>
        <v>#VALUE!</v>
      </c>
      <c r="N1366" s="182"/>
      <c r="O1366" s="737" t="str">
        <f t="shared" si="386"/>
        <v>#VALUE!</v>
      </c>
      <c r="P1366" s="11"/>
      <c r="Q1366" s="11"/>
      <c r="R1366" s="11"/>
      <c r="S1366" s="11"/>
      <c r="T1366" s="11"/>
      <c r="U1366" s="11"/>
      <c r="V1366" s="11"/>
      <c r="W1366" s="11"/>
      <c r="X1366" s="11"/>
      <c r="Y1366" s="11"/>
      <c r="Z1366" s="11"/>
      <c r="AA1366" s="11"/>
    </row>
    <row r="1367" ht="15.75" customHeight="1">
      <c r="A1367" s="737">
        <f t="shared" si="379"/>
        <v>0</v>
      </c>
      <c r="B1367" s="737">
        <f>A1367/'Orbit Info'!$G$10</f>
        <v>0</v>
      </c>
      <c r="C1367" s="737" t="str">
        <f t="shared" si="380"/>
        <v>Housekeeping and events only</v>
      </c>
      <c r="D1367" s="737">
        <f t="shared" si="381"/>
        <v>1</v>
      </c>
      <c r="E1367" s="737" t="str">
        <f t="shared" si="382"/>
        <v>#VALUE!</v>
      </c>
      <c r="F1367" s="737">
        <v>1.0</v>
      </c>
      <c r="G1367" s="737" t="str">
        <f t="shared" si="383"/>
        <v>#VALUE!</v>
      </c>
      <c r="H1367" s="737" t="str">
        <f>MIN($Q$11/('Orbit Info'!G$10),$Q$8*60)</f>
        <v>#VALUE!</v>
      </c>
      <c r="I1367" s="737" t="str">
        <f>IF(D1367=1,$Q$12/'Data DownlinkStorage Budget'!$M$3,0)</f>
        <v>#VALUE!</v>
      </c>
      <c r="J1367" s="737" t="str">
        <f t="shared" si="384"/>
        <v>#VALUE!</v>
      </c>
      <c r="K1367" s="11"/>
      <c r="L1367" s="737" t="str">
        <f t="shared" si="385"/>
        <v>FOUND product plus housekeeping</v>
      </c>
      <c r="M1367" s="737" t="str">
        <f>MIN($Q$18,$Q$10*60)-IF(D1367=1,$Q$17/'Data DownlinkStorage Budget'!$M$3,0)</f>
        <v>#VALUE!</v>
      </c>
      <c r="N1367" s="182"/>
      <c r="O1367" s="737" t="str">
        <f t="shared" si="386"/>
        <v>#VALUE!</v>
      </c>
      <c r="P1367" s="11"/>
      <c r="Q1367" s="11"/>
      <c r="R1367" s="11"/>
      <c r="S1367" s="11"/>
      <c r="T1367" s="11"/>
      <c r="U1367" s="11"/>
      <c r="V1367" s="11"/>
      <c r="W1367" s="11"/>
      <c r="X1367" s="11"/>
      <c r="Y1367" s="11"/>
      <c r="Z1367" s="11"/>
      <c r="AA1367" s="11"/>
    </row>
    <row r="1368" ht="15.75" customHeight="1">
      <c r="A1368" s="737">
        <f t="shared" si="379"/>
        <v>0</v>
      </c>
      <c r="B1368" s="737">
        <f>A1368/'Orbit Info'!$G$10</f>
        <v>0</v>
      </c>
      <c r="C1368" s="737" t="str">
        <f t="shared" si="380"/>
        <v>Housekeeping and events only</v>
      </c>
      <c r="D1368" s="737">
        <f t="shared" si="381"/>
        <v>1</v>
      </c>
      <c r="E1368" s="737" t="str">
        <f t="shared" si="382"/>
        <v>#VALUE!</v>
      </c>
      <c r="F1368" s="737">
        <v>1.0</v>
      </c>
      <c r="G1368" s="737" t="str">
        <f t="shared" si="383"/>
        <v>#VALUE!</v>
      </c>
      <c r="H1368" s="737" t="str">
        <f>MIN($Q$11/('Orbit Info'!G$10),$Q$8*60)</f>
        <v>#VALUE!</v>
      </c>
      <c r="I1368" s="737" t="str">
        <f>IF(D1368=1,$Q$12/'Data DownlinkStorage Budget'!$M$3,0)</f>
        <v>#VALUE!</v>
      </c>
      <c r="J1368" s="737" t="str">
        <f t="shared" si="384"/>
        <v>#VALUE!</v>
      </c>
      <c r="K1368" s="11"/>
      <c r="L1368" s="737" t="str">
        <f t="shared" si="385"/>
        <v>FOUND product plus housekeeping</v>
      </c>
      <c r="M1368" s="737" t="str">
        <f>MIN($Q$18,$Q$10*60)-IF(D1368=1,$Q$17/'Data DownlinkStorage Budget'!$M$3,0)</f>
        <v>#VALUE!</v>
      </c>
      <c r="N1368" s="182"/>
      <c r="O1368" s="737" t="str">
        <f t="shared" si="386"/>
        <v>#VALUE!</v>
      </c>
      <c r="P1368" s="11"/>
      <c r="Q1368" s="11"/>
      <c r="R1368" s="11"/>
      <c r="S1368" s="11"/>
      <c r="T1368" s="11"/>
      <c r="U1368" s="11"/>
      <c r="V1368" s="11"/>
      <c r="W1368" s="11"/>
      <c r="X1368" s="11"/>
      <c r="Y1368" s="11"/>
      <c r="Z1368" s="11"/>
      <c r="AA1368" s="11"/>
    </row>
    <row r="1369" ht="15.75" customHeight="1">
      <c r="A1369" s="737">
        <f t="shared" si="379"/>
        <v>0</v>
      </c>
      <c r="B1369" s="737">
        <f>A1369/'Orbit Info'!$G$10</f>
        <v>0</v>
      </c>
      <c r="C1369" s="737" t="str">
        <f t="shared" si="380"/>
        <v>Housekeeping and events only</v>
      </c>
      <c r="D1369" s="737">
        <f t="shared" si="381"/>
        <v>1</v>
      </c>
      <c r="E1369" s="737" t="str">
        <f t="shared" si="382"/>
        <v>#VALUE!</v>
      </c>
      <c r="F1369" s="737">
        <v>1.0</v>
      </c>
      <c r="G1369" s="737" t="str">
        <f t="shared" si="383"/>
        <v>#VALUE!</v>
      </c>
      <c r="H1369" s="737" t="str">
        <f>MIN($Q$11/('Orbit Info'!G$10),$Q$8*60)</f>
        <v>#VALUE!</v>
      </c>
      <c r="I1369" s="737" t="str">
        <f>IF(D1369=1,$Q$12/'Data DownlinkStorage Budget'!$M$3,0)</f>
        <v>#VALUE!</v>
      </c>
      <c r="J1369" s="737" t="str">
        <f t="shared" si="384"/>
        <v>#VALUE!</v>
      </c>
      <c r="K1369" s="11"/>
      <c r="L1369" s="737" t="str">
        <f t="shared" si="385"/>
        <v>FOUND product plus housekeeping</v>
      </c>
      <c r="M1369" s="737" t="str">
        <f>MIN($Q$18,$Q$10*60)-IF(D1369=1,$Q$17/'Data DownlinkStorage Budget'!$M$3,0)</f>
        <v>#VALUE!</v>
      </c>
      <c r="N1369" s="182"/>
      <c r="O1369" s="737" t="str">
        <f t="shared" si="386"/>
        <v>#VALUE!</v>
      </c>
      <c r="P1369" s="11"/>
      <c r="Q1369" s="11"/>
      <c r="R1369" s="11"/>
      <c r="S1369" s="11"/>
      <c r="T1369" s="11"/>
      <c r="U1369" s="11"/>
      <c r="V1369" s="11"/>
      <c r="W1369" s="11"/>
      <c r="X1369" s="11"/>
      <c r="Y1369" s="11"/>
      <c r="Z1369" s="11"/>
      <c r="AA1369" s="11"/>
    </row>
    <row r="1370" ht="15.75" customHeight="1">
      <c r="A1370" s="737">
        <f t="shared" si="379"/>
        <v>0</v>
      </c>
      <c r="B1370" s="737">
        <f>A1370/'Orbit Info'!$G$10</f>
        <v>0</v>
      </c>
      <c r="C1370" s="737" t="str">
        <f t="shared" si="380"/>
        <v>Housekeeping and events only</v>
      </c>
      <c r="D1370" s="737">
        <f t="shared" si="381"/>
        <v>1</v>
      </c>
      <c r="E1370" s="737" t="str">
        <f t="shared" si="382"/>
        <v>#VALUE!</v>
      </c>
      <c r="F1370" s="737">
        <v>1.0</v>
      </c>
      <c r="G1370" s="737" t="str">
        <f t="shared" si="383"/>
        <v>#VALUE!</v>
      </c>
      <c r="H1370" s="737" t="str">
        <f>MIN($Q$11/('Orbit Info'!G$10),$Q$8*60)</f>
        <v>#VALUE!</v>
      </c>
      <c r="I1370" s="737" t="str">
        <f>IF(D1370=1,$Q$12/'Data DownlinkStorage Budget'!$M$3,0)</f>
        <v>#VALUE!</v>
      </c>
      <c r="J1370" s="737" t="str">
        <f t="shared" si="384"/>
        <v>#VALUE!</v>
      </c>
      <c r="K1370" s="11"/>
      <c r="L1370" s="737" t="str">
        <f t="shared" si="385"/>
        <v>FOUND product plus housekeeping</v>
      </c>
      <c r="M1370" s="737" t="str">
        <f>MIN($Q$18,$Q$10*60)-IF(D1370=1,$Q$17/'Data DownlinkStorage Budget'!$M$3,0)</f>
        <v>#VALUE!</v>
      </c>
      <c r="N1370" s="182"/>
      <c r="O1370" s="737" t="str">
        <f t="shared" si="386"/>
        <v>#VALUE!</v>
      </c>
      <c r="P1370" s="11"/>
      <c r="Q1370" s="11"/>
      <c r="R1370" s="11"/>
      <c r="S1370" s="11"/>
      <c r="T1370" s="11"/>
      <c r="U1370" s="11"/>
      <c r="V1370" s="11"/>
      <c r="W1370" s="11"/>
      <c r="X1370" s="11"/>
      <c r="Y1370" s="11"/>
      <c r="Z1370" s="11"/>
      <c r="AA1370" s="11"/>
    </row>
    <row r="1371" ht="15.75" customHeight="1">
      <c r="A1371" s="737">
        <f t="shared" si="379"/>
        <v>0</v>
      </c>
      <c r="B1371" s="737">
        <f>A1371/'Orbit Info'!$G$10</f>
        <v>0</v>
      </c>
      <c r="C1371" s="737" t="str">
        <f t="shared" si="380"/>
        <v>Housekeeping and events only</v>
      </c>
      <c r="D1371" s="737">
        <f t="shared" si="381"/>
        <v>1</v>
      </c>
      <c r="E1371" s="737" t="str">
        <f t="shared" si="382"/>
        <v>#VALUE!</v>
      </c>
      <c r="F1371" s="737">
        <v>1.0</v>
      </c>
      <c r="G1371" s="737" t="str">
        <f t="shared" si="383"/>
        <v>#VALUE!</v>
      </c>
      <c r="H1371" s="737" t="str">
        <f>MIN($Q$11/('Orbit Info'!G$10),$Q$8*60)</f>
        <v>#VALUE!</v>
      </c>
      <c r="I1371" s="737" t="str">
        <f>IF(D1371=1,$Q$12/'Data DownlinkStorage Budget'!$M$3,0)</f>
        <v>#VALUE!</v>
      </c>
      <c r="J1371" s="737" t="str">
        <f t="shared" si="384"/>
        <v>#VALUE!</v>
      </c>
      <c r="K1371" s="11"/>
      <c r="L1371" s="737" t="str">
        <f t="shared" si="385"/>
        <v>FOUND product plus housekeeping</v>
      </c>
      <c r="M1371" s="737" t="str">
        <f>MIN($Q$18,$Q$10*60)-IF(D1371=1,$Q$17/'Data DownlinkStorage Budget'!$M$3,0)</f>
        <v>#VALUE!</v>
      </c>
      <c r="N1371" s="182"/>
      <c r="O1371" s="737" t="str">
        <f t="shared" si="386"/>
        <v>#VALUE!</v>
      </c>
      <c r="P1371" s="11"/>
      <c r="Q1371" s="11"/>
      <c r="R1371" s="11"/>
      <c r="S1371" s="11"/>
      <c r="T1371" s="11"/>
      <c r="U1371" s="11"/>
      <c r="V1371" s="11"/>
      <c r="W1371" s="11"/>
      <c r="X1371" s="11"/>
      <c r="Y1371" s="11"/>
      <c r="Z1371" s="11"/>
      <c r="AA1371" s="11"/>
    </row>
    <row r="1372" ht="15.75" customHeight="1">
      <c r="A1372" s="737">
        <f t="shared" si="379"/>
        <v>0</v>
      </c>
      <c r="B1372" s="737">
        <f>A1372/'Orbit Info'!$G$10</f>
        <v>0</v>
      </c>
      <c r="C1372" s="737" t="str">
        <f t="shared" si="380"/>
        <v>Housekeeping and events only</v>
      </c>
      <c r="D1372" s="737">
        <f t="shared" si="381"/>
        <v>1</v>
      </c>
      <c r="E1372" s="737" t="str">
        <f t="shared" si="382"/>
        <v>#VALUE!</v>
      </c>
      <c r="F1372" s="737">
        <v>1.0</v>
      </c>
      <c r="G1372" s="737" t="str">
        <f t="shared" si="383"/>
        <v>#VALUE!</v>
      </c>
      <c r="H1372" s="737" t="str">
        <f>MIN($Q$11/('Orbit Info'!G$10),$Q$8*60)</f>
        <v>#VALUE!</v>
      </c>
      <c r="I1372" s="737" t="str">
        <f>IF(D1372=1,$Q$12/'Data DownlinkStorage Budget'!$M$3,0)</f>
        <v>#VALUE!</v>
      </c>
      <c r="J1372" s="737" t="str">
        <f t="shared" si="384"/>
        <v>#VALUE!</v>
      </c>
      <c r="K1372" s="11"/>
      <c r="L1372" s="737" t="str">
        <f t="shared" si="385"/>
        <v>FOUND product plus housekeeping</v>
      </c>
      <c r="M1372" s="737" t="str">
        <f>MIN($Q$18,$Q$10*60)-IF(D1372=1,$Q$17/'Data DownlinkStorage Budget'!$M$3,0)</f>
        <v>#VALUE!</v>
      </c>
      <c r="N1372" s="182"/>
      <c r="O1372" s="737" t="str">
        <f t="shared" si="386"/>
        <v>#VALUE!</v>
      </c>
      <c r="P1372" s="11"/>
      <c r="Q1372" s="11"/>
      <c r="R1372" s="11"/>
      <c r="S1372" s="11"/>
      <c r="T1372" s="11"/>
      <c r="U1372" s="11"/>
      <c r="V1372" s="11"/>
      <c r="W1372" s="11"/>
      <c r="X1372" s="11"/>
      <c r="Y1372" s="11"/>
      <c r="Z1372" s="11"/>
      <c r="AA1372" s="11"/>
    </row>
    <row r="1373" ht="15.75" customHeight="1">
      <c r="A1373" s="737">
        <f t="shared" si="379"/>
        <v>0</v>
      </c>
      <c r="B1373" s="737">
        <f>A1373/'Orbit Info'!$G$10</f>
        <v>0</v>
      </c>
      <c r="C1373" s="737" t="str">
        <f t="shared" si="380"/>
        <v>Housekeeping and events only</v>
      </c>
      <c r="D1373" s="737">
        <f t="shared" si="381"/>
        <v>1</v>
      </c>
      <c r="E1373" s="737" t="str">
        <f t="shared" si="382"/>
        <v>#VALUE!</v>
      </c>
      <c r="F1373" s="737">
        <v>1.0</v>
      </c>
      <c r="G1373" s="737" t="str">
        <f t="shared" si="383"/>
        <v>#VALUE!</v>
      </c>
      <c r="H1373" s="737" t="str">
        <f>MIN($Q$11/('Orbit Info'!G$10),$Q$8*60)</f>
        <v>#VALUE!</v>
      </c>
      <c r="I1373" s="737" t="str">
        <f>IF(D1373=1,$Q$12/'Data DownlinkStorage Budget'!$M$3,0)</f>
        <v>#VALUE!</v>
      </c>
      <c r="J1373" s="737" t="str">
        <f t="shared" si="384"/>
        <v>#VALUE!</v>
      </c>
      <c r="K1373" s="11"/>
      <c r="L1373" s="737" t="str">
        <f t="shared" si="385"/>
        <v>FOUND product plus housekeeping</v>
      </c>
      <c r="M1373" s="737" t="str">
        <f>MIN($Q$18,$Q$10*60)-IF(D1373=1,$Q$17/'Data DownlinkStorage Budget'!$M$3,0)</f>
        <v>#VALUE!</v>
      </c>
      <c r="N1373" s="182"/>
      <c r="O1373" s="737" t="str">
        <f t="shared" si="386"/>
        <v>#VALUE!</v>
      </c>
      <c r="P1373" s="11"/>
      <c r="Q1373" s="11"/>
      <c r="R1373" s="11"/>
      <c r="S1373" s="11"/>
      <c r="T1373" s="11"/>
      <c r="U1373" s="11"/>
      <c r="V1373" s="11"/>
      <c r="W1373" s="11"/>
      <c r="X1373" s="11"/>
      <c r="Y1373" s="11"/>
      <c r="Z1373" s="11"/>
      <c r="AA1373" s="11"/>
    </row>
    <row r="1374" ht="15.75" customHeight="1">
      <c r="A1374" s="737">
        <f t="shared" si="379"/>
        <v>0</v>
      </c>
      <c r="B1374" s="737">
        <f>A1374/'Orbit Info'!$G$10</f>
        <v>0</v>
      </c>
      <c r="C1374" s="737" t="str">
        <f t="shared" si="380"/>
        <v>Housekeeping and events only</v>
      </c>
      <c r="D1374" s="737">
        <f t="shared" si="381"/>
        <v>1</v>
      </c>
      <c r="E1374" s="737" t="str">
        <f t="shared" si="382"/>
        <v>#VALUE!</v>
      </c>
      <c r="F1374" s="737">
        <v>1.0</v>
      </c>
      <c r="G1374" s="737" t="str">
        <f t="shared" si="383"/>
        <v>#VALUE!</v>
      </c>
      <c r="H1374" s="737" t="str">
        <f>MIN($Q$11/('Orbit Info'!G$10),$Q$8*60)</f>
        <v>#VALUE!</v>
      </c>
      <c r="I1374" s="737" t="str">
        <f>IF(D1374=1,$Q$12/'Data DownlinkStorage Budget'!$M$3,0)</f>
        <v>#VALUE!</v>
      </c>
      <c r="J1374" s="737" t="str">
        <f t="shared" si="384"/>
        <v>#VALUE!</v>
      </c>
      <c r="K1374" s="11"/>
      <c r="L1374" s="737" t="str">
        <f t="shared" si="385"/>
        <v>FOUND product plus housekeeping</v>
      </c>
      <c r="M1374" s="737" t="str">
        <f>MIN($Q$18,$Q$10*60)-IF(D1374=1,$Q$17/'Data DownlinkStorage Budget'!$M$3,0)</f>
        <v>#VALUE!</v>
      </c>
      <c r="N1374" s="182"/>
      <c r="O1374" s="737" t="str">
        <f t="shared" si="386"/>
        <v>#VALUE!</v>
      </c>
      <c r="P1374" s="11"/>
      <c r="Q1374" s="11"/>
      <c r="R1374" s="11"/>
      <c r="S1374" s="11"/>
      <c r="T1374" s="11"/>
      <c r="U1374" s="11"/>
      <c r="V1374" s="11"/>
      <c r="W1374" s="11"/>
      <c r="X1374" s="11"/>
      <c r="Y1374" s="11"/>
      <c r="Z1374" s="11"/>
      <c r="AA1374" s="11"/>
    </row>
    <row r="1375" ht="15.75" customHeight="1">
      <c r="A1375" s="737">
        <f t="shared" si="379"/>
        <v>0</v>
      </c>
      <c r="B1375" s="737">
        <f>A1375/'Orbit Info'!$G$10</f>
        <v>0</v>
      </c>
      <c r="C1375" s="737" t="str">
        <f t="shared" si="380"/>
        <v>Housekeeping and events only</v>
      </c>
      <c r="D1375" s="737">
        <f t="shared" si="381"/>
        <v>1</v>
      </c>
      <c r="E1375" s="737" t="str">
        <f t="shared" si="382"/>
        <v>#VALUE!</v>
      </c>
      <c r="F1375" s="737">
        <v>1.0</v>
      </c>
      <c r="G1375" s="737" t="str">
        <f t="shared" si="383"/>
        <v>#VALUE!</v>
      </c>
      <c r="H1375" s="737" t="str">
        <f>MIN($Q$11/('Orbit Info'!G$10),$Q$8*60)</f>
        <v>#VALUE!</v>
      </c>
      <c r="I1375" s="737" t="str">
        <f>IF(D1375=1,$Q$12/'Data DownlinkStorage Budget'!$M$3,0)</f>
        <v>#VALUE!</v>
      </c>
      <c r="J1375" s="737" t="str">
        <f t="shared" si="384"/>
        <v>#VALUE!</v>
      </c>
      <c r="K1375" s="11"/>
      <c r="L1375" s="737" t="str">
        <f t="shared" si="385"/>
        <v>FOUND product plus housekeeping</v>
      </c>
      <c r="M1375" s="737" t="str">
        <f>MIN($Q$18,$Q$10*60)-IF(D1375=1,$Q$17/'Data DownlinkStorage Budget'!$M$3,0)</f>
        <v>#VALUE!</v>
      </c>
      <c r="N1375" s="182"/>
      <c r="O1375" s="737" t="str">
        <f t="shared" si="386"/>
        <v>#VALUE!</v>
      </c>
      <c r="P1375" s="11"/>
      <c r="Q1375" s="11"/>
      <c r="R1375" s="11"/>
      <c r="S1375" s="11"/>
      <c r="T1375" s="11"/>
      <c r="U1375" s="11"/>
      <c r="V1375" s="11"/>
      <c r="W1375" s="11"/>
      <c r="X1375" s="11"/>
      <c r="Y1375" s="11"/>
      <c r="Z1375" s="11"/>
      <c r="AA1375" s="11"/>
    </row>
    <row r="1376" ht="15.75" customHeight="1">
      <c r="A1376" s="737">
        <f t="shared" si="379"/>
        <v>0</v>
      </c>
      <c r="B1376" s="737">
        <f>A1376/'Orbit Info'!$G$10</f>
        <v>0</v>
      </c>
      <c r="C1376" s="737" t="str">
        <f t="shared" si="380"/>
        <v>Housekeeping and events only</v>
      </c>
      <c r="D1376" s="737">
        <f t="shared" si="381"/>
        <v>1</v>
      </c>
      <c r="E1376" s="737" t="str">
        <f t="shared" si="382"/>
        <v>#VALUE!</v>
      </c>
      <c r="F1376" s="737">
        <v>1.0</v>
      </c>
      <c r="G1376" s="737" t="str">
        <f t="shared" si="383"/>
        <v>#VALUE!</v>
      </c>
      <c r="H1376" s="737" t="str">
        <f>MIN($Q$11/('Orbit Info'!G$10),$Q$8*60)</f>
        <v>#VALUE!</v>
      </c>
      <c r="I1376" s="737" t="str">
        <f>IF(D1376=1,$Q$12/'Data DownlinkStorage Budget'!$M$3,0)</f>
        <v>#VALUE!</v>
      </c>
      <c r="J1376" s="737" t="str">
        <f t="shared" si="384"/>
        <v>#VALUE!</v>
      </c>
      <c r="K1376" s="11"/>
      <c r="L1376" s="737" t="str">
        <f t="shared" si="385"/>
        <v>FOUND product plus housekeeping</v>
      </c>
      <c r="M1376" s="737" t="str">
        <f>MIN($Q$18,$Q$10*60)-IF(D1376=1,$Q$17/'Data DownlinkStorage Budget'!$M$3,0)</f>
        <v>#VALUE!</v>
      </c>
      <c r="N1376" s="182"/>
      <c r="O1376" s="737" t="str">
        <f t="shared" si="386"/>
        <v>#VALUE!</v>
      </c>
      <c r="P1376" s="11"/>
      <c r="Q1376" s="11"/>
      <c r="R1376" s="11"/>
      <c r="S1376" s="11"/>
      <c r="T1376" s="11"/>
      <c r="U1376" s="11"/>
      <c r="V1376" s="11"/>
      <c r="W1376" s="11"/>
      <c r="X1376" s="11"/>
      <c r="Y1376" s="11"/>
      <c r="Z1376" s="11"/>
      <c r="AA1376" s="11"/>
    </row>
    <row r="1377" ht="15.75" customHeight="1">
      <c r="A1377" s="737">
        <f t="shared" si="379"/>
        <v>0</v>
      </c>
      <c r="B1377" s="737">
        <f>A1377/'Orbit Info'!$G$10</f>
        <v>0</v>
      </c>
      <c r="C1377" s="737" t="str">
        <f t="shared" si="380"/>
        <v>Housekeeping and events only</v>
      </c>
      <c r="D1377" s="737">
        <f t="shared" si="381"/>
        <v>1</v>
      </c>
      <c r="E1377" s="737" t="str">
        <f t="shared" si="382"/>
        <v>#VALUE!</v>
      </c>
      <c r="F1377" s="737">
        <v>1.0</v>
      </c>
      <c r="G1377" s="737" t="str">
        <f t="shared" si="383"/>
        <v>#VALUE!</v>
      </c>
      <c r="H1377" s="737" t="str">
        <f>MIN($Q$11/('Orbit Info'!G$10),$Q$8*60)</f>
        <v>#VALUE!</v>
      </c>
      <c r="I1377" s="737" t="str">
        <f>IF(D1377=1,$Q$12/'Data DownlinkStorage Budget'!$M$3,0)</f>
        <v>#VALUE!</v>
      </c>
      <c r="J1377" s="737" t="str">
        <f t="shared" si="384"/>
        <v>#VALUE!</v>
      </c>
      <c r="K1377" s="11"/>
      <c r="L1377" s="737" t="str">
        <f t="shared" si="385"/>
        <v>FOUND product plus housekeeping</v>
      </c>
      <c r="M1377" s="737" t="str">
        <f>MIN($Q$18,$Q$10*60)-IF(D1377=1,$Q$17/'Data DownlinkStorage Budget'!$M$3,0)</f>
        <v>#VALUE!</v>
      </c>
      <c r="N1377" s="182"/>
      <c r="O1377" s="737" t="str">
        <f t="shared" si="386"/>
        <v>#VALUE!</v>
      </c>
      <c r="P1377" s="11"/>
      <c r="Q1377" s="11"/>
      <c r="R1377" s="11"/>
      <c r="S1377" s="11"/>
      <c r="T1377" s="11"/>
      <c r="U1377" s="11"/>
      <c r="V1377" s="11"/>
      <c r="W1377" s="11"/>
      <c r="X1377" s="11"/>
      <c r="Y1377" s="11"/>
      <c r="Z1377" s="11"/>
      <c r="AA1377" s="11"/>
    </row>
    <row r="1378" ht="15.75" customHeight="1">
      <c r="A1378" s="737">
        <f t="shared" si="379"/>
        <v>0</v>
      </c>
      <c r="B1378" s="737">
        <f>A1378/'Orbit Info'!$G$10</f>
        <v>0</v>
      </c>
      <c r="C1378" s="737" t="str">
        <f t="shared" si="380"/>
        <v>Housekeeping and events only</v>
      </c>
      <c r="D1378" s="737">
        <f t="shared" si="381"/>
        <v>1</v>
      </c>
      <c r="E1378" s="737" t="str">
        <f t="shared" si="382"/>
        <v>#VALUE!</v>
      </c>
      <c r="F1378" s="737">
        <v>1.0</v>
      </c>
      <c r="G1378" s="737" t="str">
        <f t="shared" si="383"/>
        <v>#VALUE!</v>
      </c>
      <c r="H1378" s="737" t="str">
        <f>MIN($Q$11/('Orbit Info'!G$10),$Q$8*60)</f>
        <v>#VALUE!</v>
      </c>
      <c r="I1378" s="737" t="str">
        <f>IF(D1378=1,$Q$12/'Data DownlinkStorage Budget'!$M$3,0)</f>
        <v>#VALUE!</v>
      </c>
      <c r="J1378" s="737" t="str">
        <f t="shared" si="384"/>
        <v>#VALUE!</v>
      </c>
      <c r="K1378" s="11"/>
      <c r="L1378" s="737" t="str">
        <f t="shared" si="385"/>
        <v>FOUND product plus housekeeping</v>
      </c>
      <c r="M1378" s="737" t="str">
        <f>MIN($Q$18,$Q$10*60)-IF(D1378=1,$Q$17/'Data DownlinkStorage Budget'!$M$3,0)</f>
        <v>#VALUE!</v>
      </c>
      <c r="N1378" s="182"/>
      <c r="O1378" s="737" t="str">
        <f t="shared" si="386"/>
        <v>#VALUE!</v>
      </c>
      <c r="P1378" s="11"/>
      <c r="Q1378" s="11"/>
      <c r="R1378" s="11"/>
      <c r="S1378" s="11"/>
      <c r="T1378" s="11"/>
      <c r="U1378" s="11"/>
      <c r="V1378" s="11"/>
      <c r="W1378" s="11"/>
      <c r="X1378" s="11"/>
      <c r="Y1378" s="11"/>
      <c r="Z1378" s="11"/>
      <c r="AA1378" s="11"/>
    </row>
    <row r="1379" ht="15.75" customHeight="1">
      <c r="A1379" s="737">
        <f t="shared" si="379"/>
        <v>0</v>
      </c>
      <c r="B1379" s="737">
        <f>A1379/'Orbit Info'!$G$10</f>
        <v>0</v>
      </c>
      <c r="C1379" s="737" t="str">
        <f t="shared" si="380"/>
        <v>Housekeeping and events only</v>
      </c>
      <c r="D1379" s="737">
        <f t="shared" si="381"/>
        <v>1</v>
      </c>
      <c r="E1379" s="737" t="str">
        <f t="shared" si="382"/>
        <v>#VALUE!</v>
      </c>
      <c r="F1379" s="737">
        <v>1.0</v>
      </c>
      <c r="G1379" s="737" t="str">
        <f t="shared" si="383"/>
        <v>#VALUE!</v>
      </c>
      <c r="H1379" s="737" t="str">
        <f>MIN($Q$11/('Orbit Info'!G$10),$Q$8*60)</f>
        <v>#VALUE!</v>
      </c>
      <c r="I1379" s="737" t="str">
        <f>IF(D1379=1,$Q$12/'Data DownlinkStorage Budget'!$M$3,0)</f>
        <v>#VALUE!</v>
      </c>
      <c r="J1379" s="737" t="str">
        <f t="shared" si="384"/>
        <v>#VALUE!</v>
      </c>
      <c r="K1379" s="11"/>
      <c r="L1379" s="737" t="str">
        <f t="shared" si="385"/>
        <v>FOUND product plus housekeeping</v>
      </c>
      <c r="M1379" s="737" t="str">
        <f>MIN($Q$18,$Q$10*60)-IF(D1379=1,$Q$17/'Data DownlinkStorage Budget'!$M$3,0)</f>
        <v>#VALUE!</v>
      </c>
      <c r="N1379" s="182"/>
      <c r="O1379" s="737" t="str">
        <f t="shared" si="386"/>
        <v>#VALUE!</v>
      </c>
      <c r="P1379" s="11"/>
      <c r="Q1379" s="11"/>
      <c r="R1379" s="11"/>
      <c r="S1379" s="11"/>
      <c r="T1379" s="11"/>
      <c r="U1379" s="11"/>
      <c r="V1379" s="11"/>
      <c r="W1379" s="11"/>
      <c r="X1379" s="11"/>
      <c r="Y1379" s="11"/>
      <c r="Z1379" s="11"/>
      <c r="AA1379" s="11"/>
    </row>
    <row r="1380" ht="15.75" customHeight="1">
      <c r="A1380" s="737">
        <f t="shared" si="379"/>
        <v>0</v>
      </c>
      <c r="B1380" s="737">
        <f>A1380/'Orbit Info'!$G$10</f>
        <v>0</v>
      </c>
      <c r="C1380" s="737" t="str">
        <f t="shared" si="380"/>
        <v>Housekeeping and events only</v>
      </c>
      <c r="D1380" s="737">
        <f t="shared" si="381"/>
        <v>1</v>
      </c>
      <c r="E1380" s="737" t="str">
        <f t="shared" si="382"/>
        <v>#VALUE!</v>
      </c>
      <c r="F1380" s="737">
        <v>1.0</v>
      </c>
      <c r="G1380" s="737" t="str">
        <f t="shared" si="383"/>
        <v>#VALUE!</v>
      </c>
      <c r="H1380" s="737" t="str">
        <f>MIN($Q$11/('Orbit Info'!G$10),$Q$8*60)</f>
        <v>#VALUE!</v>
      </c>
      <c r="I1380" s="737" t="str">
        <f>IF(D1380=1,$Q$12/'Data DownlinkStorage Budget'!$M$3,0)</f>
        <v>#VALUE!</v>
      </c>
      <c r="J1380" s="737" t="str">
        <f t="shared" si="384"/>
        <v>#VALUE!</v>
      </c>
      <c r="K1380" s="11"/>
      <c r="L1380" s="737" t="str">
        <f t="shared" si="385"/>
        <v>FOUND product plus housekeeping</v>
      </c>
      <c r="M1380" s="737" t="str">
        <f>MIN($Q$18,$Q$10*60)-IF(D1380=1,$Q$17/'Data DownlinkStorage Budget'!$M$3,0)</f>
        <v>#VALUE!</v>
      </c>
      <c r="N1380" s="182"/>
      <c r="O1380" s="737" t="str">
        <f t="shared" si="386"/>
        <v>#VALUE!</v>
      </c>
      <c r="P1380" s="11"/>
      <c r="Q1380" s="11"/>
      <c r="R1380" s="11"/>
      <c r="S1380" s="11"/>
      <c r="T1380" s="11"/>
      <c r="U1380" s="11"/>
      <c r="V1380" s="11"/>
      <c r="W1380" s="11"/>
      <c r="X1380" s="11"/>
      <c r="Y1380" s="11"/>
      <c r="Z1380" s="11"/>
      <c r="AA1380" s="11"/>
    </row>
    <row r="1381" ht="15.75" customHeight="1">
      <c r="A1381" s="737">
        <f t="shared" si="379"/>
        <v>0</v>
      </c>
      <c r="B1381" s="737">
        <f>A1381/'Orbit Info'!$G$10</f>
        <v>0</v>
      </c>
      <c r="C1381" s="737" t="str">
        <f t="shared" si="380"/>
        <v>Housekeeping and events only</v>
      </c>
      <c r="D1381" s="737">
        <f t="shared" si="381"/>
        <v>1</v>
      </c>
      <c r="E1381" s="737" t="str">
        <f t="shared" si="382"/>
        <v>#VALUE!</v>
      </c>
      <c r="F1381" s="737">
        <v>1.0</v>
      </c>
      <c r="G1381" s="737" t="str">
        <f t="shared" si="383"/>
        <v>#VALUE!</v>
      </c>
      <c r="H1381" s="737" t="str">
        <f>MIN($Q$11/('Orbit Info'!G$10),$Q$8*60)</f>
        <v>#VALUE!</v>
      </c>
      <c r="I1381" s="737" t="str">
        <f>IF(D1381=1,$Q$12/'Data DownlinkStorage Budget'!$M$3,0)</f>
        <v>#VALUE!</v>
      </c>
      <c r="J1381" s="737" t="str">
        <f t="shared" si="384"/>
        <v>#VALUE!</v>
      </c>
      <c r="K1381" s="11"/>
      <c r="L1381" s="737" t="str">
        <f t="shared" si="385"/>
        <v>FOUND product plus housekeeping</v>
      </c>
      <c r="M1381" s="737" t="str">
        <f>MIN($Q$18,$Q$10*60)-IF(D1381=1,$Q$17/'Data DownlinkStorage Budget'!$M$3,0)</f>
        <v>#VALUE!</v>
      </c>
      <c r="N1381" s="182"/>
      <c r="O1381" s="737" t="str">
        <f t="shared" si="386"/>
        <v>#VALUE!</v>
      </c>
      <c r="P1381" s="11"/>
      <c r="Q1381" s="11"/>
      <c r="R1381" s="11"/>
      <c r="S1381" s="11"/>
      <c r="T1381" s="11"/>
      <c r="U1381" s="11"/>
      <c r="V1381" s="11"/>
      <c r="W1381" s="11"/>
      <c r="X1381" s="11"/>
      <c r="Y1381" s="11"/>
      <c r="Z1381" s="11"/>
      <c r="AA1381" s="11"/>
    </row>
    <row r="1382" ht="15.75" customHeight="1">
      <c r="A1382" s="737">
        <f t="shared" si="379"/>
        <v>0</v>
      </c>
      <c r="B1382" s="737">
        <f>A1382/'Orbit Info'!$G$10</f>
        <v>0</v>
      </c>
      <c r="C1382" s="737" t="str">
        <f t="shared" si="380"/>
        <v>Housekeeping and events only</v>
      </c>
      <c r="D1382" s="737">
        <f t="shared" si="381"/>
        <v>1</v>
      </c>
      <c r="E1382" s="737" t="str">
        <f t="shared" si="382"/>
        <v>#VALUE!</v>
      </c>
      <c r="F1382" s="737">
        <v>1.0</v>
      </c>
      <c r="G1382" s="737" t="str">
        <f t="shared" si="383"/>
        <v>#VALUE!</v>
      </c>
      <c r="H1382" s="737" t="str">
        <f>MIN($Q$11/('Orbit Info'!G$10),$Q$8*60)</f>
        <v>#VALUE!</v>
      </c>
      <c r="I1382" s="737" t="str">
        <f>IF(D1382=1,$Q$12/'Data DownlinkStorage Budget'!$M$3,0)</f>
        <v>#VALUE!</v>
      </c>
      <c r="J1382" s="737" t="str">
        <f t="shared" si="384"/>
        <v>#VALUE!</v>
      </c>
      <c r="K1382" s="11"/>
      <c r="L1382" s="737" t="str">
        <f t="shared" si="385"/>
        <v>FOUND product plus housekeeping</v>
      </c>
      <c r="M1382" s="737" t="str">
        <f>MIN($Q$18,$Q$10*60)-IF(D1382=1,$Q$17/'Data DownlinkStorage Budget'!$M$3,0)</f>
        <v>#VALUE!</v>
      </c>
      <c r="N1382" s="182"/>
      <c r="O1382" s="737" t="str">
        <f t="shared" si="386"/>
        <v>#VALUE!</v>
      </c>
      <c r="P1382" s="11"/>
      <c r="Q1382" s="11"/>
      <c r="R1382" s="11"/>
      <c r="S1382" s="11"/>
      <c r="T1382" s="11"/>
      <c r="U1382" s="11"/>
      <c r="V1382" s="11"/>
      <c r="W1382" s="11"/>
      <c r="X1382" s="11"/>
      <c r="Y1382" s="11"/>
      <c r="Z1382" s="11"/>
      <c r="AA1382" s="11"/>
    </row>
    <row r="1383" ht="15.75" customHeight="1">
      <c r="A1383" s="737">
        <f t="shared" si="379"/>
        <v>0</v>
      </c>
      <c r="B1383" s="737">
        <f>A1383/'Orbit Info'!$G$10</f>
        <v>0</v>
      </c>
      <c r="C1383" s="737" t="str">
        <f t="shared" si="380"/>
        <v>Housekeeping and events only</v>
      </c>
      <c r="D1383" s="737">
        <f t="shared" si="381"/>
        <v>1</v>
      </c>
      <c r="E1383" s="737" t="str">
        <f t="shared" si="382"/>
        <v>#VALUE!</v>
      </c>
      <c r="F1383" s="737">
        <v>1.0</v>
      </c>
      <c r="G1383" s="737" t="str">
        <f t="shared" si="383"/>
        <v>#VALUE!</v>
      </c>
      <c r="H1383" s="737" t="str">
        <f>MIN($Q$11/('Orbit Info'!G$10),$Q$8*60)</f>
        <v>#VALUE!</v>
      </c>
      <c r="I1383" s="737" t="str">
        <f>IF(D1383=1,$Q$12/'Data DownlinkStorage Budget'!$M$3,0)</f>
        <v>#VALUE!</v>
      </c>
      <c r="J1383" s="737" t="str">
        <f t="shared" si="384"/>
        <v>#VALUE!</v>
      </c>
      <c r="K1383" s="11"/>
      <c r="L1383" s="737" t="str">
        <f t="shared" si="385"/>
        <v>FOUND product plus housekeeping</v>
      </c>
      <c r="M1383" s="737" t="str">
        <f>MIN($Q$18,$Q$10*60)-IF(D1383=1,$Q$17/'Data DownlinkStorage Budget'!$M$3,0)</f>
        <v>#VALUE!</v>
      </c>
      <c r="N1383" s="182"/>
      <c r="O1383" s="737" t="str">
        <f t="shared" si="386"/>
        <v>#VALUE!</v>
      </c>
      <c r="P1383" s="11"/>
      <c r="Q1383" s="11"/>
      <c r="R1383" s="11"/>
      <c r="S1383" s="11"/>
      <c r="T1383" s="11"/>
      <c r="U1383" s="11"/>
      <c r="V1383" s="11"/>
      <c r="W1383" s="11"/>
      <c r="X1383" s="11"/>
      <c r="Y1383" s="11"/>
      <c r="Z1383" s="11"/>
      <c r="AA1383" s="11"/>
    </row>
    <row r="1384" ht="15.75" customHeight="1">
      <c r="A1384" s="737">
        <f t="shared" si="379"/>
        <v>0</v>
      </c>
      <c r="B1384" s="737">
        <f>A1384/'Orbit Info'!$G$10</f>
        <v>0</v>
      </c>
      <c r="C1384" s="737" t="str">
        <f t="shared" si="380"/>
        <v>Housekeeping and events only</v>
      </c>
      <c r="D1384" s="737">
        <f t="shared" si="381"/>
        <v>1</v>
      </c>
      <c r="E1384" s="737" t="str">
        <f t="shared" si="382"/>
        <v>#VALUE!</v>
      </c>
      <c r="F1384" s="737">
        <v>1.0</v>
      </c>
      <c r="G1384" s="737" t="str">
        <f t="shared" si="383"/>
        <v>#VALUE!</v>
      </c>
      <c r="H1384" s="737" t="str">
        <f>MIN($Q$11/('Orbit Info'!G$10),$Q$8*60)</f>
        <v>#VALUE!</v>
      </c>
      <c r="I1384" s="737" t="str">
        <f>IF(D1384=1,$Q$12/'Data DownlinkStorage Budget'!$M$3,0)</f>
        <v>#VALUE!</v>
      </c>
      <c r="J1384" s="737" t="str">
        <f t="shared" si="384"/>
        <v>#VALUE!</v>
      </c>
      <c r="K1384" s="11"/>
      <c r="L1384" s="737" t="str">
        <f t="shared" si="385"/>
        <v>FOUND product plus housekeeping</v>
      </c>
      <c r="M1384" s="737" t="str">
        <f>MIN($Q$18,$Q$10*60)-IF(D1384=1,$Q$17/'Data DownlinkStorage Budget'!$M$3,0)</f>
        <v>#VALUE!</v>
      </c>
      <c r="N1384" s="182"/>
      <c r="O1384" s="737" t="str">
        <f t="shared" si="386"/>
        <v>#VALUE!</v>
      </c>
      <c r="P1384" s="11"/>
      <c r="Q1384" s="11"/>
      <c r="R1384" s="11"/>
      <c r="S1384" s="11"/>
      <c r="T1384" s="11"/>
      <c r="U1384" s="11"/>
      <c r="V1384" s="11"/>
      <c r="W1384" s="11"/>
      <c r="X1384" s="11"/>
      <c r="Y1384" s="11"/>
      <c r="Z1384" s="11"/>
      <c r="AA1384" s="11"/>
    </row>
    <row r="1385" ht="15.75" customHeight="1">
      <c r="A1385" s="737">
        <f t="shared" si="379"/>
        <v>0</v>
      </c>
      <c r="B1385" s="737">
        <f>A1385/'Orbit Info'!$G$10</f>
        <v>0</v>
      </c>
      <c r="C1385" s="737" t="str">
        <f t="shared" si="380"/>
        <v>Housekeeping and events only</v>
      </c>
      <c r="D1385" s="737">
        <f t="shared" si="381"/>
        <v>1</v>
      </c>
      <c r="E1385" s="737" t="str">
        <f t="shared" si="382"/>
        <v>#VALUE!</v>
      </c>
      <c r="F1385" s="737">
        <v>1.0</v>
      </c>
      <c r="G1385" s="737" t="str">
        <f t="shared" si="383"/>
        <v>#VALUE!</v>
      </c>
      <c r="H1385" s="737" t="str">
        <f>MIN($Q$11/('Orbit Info'!G$10),$Q$8*60)</f>
        <v>#VALUE!</v>
      </c>
      <c r="I1385" s="737" t="str">
        <f>IF(D1385=1,$Q$12/'Data DownlinkStorage Budget'!$M$3,0)</f>
        <v>#VALUE!</v>
      </c>
      <c r="J1385" s="737" t="str">
        <f t="shared" si="384"/>
        <v>#VALUE!</v>
      </c>
      <c r="K1385" s="11"/>
      <c r="L1385" s="737" t="str">
        <f t="shared" si="385"/>
        <v>FOUND product plus housekeeping</v>
      </c>
      <c r="M1385" s="737" t="str">
        <f>MIN($Q$18,$Q$10*60)-IF(D1385=1,$Q$17/'Data DownlinkStorage Budget'!$M$3,0)</f>
        <v>#VALUE!</v>
      </c>
      <c r="N1385" s="182"/>
      <c r="O1385" s="737" t="str">
        <f t="shared" si="386"/>
        <v>#VALUE!</v>
      </c>
      <c r="P1385" s="11"/>
      <c r="Q1385" s="11"/>
      <c r="R1385" s="11"/>
      <c r="S1385" s="11"/>
      <c r="T1385" s="11"/>
      <c r="U1385" s="11"/>
      <c r="V1385" s="11"/>
      <c r="W1385" s="11"/>
      <c r="X1385" s="11"/>
      <c r="Y1385" s="11"/>
      <c r="Z1385" s="11"/>
      <c r="AA1385" s="11"/>
    </row>
    <row r="1386" ht="15.75" customHeight="1">
      <c r="A1386" s="737">
        <f t="shared" si="379"/>
        <v>0</v>
      </c>
      <c r="B1386" s="737">
        <f>A1386/'Orbit Info'!$G$10</f>
        <v>0</v>
      </c>
      <c r="C1386" s="737" t="str">
        <f t="shared" si="380"/>
        <v>Housekeeping and events only</v>
      </c>
      <c r="D1386" s="737">
        <f t="shared" si="381"/>
        <v>1</v>
      </c>
      <c r="E1386" s="737" t="str">
        <f t="shared" si="382"/>
        <v>#VALUE!</v>
      </c>
      <c r="F1386" s="737">
        <v>1.0</v>
      </c>
      <c r="G1386" s="737" t="str">
        <f t="shared" si="383"/>
        <v>#VALUE!</v>
      </c>
      <c r="H1386" s="737" t="str">
        <f>MIN($Q$11/('Orbit Info'!G$10),$Q$8*60)</f>
        <v>#VALUE!</v>
      </c>
      <c r="I1386" s="737" t="str">
        <f>IF(D1386=1,$Q$12/'Data DownlinkStorage Budget'!$M$3,0)</f>
        <v>#VALUE!</v>
      </c>
      <c r="J1386" s="737" t="str">
        <f t="shared" si="384"/>
        <v>#VALUE!</v>
      </c>
      <c r="K1386" s="11"/>
      <c r="L1386" s="737" t="str">
        <f t="shared" si="385"/>
        <v>FOUND product plus housekeeping</v>
      </c>
      <c r="M1386" s="737" t="str">
        <f>MIN($Q$18,$Q$10*60)-IF(D1386=1,$Q$17/'Data DownlinkStorage Budget'!$M$3,0)</f>
        <v>#VALUE!</v>
      </c>
      <c r="N1386" s="182"/>
      <c r="O1386" s="737" t="str">
        <f t="shared" si="386"/>
        <v>#VALUE!</v>
      </c>
      <c r="P1386" s="11"/>
      <c r="Q1386" s="11"/>
      <c r="R1386" s="11"/>
      <c r="S1386" s="11"/>
      <c r="T1386" s="11"/>
      <c r="U1386" s="11"/>
      <c r="V1386" s="11"/>
      <c r="W1386" s="11"/>
      <c r="X1386" s="11"/>
      <c r="Y1386" s="11"/>
      <c r="Z1386" s="11"/>
      <c r="AA1386" s="11"/>
    </row>
    <row r="1387" ht="15.75" customHeight="1">
      <c r="A1387" s="737">
        <f t="shared" si="379"/>
        <v>0</v>
      </c>
      <c r="B1387" s="737">
        <f>A1387/'Orbit Info'!$G$10</f>
        <v>0</v>
      </c>
      <c r="C1387" s="737" t="str">
        <f t="shared" si="380"/>
        <v>Housekeeping and events only</v>
      </c>
      <c r="D1387" s="737">
        <f t="shared" si="381"/>
        <v>1</v>
      </c>
      <c r="E1387" s="737" t="str">
        <f t="shared" si="382"/>
        <v>#VALUE!</v>
      </c>
      <c r="F1387" s="737">
        <v>1.0</v>
      </c>
      <c r="G1387" s="737" t="str">
        <f t="shared" si="383"/>
        <v>#VALUE!</v>
      </c>
      <c r="H1387" s="737" t="str">
        <f>MIN($Q$11/('Orbit Info'!G$10),$Q$8*60)</f>
        <v>#VALUE!</v>
      </c>
      <c r="I1387" s="737" t="str">
        <f>IF(D1387=1,$Q$12/'Data DownlinkStorage Budget'!$M$3,0)</f>
        <v>#VALUE!</v>
      </c>
      <c r="J1387" s="737" t="str">
        <f t="shared" si="384"/>
        <v>#VALUE!</v>
      </c>
      <c r="K1387" s="11"/>
      <c r="L1387" s="737" t="str">
        <f t="shared" si="385"/>
        <v>FOUND product plus housekeeping</v>
      </c>
      <c r="M1387" s="737" t="str">
        <f>MIN($Q$18,$Q$10*60)-IF(D1387=1,$Q$17/'Data DownlinkStorage Budget'!$M$3,0)</f>
        <v>#VALUE!</v>
      </c>
      <c r="N1387" s="182"/>
      <c r="O1387" s="737" t="str">
        <f t="shared" si="386"/>
        <v>#VALUE!</v>
      </c>
      <c r="P1387" s="11"/>
      <c r="Q1387" s="11"/>
      <c r="R1387" s="11"/>
      <c r="S1387" s="11"/>
      <c r="T1387" s="11"/>
      <c r="U1387" s="11"/>
      <c r="V1387" s="11"/>
      <c r="W1387" s="11"/>
      <c r="X1387" s="11"/>
      <c r="Y1387" s="11"/>
      <c r="Z1387" s="11"/>
      <c r="AA1387" s="11"/>
    </row>
    <row r="1388" ht="15.75" customHeight="1">
      <c r="A1388" s="737">
        <f t="shared" si="379"/>
        <v>0</v>
      </c>
      <c r="B1388" s="737">
        <f>A1388/'Orbit Info'!$G$10</f>
        <v>0</v>
      </c>
      <c r="C1388" s="737" t="str">
        <f t="shared" si="380"/>
        <v>Housekeeping and events only</v>
      </c>
      <c r="D1388" s="737">
        <f t="shared" si="381"/>
        <v>1</v>
      </c>
      <c r="E1388" s="737" t="str">
        <f t="shared" si="382"/>
        <v>#VALUE!</v>
      </c>
      <c r="F1388" s="737">
        <v>1.0</v>
      </c>
      <c r="G1388" s="737" t="str">
        <f t="shared" si="383"/>
        <v>#VALUE!</v>
      </c>
      <c r="H1388" s="737" t="str">
        <f>MIN($Q$11/('Orbit Info'!G$10),$Q$8*60)</f>
        <v>#VALUE!</v>
      </c>
      <c r="I1388" s="737" t="str">
        <f>IF(D1388=1,$Q$12/'Data DownlinkStorage Budget'!$M$3,0)</f>
        <v>#VALUE!</v>
      </c>
      <c r="J1388" s="737" t="str">
        <f t="shared" si="384"/>
        <v>#VALUE!</v>
      </c>
      <c r="K1388" s="11"/>
      <c r="L1388" s="737" t="str">
        <f t="shared" si="385"/>
        <v>FOUND product plus housekeeping</v>
      </c>
      <c r="M1388" s="737" t="str">
        <f>MIN($Q$18,$Q$10*60)-IF(D1388=1,$Q$17/'Data DownlinkStorage Budget'!$M$3,0)</f>
        <v>#VALUE!</v>
      </c>
      <c r="N1388" s="182"/>
      <c r="O1388" s="737" t="str">
        <f t="shared" si="386"/>
        <v>#VALUE!</v>
      </c>
      <c r="P1388" s="11"/>
      <c r="Q1388" s="11"/>
      <c r="R1388" s="11"/>
      <c r="S1388" s="11"/>
      <c r="T1388" s="11"/>
      <c r="U1388" s="11"/>
      <c r="V1388" s="11"/>
      <c r="W1388" s="11"/>
      <c r="X1388" s="11"/>
      <c r="Y1388" s="11"/>
      <c r="Z1388" s="11"/>
      <c r="AA1388" s="11"/>
    </row>
    <row r="1389" ht="15.75" customHeight="1">
      <c r="A1389" s="737">
        <f t="shared" si="379"/>
        <v>0</v>
      </c>
      <c r="B1389" s="737">
        <f>A1389/'Orbit Info'!$G$10</f>
        <v>0</v>
      </c>
      <c r="C1389" s="737" t="str">
        <f t="shared" si="380"/>
        <v>Housekeeping and events only</v>
      </c>
      <c r="D1389" s="737">
        <f t="shared" si="381"/>
        <v>1</v>
      </c>
      <c r="E1389" s="737" t="str">
        <f t="shared" si="382"/>
        <v>#VALUE!</v>
      </c>
      <c r="F1389" s="737">
        <v>1.0</v>
      </c>
      <c r="G1389" s="737" t="str">
        <f t="shared" si="383"/>
        <v>#VALUE!</v>
      </c>
      <c r="H1389" s="737" t="str">
        <f>MIN($Q$11/('Orbit Info'!G$10),$Q$8*60)</f>
        <v>#VALUE!</v>
      </c>
      <c r="I1389" s="737" t="str">
        <f>IF(D1389=1,$Q$12/'Data DownlinkStorage Budget'!$M$3,0)</f>
        <v>#VALUE!</v>
      </c>
      <c r="J1389" s="737" t="str">
        <f t="shared" si="384"/>
        <v>#VALUE!</v>
      </c>
      <c r="K1389" s="11"/>
      <c r="L1389" s="737" t="str">
        <f t="shared" si="385"/>
        <v>FOUND product plus housekeeping</v>
      </c>
      <c r="M1389" s="737" t="str">
        <f>MIN($Q$18,$Q$10*60)-IF(D1389=1,$Q$17/'Data DownlinkStorage Budget'!$M$3,0)</f>
        <v>#VALUE!</v>
      </c>
      <c r="N1389" s="182"/>
      <c r="O1389" s="737" t="str">
        <f t="shared" si="386"/>
        <v>#VALUE!</v>
      </c>
      <c r="P1389" s="11"/>
      <c r="Q1389" s="11"/>
      <c r="R1389" s="11"/>
      <c r="S1389" s="11"/>
      <c r="T1389" s="11"/>
      <c r="U1389" s="11"/>
      <c r="V1389" s="11"/>
      <c r="W1389" s="11"/>
      <c r="X1389" s="11"/>
      <c r="Y1389" s="11"/>
      <c r="Z1389" s="11"/>
      <c r="AA1389" s="11"/>
    </row>
    <row r="1390" ht="15.75" customHeight="1">
      <c r="A1390" s="737">
        <f t="shared" si="379"/>
        <v>0</v>
      </c>
      <c r="B1390" s="737">
        <f>A1390/'Orbit Info'!$G$10</f>
        <v>0</v>
      </c>
      <c r="C1390" s="737" t="str">
        <f t="shared" si="380"/>
        <v>Housekeeping and events only</v>
      </c>
      <c r="D1390" s="737">
        <f t="shared" si="381"/>
        <v>1</v>
      </c>
      <c r="E1390" s="737" t="str">
        <f t="shared" si="382"/>
        <v>#VALUE!</v>
      </c>
      <c r="F1390" s="737">
        <v>1.0</v>
      </c>
      <c r="G1390" s="737" t="str">
        <f t="shared" si="383"/>
        <v>#VALUE!</v>
      </c>
      <c r="H1390" s="737" t="str">
        <f>MIN($Q$11/('Orbit Info'!G$10),$Q$8*60)</f>
        <v>#VALUE!</v>
      </c>
      <c r="I1390" s="737" t="str">
        <f>IF(D1390=1,$Q$12/'Data DownlinkStorage Budget'!$M$3,0)</f>
        <v>#VALUE!</v>
      </c>
      <c r="J1390" s="737" t="str">
        <f t="shared" si="384"/>
        <v>#VALUE!</v>
      </c>
      <c r="K1390" s="11"/>
      <c r="L1390" s="737" t="str">
        <f t="shared" si="385"/>
        <v>FOUND product plus housekeeping</v>
      </c>
      <c r="M1390" s="737" t="str">
        <f>MIN($Q$18,$Q$10*60)-IF(D1390=1,$Q$17/'Data DownlinkStorage Budget'!$M$3,0)</f>
        <v>#VALUE!</v>
      </c>
      <c r="N1390" s="182"/>
      <c r="O1390" s="737" t="str">
        <f t="shared" si="386"/>
        <v>#VALUE!</v>
      </c>
      <c r="P1390" s="11"/>
      <c r="Q1390" s="11"/>
      <c r="R1390" s="11"/>
      <c r="S1390" s="11"/>
      <c r="T1390" s="11"/>
      <c r="U1390" s="11"/>
      <c r="V1390" s="11"/>
      <c r="W1390" s="11"/>
      <c r="X1390" s="11"/>
      <c r="Y1390" s="11"/>
      <c r="Z1390" s="11"/>
      <c r="AA1390" s="11"/>
    </row>
    <row r="1391" ht="15.75" customHeight="1">
      <c r="A1391" s="737">
        <f t="shared" si="379"/>
        <v>0</v>
      </c>
      <c r="B1391" s="737">
        <f>A1391/'Orbit Info'!$G$10</f>
        <v>0</v>
      </c>
      <c r="C1391" s="737" t="str">
        <f t="shared" si="380"/>
        <v>Housekeeping and events only</v>
      </c>
      <c r="D1391" s="737">
        <f t="shared" si="381"/>
        <v>1</v>
      </c>
      <c r="E1391" s="737" t="str">
        <f t="shared" si="382"/>
        <v>#VALUE!</v>
      </c>
      <c r="F1391" s="737">
        <v>1.0</v>
      </c>
      <c r="G1391" s="737" t="str">
        <f t="shared" si="383"/>
        <v>#VALUE!</v>
      </c>
      <c r="H1391" s="737" t="str">
        <f>MIN($Q$11/('Orbit Info'!G$10),$Q$8*60)</f>
        <v>#VALUE!</v>
      </c>
      <c r="I1391" s="737" t="str">
        <f>IF(D1391=1,$Q$12/'Data DownlinkStorage Budget'!$M$3,0)</f>
        <v>#VALUE!</v>
      </c>
      <c r="J1391" s="737" t="str">
        <f t="shared" si="384"/>
        <v>#VALUE!</v>
      </c>
      <c r="K1391" s="11"/>
      <c r="L1391" s="737" t="str">
        <f t="shared" si="385"/>
        <v>FOUND product plus housekeeping</v>
      </c>
      <c r="M1391" s="737" t="str">
        <f>MIN($Q$18,$Q$10*60)-IF(D1391=1,$Q$17/'Data DownlinkStorage Budget'!$M$3,0)</f>
        <v>#VALUE!</v>
      </c>
      <c r="N1391" s="182"/>
      <c r="O1391" s="737" t="str">
        <f t="shared" si="386"/>
        <v>#VALUE!</v>
      </c>
      <c r="P1391" s="11"/>
      <c r="Q1391" s="11"/>
      <c r="R1391" s="11"/>
      <c r="S1391" s="11"/>
      <c r="T1391" s="11"/>
      <c r="U1391" s="11"/>
      <c r="V1391" s="11"/>
      <c r="W1391" s="11"/>
      <c r="X1391" s="11"/>
      <c r="Y1391" s="11"/>
      <c r="Z1391" s="11"/>
      <c r="AA1391" s="11"/>
    </row>
    <row r="1392" ht="15.75" customHeight="1">
      <c r="A1392" s="737">
        <f t="shared" si="379"/>
        <v>0</v>
      </c>
      <c r="B1392" s="737">
        <f>A1392/'Orbit Info'!$G$10</f>
        <v>0</v>
      </c>
      <c r="C1392" s="737" t="str">
        <f t="shared" si="380"/>
        <v>Housekeeping and events only</v>
      </c>
      <c r="D1392" s="737">
        <f t="shared" si="381"/>
        <v>1</v>
      </c>
      <c r="E1392" s="737" t="str">
        <f t="shared" si="382"/>
        <v>#VALUE!</v>
      </c>
      <c r="F1392" s="737">
        <v>1.0</v>
      </c>
      <c r="G1392" s="737" t="str">
        <f t="shared" si="383"/>
        <v>#VALUE!</v>
      </c>
      <c r="H1392" s="737" t="str">
        <f>MIN($Q$11/('Orbit Info'!G$10),$Q$8*60)</f>
        <v>#VALUE!</v>
      </c>
      <c r="I1392" s="737" t="str">
        <f>IF(D1392=1,$Q$12/'Data DownlinkStorage Budget'!$M$3,0)</f>
        <v>#VALUE!</v>
      </c>
      <c r="J1392" s="737" t="str">
        <f t="shared" si="384"/>
        <v>#VALUE!</v>
      </c>
      <c r="K1392" s="11"/>
      <c r="L1392" s="737" t="str">
        <f t="shared" si="385"/>
        <v>FOUND product plus housekeeping</v>
      </c>
      <c r="M1392" s="737" t="str">
        <f>MIN($Q$18,$Q$10*60)-IF(D1392=1,$Q$17/'Data DownlinkStorage Budget'!$M$3,0)</f>
        <v>#VALUE!</v>
      </c>
      <c r="N1392" s="182"/>
      <c r="O1392" s="737" t="str">
        <f t="shared" si="386"/>
        <v>#VALUE!</v>
      </c>
      <c r="P1392" s="11"/>
      <c r="Q1392" s="11"/>
      <c r="R1392" s="11"/>
      <c r="S1392" s="11"/>
      <c r="T1392" s="11"/>
      <c r="U1392" s="11"/>
      <c r="V1392" s="11"/>
      <c r="W1392" s="11"/>
      <c r="X1392" s="11"/>
      <c r="Y1392" s="11"/>
      <c r="Z1392" s="11"/>
      <c r="AA1392" s="11"/>
    </row>
    <row r="1393" ht="15.75" customHeight="1">
      <c r="A1393" s="737">
        <f t="shared" si="379"/>
        <v>0</v>
      </c>
      <c r="B1393" s="737">
        <f>A1393/'Orbit Info'!$G$10</f>
        <v>0</v>
      </c>
      <c r="C1393" s="737" t="str">
        <f t="shared" si="380"/>
        <v>Housekeeping and events only</v>
      </c>
      <c r="D1393" s="737">
        <f t="shared" si="381"/>
        <v>1</v>
      </c>
      <c r="E1393" s="737" t="str">
        <f t="shared" si="382"/>
        <v>#VALUE!</v>
      </c>
      <c r="F1393" s="737">
        <v>1.0</v>
      </c>
      <c r="G1393" s="737" t="str">
        <f t="shared" si="383"/>
        <v>#VALUE!</v>
      </c>
      <c r="H1393" s="737" t="str">
        <f>MIN($Q$11/('Orbit Info'!G$10),$Q$8*60)</f>
        <v>#VALUE!</v>
      </c>
      <c r="I1393" s="737" t="str">
        <f>IF(D1393=1,$Q$12/'Data DownlinkStorage Budget'!$M$3,0)</f>
        <v>#VALUE!</v>
      </c>
      <c r="J1393" s="737" t="str">
        <f t="shared" si="384"/>
        <v>#VALUE!</v>
      </c>
      <c r="K1393" s="11"/>
      <c r="L1393" s="737" t="str">
        <f t="shared" si="385"/>
        <v>FOUND product plus housekeeping</v>
      </c>
      <c r="M1393" s="737" t="str">
        <f>MIN($Q$18,$Q$10*60)-IF(D1393=1,$Q$17/'Data DownlinkStorage Budget'!$M$3,0)</f>
        <v>#VALUE!</v>
      </c>
      <c r="N1393" s="182"/>
      <c r="O1393" s="737" t="str">
        <f t="shared" si="386"/>
        <v>#VALUE!</v>
      </c>
      <c r="P1393" s="11"/>
      <c r="Q1393" s="11"/>
      <c r="R1393" s="11"/>
      <c r="S1393" s="11"/>
      <c r="T1393" s="11"/>
      <c r="U1393" s="11"/>
      <c r="V1393" s="11"/>
      <c r="W1393" s="11"/>
      <c r="X1393" s="11"/>
      <c r="Y1393" s="11"/>
      <c r="Z1393" s="11"/>
      <c r="AA1393" s="11"/>
    </row>
    <row r="1394" ht="15.75" customHeight="1">
      <c r="A1394" s="737">
        <f t="shared" si="379"/>
        <v>0</v>
      </c>
      <c r="B1394" s="737">
        <f>A1394/'Orbit Info'!$G$10</f>
        <v>0</v>
      </c>
      <c r="C1394" s="737" t="str">
        <f t="shared" si="380"/>
        <v>Housekeeping and events only</v>
      </c>
      <c r="D1394" s="737">
        <f t="shared" si="381"/>
        <v>1</v>
      </c>
      <c r="E1394" s="737" t="str">
        <f t="shared" si="382"/>
        <v>#VALUE!</v>
      </c>
      <c r="F1394" s="737">
        <v>1.0</v>
      </c>
      <c r="G1394" s="737" t="str">
        <f t="shared" si="383"/>
        <v>#VALUE!</v>
      </c>
      <c r="H1394" s="737" t="str">
        <f>MIN($Q$11/('Orbit Info'!G$10),$Q$8*60)</f>
        <v>#VALUE!</v>
      </c>
      <c r="I1394" s="737" t="str">
        <f>IF(D1394=1,$Q$12/'Data DownlinkStorage Budget'!$M$3,0)</f>
        <v>#VALUE!</v>
      </c>
      <c r="J1394" s="737" t="str">
        <f t="shared" si="384"/>
        <v>#VALUE!</v>
      </c>
      <c r="K1394" s="11"/>
      <c r="L1394" s="737" t="str">
        <f t="shared" si="385"/>
        <v>FOUND product plus housekeeping</v>
      </c>
      <c r="M1394" s="737" t="str">
        <f>MIN($Q$18,$Q$10*60)-IF(D1394=1,$Q$17/'Data DownlinkStorage Budget'!$M$3,0)</f>
        <v>#VALUE!</v>
      </c>
      <c r="N1394" s="182"/>
      <c r="O1394" s="737" t="str">
        <f t="shared" si="386"/>
        <v>#VALUE!</v>
      </c>
      <c r="P1394" s="11"/>
      <c r="Q1394" s="11"/>
      <c r="R1394" s="11"/>
      <c r="S1394" s="11"/>
      <c r="T1394" s="11"/>
      <c r="U1394" s="11"/>
      <c r="V1394" s="11"/>
      <c r="W1394" s="11"/>
      <c r="X1394" s="11"/>
      <c r="Y1394" s="11"/>
      <c r="Z1394" s="11"/>
      <c r="AA1394" s="11"/>
    </row>
    <row r="1395" ht="15.75" customHeight="1">
      <c r="A1395" s="737">
        <f t="shared" si="379"/>
        <v>0</v>
      </c>
      <c r="B1395" s="737">
        <f>A1395/'Orbit Info'!$G$10</f>
        <v>0</v>
      </c>
      <c r="C1395" s="737" t="str">
        <f t="shared" si="380"/>
        <v>Housekeeping and events only</v>
      </c>
      <c r="D1395" s="737">
        <f t="shared" si="381"/>
        <v>1</v>
      </c>
      <c r="E1395" s="737" t="str">
        <f t="shared" si="382"/>
        <v>#VALUE!</v>
      </c>
      <c r="F1395" s="737">
        <v>1.0</v>
      </c>
      <c r="G1395" s="737" t="str">
        <f t="shared" si="383"/>
        <v>#VALUE!</v>
      </c>
      <c r="H1395" s="737" t="str">
        <f>MIN($Q$11/('Orbit Info'!G$10),$Q$8*60)</f>
        <v>#VALUE!</v>
      </c>
      <c r="I1395" s="737" t="str">
        <f>IF(D1395=1,$Q$12/'Data DownlinkStorage Budget'!$M$3,0)</f>
        <v>#VALUE!</v>
      </c>
      <c r="J1395" s="737" t="str">
        <f t="shared" si="384"/>
        <v>#VALUE!</v>
      </c>
      <c r="K1395" s="11"/>
      <c r="L1395" s="737" t="str">
        <f t="shared" si="385"/>
        <v>FOUND product plus housekeeping</v>
      </c>
      <c r="M1395" s="737" t="str">
        <f>MIN($Q$18,$Q$10*60)-IF(D1395=1,$Q$17/'Data DownlinkStorage Budget'!$M$3,0)</f>
        <v>#VALUE!</v>
      </c>
      <c r="N1395" s="182"/>
      <c r="O1395" s="737" t="str">
        <f t="shared" si="386"/>
        <v>#VALUE!</v>
      </c>
      <c r="P1395" s="11"/>
      <c r="Q1395" s="11"/>
      <c r="R1395" s="11"/>
      <c r="S1395" s="11"/>
      <c r="T1395" s="11"/>
      <c r="U1395" s="11"/>
      <c r="V1395" s="11"/>
      <c r="W1395" s="11"/>
      <c r="X1395" s="11"/>
      <c r="Y1395" s="11"/>
      <c r="Z1395" s="11"/>
      <c r="AA1395" s="11"/>
    </row>
    <row r="1396" ht="15.75" customHeight="1">
      <c r="A1396" s="737">
        <f t="shared" si="379"/>
        <v>0</v>
      </c>
      <c r="B1396" s="737">
        <f>A1396/'Orbit Info'!$G$10</f>
        <v>0</v>
      </c>
      <c r="C1396" s="737" t="str">
        <f t="shared" si="380"/>
        <v>Housekeeping and events only</v>
      </c>
      <c r="D1396" s="737">
        <f t="shared" si="381"/>
        <v>1</v>
      </c>
      <c r="E1396" s="737" t="str">
        <f t="shared" si="382"/>
        <v>#VALUE!</v>
      </c>
      <c r="F1396" s="737">
        <v>1.0</v>
      </c>
      <c r="G1396" s="737" t="str">
        <f t="shared" si="383"/>
        <v>#VALUE!</v>
      </c>
      <c r="H1396" s="737" t="str">
        <f>MIN($Q$11/('Orbit Info'!G$10),$Q$8*60)</f>
        <v>#VALUE!</v>
      </c>
      <c r="I1396" s="737" t="str">
        <f>IF(D1396=1,$Q$12/'Data DownlinkStorage Budget'!$M$3,0)</f>
        <v>#VALUE!</v>
      </c>
      <c r="J1396" s="737" t="str">
        <f t="shared" si="384"/>
        <v>#VALUE!</v>
      </c>
      <c r="K1396" s="11"/>
      <c r="L1396" s="737" t="str">
        <f t="shared" si="385"/>
        <v>FOUND product plus housekeeping</v>
      </c>
      <c r="M1396" s="737" t="str">
        <f>MIN($Q$18,$Q$10*60)-IF(D1396=1,$Q$17/'Data DownlinkStorage Budget'!$M$3,0)</f>
        <v>#VALUE!</v>
      </c>
      <c r="N1396" s="182"/>
      <c r="O1396" s="737" t="str">
        <f t="shared" si="386"/>
        <v>#VALUE!</v>
      </c>
      <c r="P1396" s="11"/>
      <c r="Q1396" s="11"/>
      <c r="R1396" s="11"/>
      <c r="S1396" s="11"/>
      <c r="T1396" s="11"/>
      <c r="U1396" s="11"/>
      <c r="V1396" s="11"/>
      <c r="W1396" s="11"/>
      <c r="X1396" s="11"/>
      <c r="Y1396" s="11"/>
      <c r="Z1396" s="11"/>
      <c r="AA1396" s="11"/>
    </row>
    <row r="1397" ht="15.75" customHeight="1">
      <c r="A1397" s="737">
        <f t="shared" si="379"/>
        <v>0</v>
      </c>
      <c r="B1397" s="737">
        <f>A1397/'Orbit Info'!$G$10</f>
        <v>0</v>
      </c>
      <c r="C1397" s="737" t="str">
        <f t="shared" si="380"/>
        <v>Housekeeping and events only</v>
      </c>
      <c r="D1397" s="737">
        <f t="shared" si="381"/>
        <v>1</v>
      </c>
      <c r="E1397" s="737" t="str">
        <f t="shared" si="382"/>
        <v>#VALUE!</v>
      </c>
      <c r="F1397" s="737">
        <v>1.0</v>
      </c>
      <c r="G1397" s="737" t="str">
        <f t="shared" si="383"/>
        <v>#VALUE!</v>
      </c>
      <c r="H1397" s="737" t="str">
        <f>MIN($Q$11/('Orbit Info'!G$10),$Q$8*60)</f>
        <v>#VALUE!</v>
      </c>
      <c r="I1397" s="737" t="str">
        <f>IF(D1397=1,$Q$12/'Data DownlinkStorage Budget'!$M$3,0)</f>
        <v>#VALUE!</v>
      </c>
      <c r="J1397" s="737" t="str">
        <f t="shared" si="384"/>
        <v>#VALUE!</v>
      </c>
      <c r="K1397" s="11"/>
      <c r="L1397" s="737" t="str">
        <f t="shared" si="385"/>
        <v>FOUND product plus housekeeping</v>
      </c>
      <c r="M1397" s="737" t="str">
        <f>MIN($Q$18,$Q$10*60)-IF(D1397=1,$Q$17/'Data DownlinkStorage Budget'!$M$3,0)</f>
        <v>#VALUE!</v>
      </c>
      <c r="N1397" s="182"/>
      <c r="O1397" s="737" t="str">
        <f t="shared" si="386"/>
        <v>#VALUE!</v>
      </c>
      <c r="P1397" s="11"/>
      <c r="Q1397" s="11"/>
      <c r="R1397" s="11"/>
      <c r="S1397" s="11"/>
      <c r="T1397" s="11"/>
      <c r="U1397" s="11"/>
      <c r="V1397" s="11"/>
      <c r="W1397" s="11"/>
      <c r="X1397" s="11"/>
      <c r="Y1397" s="11"/>
      <c r="Z1397" s="11"/>
      <c r="AA1397" s="11"/>
    </row>
    <row r="1398" ht="15.75" customHeight="1">
      <c r="A1398" s="737">
        <f t="shared" si="379"/>
        <v>0</v>
      </c>
      <c r="B1398" s="737">
        <f>A1398/'Orbit Info'!$G$10</f>
        <v>0</v>
      </c>
      <c r="C1398" s="737" t="str">
        <f t="shared" si="380"/>
        <v>Housekeeping and events only</v>
      </c>
      <c r="D1398" s="737">
        <f t="shared" si="381"/>
        <v>1</v>
      </c>
      <c r="E1398" s="737" t="str">
        <f t="shared" si="382"/>
        <v>#VALUE!</v>
      </c>
      <c r="F1398" s="737">
        <v>1.0</v>
      </c>
      <c r="G1398" s="737" t="str">
        <f t="shared" si="383"/>
        <v>#VALUE!</v>
      </c>
      <c r="H1398" s="737" t="str">
        <f>MIN($Q$11/('Orbit Info'!G$10),$Q$8*60)</f>
        <v>#VALUE!</v>
      </c>
      <c r="I1398" s="737" t="str">
        <f>IF(D1398=1,$Q$12/'Data DownlinkStorage Budget'!$M$3,0)</f>
        <v>#VALUE!</v>
      </c>
      <c r="J1398" s="737" t="str">
        <f t="shared" si="384"/>
        <v>#VALUE!</v>
      </c>
      <c r="K1398" s="11"/>
      <c r="L1398" s="737" t="str">
        <f t="shared" si="385"/>
        <v>FOUND product plus housekeeping</v>
      </c>
      <c r="M1398" s="737" t="str">
        <f>MIN($Q$18,$Q$10*60)-IF(D1398=1,$Q$17/'Data DownlinkStorage Budget'!$M$3,0)</f>
        <v>#VALUE!</v>
      </c>
      <c r="N1398" s="182"/>
      <c r="O1398" s="737" t="str">
        <f t="shared" si="386"/>
        <v>#VALUE!</v>
      </c>
      <c r="P1398" s="11"/>
      <c r="Q1398" s="11"/>
      <c r="R1398" s="11"/>
      <c r="S1398" s="11"/>
      <c r="T1398" s="11"/>
      <c r="U1398" s="11"/>
      <c r="V1398" s="11"/>
      <c r="W1398" s="11"/>
      <c r="X1398" s="11"/>
      <c r="Y1398" s="11"/>
      <c r="Z1398" s="11"/>
      <c r="AA1398" s="11"/>
    </row>
    <row r="1399" ht="15.75" customHeight="1">
      <c r="A1399" s="737">
        <f t="shared" si="379"/>
        <v>0</v>
      </c>
      <c r="B1399" s="737">
        <f>A1399/'Orbit Info'!$G$10</f>
        <v>0</v>
      </c>
      <c r="C1399" s="737" t="str">
        <f t="shared" si="380"/>
        <v>Housekeeping and events only</v>
      </c>
      <c r="D1399" s="737">
        <f t="shared" si="381"/>
        <v>1</v>
      </c>
      <c r="E1399" s="737" t="str">
        <f t="shared" si="382"/>
        <v>#VALUE!</v>
      </c>
      <c r="F1399" s="737">
        <v>1.0</v>
      </c>
      <c r="G1399" s="737" t="str">
        <f t="shared" si="383"/>
        <v>#VALUE!</v>
      </c>
      <c r="H1399" s="737" t="str">
        <f>MIN($Q$11/('Orbit Info'!G$10),$Q$8*60)</f>
        <v>#VALUE!</v>
      </c>
      <c r="I1399" s="737" t="str">
        <f>IF(D1399=1,$Q$12/'Data DownlinkStorage Budget'!$M$3,0)</f>
        <v>#VALUE!</v>
      </c>
      <c r="J1399" s="737" t="str">
        <f t="shared" si="384"/>
        <v>#VALUE!</v>
      </c>
      <c r="K1399" s="11"/>
      <c r="L1399" s="737" t="str">
        <f t="shared" si="385"/>
        <v>FOUND product plus housekeeping</v>
      </c>
      <c r="M1399" s="737" t="str">
        <f>MIN($Q$18,$Q$10*60)-IF(D1399=1,$Q$17/'Data DownlinkStorage Budget'!$M$3,0)</f>
        <v>#VALUE!</v>
      </c>
      <c r="N1399" s="182"/>
      <c r="O1399" s="737" t="str">
        <f t="shared" si="386"/>
        <v>#VALUE!</v>
      </c>
      <c r="P1399" s="11"/>
      <c r="Q1399" s="11"/>
      <c r="R1399" s="11"/>
      <c r="S1399" s="11"/>
      <c r="T1399" s="11"/>
      <c r="U1399" s="11"/>
      <c r="V1399" s="11"/>
      <c r="W1399" s="11"/>
      <c r="X1399" s="11"/>
      <c r="Y1399" s="11"/>
      <c r="Z1399" s="11"/>
      <c r="AA1399" s="11"/>
    </row>
    <row r="1400" ht="15.75" customHeight="1">
      <c r="A1400" s="737">
        <f t="shared" si="379"/>
        <v>0</v>
      </c>
      <c r="B1400" s="737">
        <f>A1400/'Orbit Info'!$G$10</f>
        <v>0</v>
      </c>
      <c r="C1400" s="737" t="str">
        <f t="shared" si="380"/>
        <v>Housekeeping and events only</v>
      </c>
      <c r="D1400" s="737">
        <f t="shared" si="381"/>
        <v>1</v>
      </c>
      <c r="E1400" s="737" t="str">
        <f t="shared" si="382"/>
        <v>#VALUE!</v>
      </c>
      <c r="F1400" s="737">
        <v>1.0</v>
      </c>
      <c r="G1400" s="737" t="str">
        <f t="shared" si="383"/>
        <v>#VALUE!</v>
      </c>
      <c r="H1400" s="737" t="str">
        <f>MIN($Q$11/('Orbit Info'!G$10),$Q$8*60)</f>
        <v>#VALUE!</v>
      </c>
      <c r="I1400" s="737" t="str">
        <f>IF(D1400=1,$Q$12/'Data DownlinkStorage Budget'!$M$3,0)</f>
        <v>#VALUE!</v>
      </c>
      <c r="J1400" s="737" t="str">
        <f t="shared" si="384"/>
        <v>#VALUE!</v>
      </c>
      <c r="K1400" s="11"/>
      <c r="L1400" s="737" t="str">
        <f t="shared" si="385"/>
        <v>FOUND product plus housekeeping</v>
      </c>
      <c r="M1400" s="737" t="str">
        <f>MIN($Q$18,$Q$10*60)-IF(D1400=1,$Q$17/'Data DownlinkStorage Budget'!$M$3,0)</f>
        <v>#VALUE!</v>
      </c>
      <c r="N1400" s="182"/>
      <c r="O1400" s="737" t="str">
        <f t="shared" si="386"/>
        <v>#VALUE!</v>
      </c>
      <c r="P1400" s="11"/>
      <c r="Q1400" s="11"/>
      <c r="R1400" s="11"/>
      <c r="S1400" s="11"/>
      <c r="T1400" s="11"/>
      <c r="U1400" s="11"/>
      <c r="V1400" s="11"/>
      <c r="W1400" s="11"/>
      <c r="X1400" s="11"/>
      <c r="Y1400" s="11"/>
      <c r="Z1400" s="11"/>
      <c r="AA1400" s="11"/>
    </row>
    <row r="1401" ht="15.75" customHeight="1">
      <c r="A1401" s="737">
        <f t="shared" si="379"/>
        <v>0</v>
      </c>
      <c r="B1401" s="737">
        <f>A1401/'Orbit Info'!$G$10</f>
        <v>0</v>
      </c>
      <c r="C1401" s="737" t="str">
        <f t="shared" si="380"/>
        <v>Housekeeping and events only</v>
      </c>
      <c r="D1401" s="737">
        <f t="shared" si="381"/>
        <v>1</v>
      </c>
      <c r="E1401" s="737" t="str">
        <f t="shared" si="382"/>
        <v>#VALUE!</v>
      </c>
      <c r="F1401" s="737">
        <v>1.0</v>
      </c>
      <c r="G1401" s="737" t="str">
        <f t="shared" si="383"/>
        <v>#VALUE!</v>
      </c>
      <c r="H1401" s="737" t="str">
        <f>MIN($Q$11/('Orbit Info'!G$10),$Q$8*60)</f>
        <v>#VALUE!</v>
      </c>
      <c r="I1401" s="737" t="str">
        <f>IF(D1401=1,$Q$12/'Data DownlinkStorage Budget'!$M$3,0)</f>
        <v>#VALUE!</v>
      </c>
      <c r="J1401" s="737" t="str">
        <f t="shared" si="384"/>
        <v>#VALUE!</v>
      </c>
      <c r="K1401" s="11"/>
      <c r="L1401" s="737" t="str">
        <f t="shared" si="385"/>
        <v>FOUND product plus housekeeping</v>
      </c>
      <c r="M1401" s="737" t="str">
        <f>MIN($Q$18,$Q$10*60)-IF(D1401=1,$Q$17/'Data DownlinkStorage Budget'!$M$3,0)</f>
        <v>#VALUE!</v>
      </c>
      <c r="N1401" s="182"/>
      <c r="O1401" s="737" t="str">
        <f t="shared" si="386"/>
        <v>#VALUE!</v>
      </c>
      <c r="P1401" s="11"/>
      <c r="Q1401" s="11"/>
      <c r="R1401" s="11"/>
      <c r="S1401" s="11"/>
      <c r="T1401" s="11"/>
      <c r="U1401" s="11"/>
      <c r="V1401" s="11"/>
      <c r="W1401" s="11"/>
      <c r="X1401" s="11"/>
      <c r="Y1401" s="11"/>
      <c r="Z1401" s="11"/>
      <c r="AA1401" s="11"/>
    </row>
    <row r="1402" ht="15.75" customHeight="1">
      <c r="A1402" s="737">
        <f t="shared" si="379"/>
        <v>0</v>
      </c>
      <c r="B1402" s="737">
        <f>A1402/'Orbit Info'!$G$10</f>
        <v>0</v>
      </c>
      <c r="C1402" s="737" t="str">
        <f t="shared" si="380"/>
        <v>Housekeeping and events only</v>
      </c>
      <c r="D1402" s="737">
        <f t="shared" si="381"/>
        <v>1</v>
      </c>
      <c r="E1402" s="737" t="str">
        <f t="shared" si="382"/>
        <v>#VALUE!</v>
      </c>
      <c r="F1402" s="737">
        <v>1.0</v>
      </c>
      <c r="G1402" s="737" t="str">
        <f t="shared" si="383"/>
        <v>#VALUE!</v>
      </c>
      <c r="H1402" s="737" t="str">
        <f>MIN($Q$11/('Orbit Info'!G$10),$Q$8*60)</f>
        <v>#VALUE!</v>
      </c>
      <c r="I1402" s="737" t="str">
        <f>IF(D1402=1,$Q$12/'Data DownlinkStorage Budget'!$M$3,0)</f>
        <v>#VALUE!</v>
      </c>
      <c r="J1402" s="737" t="str">
        <f t="shared" si="384"/>
        <v>#VALUE!</v>
      </c>
      <c r="K1402" s="11"/>
      <c r="L1402" s="737" t="str">
        <f t="shared" si="385"/>
        <v>FOUND product plus housekeeping</v>
      </c>
      <c r="M1402" s="737" t="str">
        <f>MIN($Q$18,$Q$10*60)-IF(D1402=1,$Q$17/'Data DownlinkStorage Budget'!$M$3,0)</f>
        <v>#VALUE!</v>
      </c>
      <c r="N1402" s="182"/>
      <c r="O1402" s="737" t="str">
        <f t="shared" si="386"/>
        <v>#VALUE!</v>
      </c>
      <c r="P1402" s="11"/>
      <c r="Q1402" s="11"/>
      <c r="R1402" s="11"/>
      <c r="S1402" s="11"/>
      <c r="T1402" s="11"/>
      <c r="U1402" s="11"/>
      <c r="V1402" s="11"/>
      <c r="W1402" s="11"/>
      <c r="X1402" s="11"/>
      <c r="Y1402" s="11"/>
      <c r="Z1402" s="11"/>
      <c r="AA1402" s="11"/>
    </row>
    <row r="1403" ht="15.75" customHeight="1">
      <c r="A1403" s="737">
        <f t="shared" si="379"/>
        <v>0</v>
      </c>
      <c r="B1403" s="737">
        <f>A1403/'Orbit Info'!$G$10</f>
        <v>0</v>
      </c>
      <c r="C1403" s="737" t="str">
        <f t="shared" si="380"/>
        <v>Housekeeping and events only</v>
      </c>
      <c r="D1403" s="737">
        <f t="shared" si="381"/>
        <v>1</v>
      </c>
      <c r="E1403" s="737" t="str">
        <f t="shared" si="382"/>
        <v>#VALUE!</v>
      </c>
      <c r="F1403" s="737">
        <v>1.0</v>
      </c>
      <c r="G1403" s="737" t="str">
        <f t="shared" si="383"/>
        <v>#VALUE!</v>
      </c>
      <c r="H1403" s="737" t="str">
        <f>MIN($Q$11/('Orbit Info'!G$10),$Q$8*60)</f>
        <v>#VALUE!</v>
      </c>
      <c r="I1403" s="737" t="str">
        <f>IF(D1403=1,$Q$12/'Data DownlinkStorage Budget'!$M$3,0)</f>
        <v>#VALUE!</v>
      </c>
      <c r="J1403" s="737" t="str">
        <f t="shared" si="384"/>
        <v>#VALUE!</v>
      </c>
      <c r="K1403" s="11"/>
      <c r="L1403" s="737" t="str">
        <f t="shared" si="385"/>
        <v>FOUND product plus housekeeping</v>
      </c>
      <c r="M1403" s="737" t="str">
        <f>MIN($Q$18,$Q$10*60)-IF(D1403=1,$Q$17/'Data DownlinkStorage Budget'!$M$3,0)</f>
        <v>#VALUE!</v>
      </c>
      <c r="N1403" s="182"/>
      <c r="O1403" s="737" t="str">
        <f t="shared" si="386"/>
        <v>#VALUE!</v>
      </c>
      <c r="P1403" s="11"/>
      <c r="Q1403" s="11"/>
      <c r="R1403" s="11"/>
      <c r="S1403" s="11"/>
      <c r="T1403" s="11"/>
      <c r="U1403" s="11"/>
      <c r="V1403" s="11"/>
      <c r="W1403" s="11"/>
      <c r="X1403" s="11"/>
      <c r="Y1403" s="11"/>
      <c r="Z1403" s="11"/>
      <c r="AA1403" s="11"/>
    </row>
    <row r="1404" ht="15.75" customHeight="1">
      <c r="A1404" s="737">
        <f t="shared" si="379"/>
        <v>0</v>
      </c>
      <c r="B1404" s="737">
        <f>A1404/'Orbit Info'!$G$10</f>
        <v>0</v>
      </c>
      <c r="C1404" s="737" t="str">
        <f t="shared" si="380"/>
        <v>Housekeeping and events only</v>
      </c>
      <c r="D1404" s="737">
        <f t="shared" si="381"/>
        <v>1</v>
      </c>
      <c r="E1404" s="737" t="str">
        <f t="shared" si="382"/>
        <v>#VALUE!</v>
      </c>
      <c r="F1404" s="737">
        <v>1.0</v>
      </c>
      <c r="G1404" s="737" t="str">
        <f t="shared" si="383"/>
        <v>#VALUE!</v>
      </c>
      <c r="H1404" s="737" t="str">
        <f>MIN($Q$11/('Orbit Info'!G$10),$Q$8*60)</f>
        <v>#VALUE!</v>
      </c>
      <c r="I1404" s="737" t="str">
        <f>IF(D1404=1,$Q$12/'Data DownlinkStorage Budget'!$M$3,0)</f>
        <v>#VALUE!</v>
      </c>
      <c r="J1404" s="737" t="str">
        <f t="shared" si="384"/>
        <v>#VALUE!</v>
      </c>
      <c r="K1404" s="11"/>
      <c r="L1404" s="737" t="str">
        <f t="shared" si="385"/>
        <v>FOUND product plus housekeeping</v>
      </c>
      <c r="M1404" s="737" t="str">
        <f>MIN($Q$18,$Q$10*60)-IF(D1404=1,$Q$17/'Data DownlinkStorage Budget'!$M$3,0)</f>
        <v>#VALUE!</v>
      </c>
      <c r="N1404" s="182"/>
      <c r="O1404" s="737" t="str">
        <f t="shared" si="386"/>
        <v>#VALUE!</v>
      </c>
      <c r="P1404" s="11"/>
      <c r="Q1404" s="11"/>
      <c r="R1404" s="11"/>
      <c r="S1404" s="11"/>
      <c r="T1404" s="11"/>
      <c r="U1404" s="11"/>
      <c r="V1404" s="11"/>
      <c r="W1404" s="11"/>
      <c r="X1404" s="11"/>
      <c r="Y1404" s="11"/>
      <c r="Z1404" s="11"/>
      <c r="AA1404" s="11"/>
    </row>
    <row r="1405" ht="15.75" customHeight="1">
      <c r="A1405" s="737">
        <f t="shared" si="379"/>
        <v>0</v>
      </c>
      <c r="B1405" s="737">
        <f>A1405/'Orbit Info'!$G$10</f>
        <v>0</v>
      </c>
      <c r="C1405" s="737" t="str">
        <f t="shared" si="380"/>
        <v>Housekeeping and events only</v>
      </c>
      <c r="D1405" s="737">
        <f t="shared" si="381"/>
        <v>1</v>
      </c>
      <c r="E1405" s="737" t="str">
        <f t="shared" si="382"/>
        <v>#VALUE!</v>
      </c>
      <c r="F1405" s="737">
        <v>1.0</v>
      </c>
      <c r="G1405" s="737" t="str">
        <f t="shared" si="383"/>
        <v>#VALUE!</v>
      </c>
      <c r="H1405" s="737" t="str">
        <f>MIN($Q$11/('Orbit Info'!G$10),$Q$8*60)</f>
        <v>#VALUE!</v>
      </c>
      <c r="I1405" s="737" t="str">
        <f>IF(D1405=1,$Q$12/'Data DownlinkStorage Budget'!$M$3,0)</f>
        <v>#VALUE!</v>
      </c>
      <c r="J1405" s="737" t="str">
        <f t="shared" si="384"/>
        <v>#VALUE!</v>
      </c>
      <c r="K1405" s="11"/>
      <c r="L1405" s="737" t="str">
        <f t="shared" si="385"/>
        <v>FOUND product plus housekeeping</v>
      </c>
      <c r="M1405" s="737" t="str">
        <f>MIN($Q$18,$Q$10*60)-IF(D1405=1,$Q$17/'Data DownlinkStorage Budget'!$M$3,0)</f>
        <v>#VALUE!</v>
      </c>
      <c r="N1405" s="182"/>
      <c r="O1405" s="737" t="str">
        <f t="shared" si="386"/>
        <v>#VALUE!</v>
      </c>
      <c r="P1405" s="11"/>
      <c r="Q1405" s="11"/>
      <c r="R1405" s="11"/>
      <c r="S1405" s="11"/>
      <c r="T1405" s="11"/>
      <c r="U1405" s="11"/>
      <c r="V1405" s="11"/>
      <c r="W1405" s="11"/>
      <c r="X1405" s="11"/>
      <c r="Y1405" s="11"/>
      <c r="Z1405" s="11"/>
      <c r="AA1405" s="11"/>
    </row>
    <row r="1406" ht="15.75" customHeight="1">
      <c r="A1406" s="737">
        <f t="shared" si="379"/>
        <v>0</v>
      </c>
      <c r="B1406" s="737">
        <f>A1406/'Orbit Info'!$G$10</f>
        <v>0</v>
      </c>
      <c r="C1406" s="737" t="str">
        <f t="shared" si="380"/>
        <v>Housekeeping and events only</v>
      </c>
      <c r="D1406" s="737">
        <f t="shared" si="381"/>
        <v>1</v>
      </c>
      <c r="E1406" s="737" t="str">
        <f t="shared" si="382"/>
        <v>#VALUE!</v>
      </c>
      <c r="F1406" s="737">
        <v>1.0</v>
      </c>
      <c r="G1406" s="737" t="str">
        <f t="shared" si="383"/>
        <v>#VALUE!</v>
      </c>
      <c r="H1406" s="737" t="str">
        <f>MIN($Q$11/('Orbit Info'!G$10),$Q$8*60)</f>
        <v>#VALUE!</v>
      </c>
      <c r="I1406" s="737" t="str">
        <f>IF(D1406=1,$Q$12/'Data DownlinkStorage Budget'!$M$3,0)</f>
        <v>#VALUE!</v>
      </c>
      <c r="J1406" s="737" t="str">
        <f t="shared" si="384"/>
        <v>#VALUE!</v>
      </c>
      <c r="K1406" s="11"/>
      <c r="L1406" s="737" t="str">
        <f t="shared" si="385"/>
        <v>FOUND product plus housekeeping</v>
      </c>
      <c r="M1406" s="737" t="str">
        <f>MIN($Q$18,$Q$10*60)-IF(D1406=1,$Q$17/'Data DownlinkStorage Budget'!$M$3,0)</f>
        <v>#VALUE!</v>
      </c>
      <c r="N1406" s="182"/>
      <c r="O1406" s="737" t="str">
        <f t="shared" si="386"/>
        <v>#VALUE!</v>
      </c>
      <c r="P1406" s="11"/>
      <c r="Q1406" s="11"/>
      <c r="R1406" s="11"/>
      <c r="S1406" s="11"/>
      <c r="T1406" s="11"/>
      <c r="U1406" s="11"/>
      <c r="V1406" s="11"/>
      <c r="W1406" s="11"/>
      <c r="X1406" s="11"/>
      <c r="Y1406" s="11"/>
      <c r="Z1406" s="11"/>
      <c r="AA1406" s="11"/>
    </row>
    <row r="1407" ht="15.75" customHeight="1">
      <c r="A1407" s="737">
        <f t="shared" si="379"/>
        <v>0</v>
      </c>
      <c r="B1407" s="737">
        <f>A1407/'Orbit Info'!$G$10</f>
        <v>0</v>
      </c>
      <c r="C1407" s="737" t="str">
        <f t="shared" si="380"/>
        <v>Housekeeping and events only</v>
      </c>
      <c r="D1407" s="737">
        <f t="shared" si="381"/>
        <v>1</v>
      </c>
      <c r="E1407" s="737" t="str">
        <f t="shared" si="382"/>
        <v>#VALUE!</v>
      </c>
      <c r="F1407" s="737">
        <v>1.0</v>
      </c>
      <c r="G1407" s="737" t="str">
        <f t="shared" si="383"/>
        <v>#VALUE!</v>
      </c>
      <c r="H1407" s="737" t="str">
        <f>MIN($Q$11/('Orbit Info'!G$10),$Q$8*60)</f>
        <v>#VALUE!</v>
      </c>
      <c r="I1407" s="737" t="str">
        <f>IF(D1407=1,$Q$12/'Data DownlinkStorage Budget'!$M$3,0)</f>
        <v>#VALUE!</v>
      </c>
      <c r="J1407" s="737" t="str">
        <f t="shared" si="384"/>
        <v>#VALUE!</v>
      </c>
      <c r="K1407" s="11"/>
      <c r="L1407" s="737" t="str">
        <f t="shared" si="385"/>
        <v>FOUND product plus housekeeping</v>
      </c>
      <c r="M1407" s="737" t="str">
        <f>MIN($Q$18,$Q$10*60)-IF(D1407=1,$Q$17/'Data DownlinkStorage Budget'!$M$3,0)</f>
        <v>#VALUE!</v>
      </c>
      <c r="N1407" s="182"/>
      <c r="O1407" s="737" t="str">
        <f t="shared" si="386"/>
        <v>#VALUE!</v>
      </c>
      <c r="P1407" s="11"/>
      <c r="Q1407" s="11"/>
      <c r="R1407" s="11"/>
      <c r="S1407" s="11"/>
      <c r="T1407" s="11"/>
      <c r="U1407" s="11"/>
      <c r="V1407" s="11"/>
      <c r="W1407" s="11"/>
      <c r="X1407" s="11"/>
      <c r="Y1407" s="11"/>
      <c r="Z1407" s="11"/>
      <c r="AA1407" s="11"/>
    </row>
    <row r="1408" ht="15.75" customHeight="1">
      <c r="A1408" s="737">
        <f t="shared" si="379"/>
        <v>0</v>
      </c>
      <c r="B1408" s="737">
        <f>A1408/'Orbit Info'!$G$10</f>
        <v>0</v>
      </c>
      <c r="C1408" s="737" t="str">
        <f t="shared" si="380"/>
        <v>Housekeeping and events only</v>
      </c>
      <c r="D1408" s="737">
        <f t="shared" si="381"/>
        <v>1</v>
      </c>
      <c r="E1408" s="737" t="str">
        <f t="shared" si="382"/>
        <v>#VALUE!</v>
      </c>
      <c r="F1408" s="737">
        <v>1.0</v>
      </c>
      <c r="G1408" s="737" t="str">
        <f t="shared" si="383"/>
        <v>#VALUE!</v>
      </c>
      <c r="H1408" s="737" t="str">
        <f>MIN($Q$11/('Orbit Info'!G$10),$Q$8*60)</f>
        <v>#VALUE!</v>
      </c>
      <c r="I1408" s="737" t="str">
        <f>IF(D1408=1,$Q$12/'Data DownlinkStorage Budget'!$M$3,0)</f>
        <v>#VALUE!</v>
      </c>
      <c r="J1408" s="737" t="str">
        <f t="shared" si="384"/>
        <v>#VALUE!</v>
      </c>
      <c r="K1408" s="11"/>
      <c r="L1408" s="737" t="str">
        <f t="shared" si="385"/>
        <v>FOUND product plus housekeeping</v>
      </c>
      <c r="M1408" s="737" t="str">
        <f>MIN($Q$18,$Q$10*60)-IF(D1408=1,$Q$17/'Data DownlinkStorage Budget'!$M$3,0)</f>
        <v>#VALUE!</v>
      </c>
      <c r="N1408" s="182"/>
      <c r="O1408" s="737" t="str">
        <f t="shared" si="386"/>
        <v>#VALUE!</v>
      </c>
      <c r="P1408" s="11"/>
      <c r="Q1408" s="11"/>
      <c r="R1408" s="11"/>
      <c r="S1408" s="11"/>
      <c r="T1408" s="11"/>
      <c r="U1408" s="11"/>
      <c r="V1408" s="11"/>
      <c r="W1408" s="11"/>
      <c r="X1408" s="11"/>
      <c r="Y1408" s="11"/>
      <c r="Z1408" s="11"/>
      <c r="AA1408" s="11"/>
    </row>
    <row r="1409" ht="15.75" customHeight="1">
      <c r="A1409" s="737">
        <f t="shared" si="379"/>
        <v>0</v>
      </c>
      <c r="B1409" s="737">
        <f>A1409/'Orbit Info'!$G$10</f>
        <v>0</v>
      </c>
      <c r="C1409" s="737" t="str">
        <f t="shared" si="380"/>
        <v>Housekeeping and events only</v>
      </c>
      <c r="D1409" s="737">
        <f t="shared" si="381"/>
        <v>1</v>
      </c>
      <c r="E1409" s="737" t="str">
        <f t="shared" si="382"/>
        <v>#VALUE!</v>
      </c>
      <c r="F1409" s="737">
        <v>1.0</v>
      </c>
      <c r="G1409" s="737" t="str">
        <f t="shared" si="383"/>
        <v>#VALUE!</v>
      </c>
      <c r="H1409" s="737" t="str">
        <f>MIN($Q$11/('Orbit Info'!G$10),$Q$8*60)</f>
        <v>#VALUE!</v>
      </c>
      <c r="I1409" s="737" t="str">
        <f>IF(D1409=1,$Q$12/'Data DownlinkStorage Budget'!$M$3,0)</f>
        <v>#VALUE!</v>
      </c>
      <c r="J1409" s="737" t="str">
        <f t="shared" si="384"/>
        <v>#VALUE!</v>
      </c>
      <c r="K1409" s="11"/>
      <c r="L1409" s="737" t="str">
        <f t="shared" si="385"/>
        <v>FOUND product plus housekeeping</v>
      </c>
      <c r="M1409" s="737" t="str">
        <f>MIN($Q$18,$Q$10*60)-IF(D1409=1,$Q$17/'Data DownlinkStorage Budget'!$M$3,0)</f>
        <v>#VALUE!</v>
      </c>
      <c r="N1409" s="182"/>
      <c r="O1409" s="737" t="str">
        <f t="shared" si="386"/>
        <v>#VALUE!</v>
      </c>
      <c r="P1409" s="11"/>
      <c r="Q1409" s="11"/>
      <c r="R1409" s="11"/>
      <c r="S1409" s="11"/>
      <c r="T1409" s="11"/>
      <c r="U1409" s="11"/>
      <c r="V1409" s="11"/>
      <c r="W1409" s="11"/>
      <c r="X1409" s="11"/>
      <c r="Y1409" s="11"/>
      <c r="Z1409" s="11"/>
      <c r="AA1409" s="11"/>
    </row>
    <row r="1410" ht="15.75" customHeight="1">
      <c r="A1410" s="737">
        <f t="shared" si="379"/>
        <v>0</v>
      </c>
      <c r="B1410" s="737">
        <f>A1410/'Orbit Info'!$G$10</f>
        <v>0</v>
      </c>
      <c r="C1410" s="737" t="str">
        <f t="shared" si="380"/>
        <v>Housekeeping and events only</v>
      </c>
      <c r="D1410" s="737">
        <f t="shared" si="381"/>
        <v>1</v>
      </c>
      <c r="E1410" s="737" t="str">
        <f t="shared" si="382"/>
        <v>#VALUE!</v>
      </c>
      <c r="F1410" s="737">
        <v>1.0</v>
      </c>
      <c r="G1410" s="737" t="str">
        <f t="shared" si="383"/>
        <v>#VALUE!</v>
      </c>
      <c r="H1410" s="737" t="str">
        <f>MIN($Q$11/('Orbit Info'!G$10),$Q$8*60)</f>
        <v>#VALUE!</v>
      </c>
      <c r="I1410" s="737" t="str">
        <f>IF(D1410=1,$Q$12/'Data DownlinkStorage Budget'!$M$3,0)</f>
        <v>#VALUE!</v>
      </c>
      <c r="J1410" s="737" t="str">
        <f t="shared" si="384"/>
        <v>#VALUE!</v>
      </c>
      <c r="K1410" s="11"/>
      <c r="L1410" s="737" t="str">
        <f t="shared" si="385"/>
        <v>FOUND product plus housekeeping</v>
      </c>
      <c r="M1410" s="737" t="str">
        <f>MIN($Q$18,$Q$10*60)-IF(D1410=1,$Q$17/'Data DownlinkStorage Budget'!$M$3,0)</f>
        <v>#VALUE!</v>
      </c>
      <c r="N1410" s="182"/>
      <c r="O1410" s="737" t="str">
        <f t="shared" si="386"/>
        <v>#VALUE!</v>
      </c>
      <c r="P1410" s="11"/>
      <c r="Q1410" s="11"/>
      <c r="R1410" s="11"/>
      <c r="S1410" s="11"/>
      <c r="T1410" s="11"/>
      <c r="U1410" s="11"/>
      <c r="V1410" s="11"/>
      <c r="W1410" s="11"/>
      <c r="X1410" s="11"/>
      <c r="Y1410" s="11"/>
      <c r="Z1410" s="11"/>
      <c r="AA1410" s="11"/>
    </row>
    <row r="1411" ht="15.75" customHeight="1">
      <c r="A1411" s="737">
        <f t="shared" si="379"/>
        <v>0</v>
      </c>
      <c r="B1411" s="737">
        <f>A1411/'Orbit Info'!$G$10</f>
        <v>0</v>
      </c>
      <c r="C1411" s="737" t="str">
        <f t="shared" si="380"/>
        <v>Housekeeping and events only</v>
      </c>
      <c r="D1411" s="737">
        <f t="shared" si="381"/>
        <v>1</v>
      </c>
      <c r="E1411" s="737" t="str">
        <f t="shared" si="382"/>
        <v>#VALUE!</v>
      </c>
      <c r="F1411" s="737">
        <v>1.0</v>
      </c>
      <c r="G1411" s="737" t="str">
        <f t="shared" si="383"/>
        <v>#VALUE!</v>
      </c>
      <c r="H1411" s="737" t="str">
        <f>MIN($Q$11/('Orbit Info'!G$10),$Q$8*60)</f>
        <v>#VALUE!</v>
      </c>
      <c r="I1411" s="737" t="str">
        <f>IF(D1411=1,$Q$12/'Data DownlinkStorage Budget'!$M$3,0)</f>
        <v>#VALUE!</v>
      </c>
      <c r="J1411" s="737" t="str">
        <f t="shared" si="384"/>
        <v>#VALUE!</v>
      </c>
      <c r="K1411" s="11"/>
      <c r="L1411" s="737" t="str">
        <f t="shared" si="385"/>
        <v>FOUND product plus housekeeping</v>
      </c>
      <c r="M1411" s="737" t="str">
        <f>MIN($Q$18,$Q$10*60)-IF(D1411=1,$Q$17/'Data DownlinkStorage Budget'!$M$3,0)</f>
        <v>#VALUE!</v>
      </c>
      <c r="N1411" s="182"/>
      <c r="O1411" s="737" t="str">
        <f t="shared" si="386"/>
        <v>#VALUE!</v>
      </c>
      <c r="P1411" s="11"/>
      <c r="Q1411" s="11"/>
      <c r="R1411" s="11"/>
      <c r="S1411" s="11"/>
      <c r="T1411" s="11"/>
      <c r="U1411" s="11"/>
      <c r="V1411" s="11"/>
      <c r="W1411" s="11"/>
      <c r="X1411" s="11"/>
      <c r="Y1411" s="11"/>
      <c r="Z1411" s="11"/>
      <c r="AA1411" s="11"/>
    </row>
    <row r="1412" ht="15.75" customHeight="1">
      <c r="A1412" s="737">
        <f t="shared" si="379"/>
        <v>0</v>
      </c>
      <c r="B1412" s="737">
        <f>A1412/'Orbit Info'!$G$10</f>
        <v>0</v>
      </c>
      <c r="C1412" s="737" t="str">
        <f t="shared" si="380"/>
        <v>Housekeeping and events only</v>
      </c>
      <c r="D1412" s="737">
        <f t="shared" si="381"/>
        <v>1</v>
      </c>
      <c r="E1412" s="737" t="str">
        <f t="shared" si="382"/>
        <v>#VALUE!</v>
      </c>
      <c r="F1412" s="737">
        <v>1.0</v>
      </c>
      <c r="G1412" s="737" t="str">
        <f t="shared" si="383"/>
        <v>#VALUE!</v>
      </c>
      <c r="H1412" s="737" t="str">
        <f>MIN($Q$11/('Orbit Info'!G$10),$Q$8*60)</f>
        <v>#VALUE!</v>
      </c>
      <c r="I1412" s="737" t="str">
        <f>IF(D1412=1,$Q$12/'Data DownlinkStorage Budget'!$M$3,0)</f>
        <v>#VALUE!</v>
      </c>
      <c r="J1412" s="737" t="str">
        <f t="shared" si="384"/>
        <v>#VALUE!</v>
      </c>
      <c r="K1412" s="11"/>
      <c r="L1412" s="737" t="str">
        <f t="shared" si="385"/>
        <v>FOUND product plus housekeeping</v>
      </c>
      <c r="M1412" s="737" t="str">
        <f>MIN($Q$18,$Q$10*60)-IF(D1412=1,$Q$17/'Data DownlinkStorage Budget'!$M$3,0)</f>
        <v>#VALUE!</v>
      </c>
      <c r="N1412" s="182"/>
      <c r="O1412" s="737" t="str">
        <f t="shared" si="386"/>
        <v>#VALUE!</v>
      </c>
      <c r="P1412" s="11"/>
      <c r="Q1412" s="11"/>
      <c r="R1412" s="11"/>
      <c r="S1412" s="11"/>
      <c r="T1412" s="11"/>
      <c r="U1412" s="11"/>
      <c r="V1412" s="11"/>
      <c r="W1412" s="11"/>
      <c r="X1412" s="11"/>
      <c r="Y1412" s="11"/>
      <c r="Z1412" s="11"/>
      <c r="AA1412" s="11"/>
    </row>
    <row r="1413" ht="15.75" customHeight="1">
      <c r="A1413" s="737">
        <f t="shared" si="379"/>
        <v>0</v>
      </c>
      <c r="B1413" s="737">
        <f>A1413/'Orbit Info'!$G$10</f>
        <v>0</v>
      </c>
      <c r="C1413" s="737" t="str">
        <f t="shared" si="380"/>
        <v>Housekeeping and events only</v>
      </c>
      <c r="D1413" s="737">
        <f t="shared" si="381"/>
        <v>1</v>
      </c>
      <c r="E1413" s="737" t="str">
        <f t="shared" si="382"/>
        <v>#VALUE!</v>
      </c>
      <c r="F1413" s="737">
        <v>1.0</v>
      </c>
      <c r="G1413" s="737" t="str">
        <f t="shared" si="383"/>
        <v>#VALUE!</v>
      </c>
      <c r="H1413" s="737" t="str">
        <f>MIN($Q$11/('Orbit Info'!G$10),$Q$8*60)</f>
        <v>#VALUE!</v>
      </c>
      <c r="I1413" s="737" t="str">
        <f>IF(D1413=1,$Q$12/'Data DownlinkStorage Budget'!$M$3,0)</f>
        <v>#VALUE!</v>
      </c>
      <c r="J1413" s="737" t="str">
        <f t="shared" si="384"/>
        <v>#VALUE!</v>
      </c>
      <c r="K1413" s="11"/>
      <c r="L1413" s="737" t="str">
        <f t="shared" si="385"/>
        <v>FOUND product plus housekeeping</v>
      </c>
      <c r="M1413" s="737" t="str">
        <f>MIN($Q$18,$Q$10*60)-IF(D1413=1,$Q$17/'Data DownlinkStorage Budget'!$M$3,0)</f>
        <v>#VALUE!</v>
      </c>
      <c r="N1413" s="182"/>
      <c r="O1413" s="737" t="str">
        <f t="shared" si="386"/>
        <v>#VALUE!</v>
      </c>
      <c r="P1413" s="11"/>
      <c r="Q1413" s="11"/>
      <c r="R1413" s="11"/>
      <c r="S1413" s="11"/>
      <c r="T1413" s="11"/>
      <c r="U1413" s="11"/>
      <c r="V1413" s="11"/>
      <c r="W1413" s="11"/>
      <c r="X1413" s="11"/>
      <c r="Y1413" s="11"/>
      <c r="Z1413" s="11"/>
      <c r="AA1413" s="11"/>
    </row>
    <row r="1414" ht="15.75" customHeight="1">
      <c r="A1414" s="737">
        <f t="shared" si="379"/>
        <v>0</v>
      </c>
      <c r="B1414" s="737">
        <f>A1414/'Orbit Info'!$G$10</f>
        <v>0</v>
      </c>
      <c r="C1414" s="737" t="str">
        <f t="shared" si="380"/>
        <v>Housekeeping and events only</v>
      </c>
      <c r="D1414" s="737">
        <f t="shared" si="381"/>
        <v>1</v>
      </c>
      <c r="E1414" s="737" t="str">
        <f t="shared" si="382"/>
        <v>#VALUE!</v>
      </c>
      <c r="F1414" s="737">
        <v>1.0</v>
      </c>
      <c r="G1414" s="737" t="str">
        <f t="shared" si="383"/>
        <v>#VALUE!</v>
      </c>
      <c r="H1414" s="737" t="str">
        <f>MIN($Q$11/('Orbit Info'!G$10),$Q$8*60)</f>
        <v>#VALUE!</v>
      </c>
      <c r="I1414" s="737" t="str">
        <f>IF(D1414=1,$Q$12/'Data DownlinkStorage Budget'!$M$3,0)</f>
        <v>#VALUE!</v>
      </c>
      <c r="J1414" s="737" t="str">
        <f t="shared" si="384"/>
        <v>#VALUE!</v>
      </c>
      <c r="K1414" s="11"/>
      <c r="L1414" s="737" t="str">
        <f t="shared" si="385"/>
        <v>FOUND product plus housekeeping</v>
      </c>
      <c r="M1414" s="737" t="str">
        <f>MIN($Q$18,$Q$10*60)-IF(D1414=1,$Q$17/'Data DownlinkStorage Budget'!$M$3,0)</f>
        <v>#VALUE!</v>
      </c>
      <c r="N1414" s="182"/>
      <c r="O1414" s="737" t="str">
        <f t="shared" si="386"/>
        <v>#VALUE!</v>
      </c>
      <c r="P1414" s="11"/>
      <c r="Q1414" s="11"/>
      <c r="R1414" s="11"/>
      <c r="S1414" s="11"/>
      <c r="T1414" s="11"/>
      <c r="U1414" s="11"/>
      <c r="V1414" s="11"/>
      <c r="W1414" s="11"/>
      <c r="X1414" s="11"/>
      <c r="Y1414" s="11"/>
      <c r="Z1414" s="11"/>
      <c r="AA1414" s="11"/>
    </row>
    <row r="1415" ht="15.75" customHeight="1">
      <c r="A1415" s="737">
        <f t="shared" si="379"/>
        <v>0</v>
      </c>
      <c r="B1415" s="737">
        <f>A1415/'Orbit Info'!$G$10</f>
        <v>0</v>
      </c>
      <c r="C1415" s="737" t="str">
        <f t="shared" si="380"/>
        <v>Housekeeping and events only</v>
      </c>
      <c r="D1415" s="737">
        <f t="shared" si="381"/>
        <v>1</v>
      </c>
      <c r="E1415" s="737" t="str">
        <f t="shared" si="382"/>
        <v>#VALUE!</v>
      </c>
      <c r="F1415" s="737">
        <v>1.0</v>
      </c>
      <c r="G1415" s="737" t="str">
        <f t="shared" si="383"/>
        <v>#VALUE!</v>
      </c>
      <c r="H1415" s="737" t="str">
        <f>MIN($Q$11/('Orbit Info'!G$10),$Q$8*60)</f>
        <v>#VALUE!</v>
      </c>
      <c r="I1415" s="737" t="str">
        <f>IF(D1415=1,$Q$12/'Data DownlinkStorage Budget'!$M$3,0)</f>
        <v>#VALUE!</v>
      </c>
      <c r="J1415" s="737" t="str">
        <f t="shared" si="384"/>
        <v>#VALUE!</v>
      </c>
      <c r="K1415" s="11"/>
      <c r="L1415" s="737" t="str">
        <f t="shared" si="385"/>
        <v>FOUND product plus housekeeping</v>
      </c>
      <c r="M1415" s="737" t="str">
        <f>MIN($Q$18,$Q$10*60)-IF(D1415=1,$Q$17/'Data DownlinkStorage Budget'!$M$3,0)</f>
        <v>#VALUE!</v>
      </c>
      <c r="N1415" s="182"/>
      <c r="O1415" s="737" t="str">
        <f t="shared" si="386"/>
        <v>#VALUE!</v>
      </c>
      <c r="P1415" s="11"/>
      <c r="Q1415" s="11"/>
      <c r="R1415" s="11"/>
      <c r="S1415" s="11"/>
      <c r="T1415" s="11"/>
      <c r="U1415" s="11"/>
      <c r="V1415" s="11"/>
      <c r="W1415" s="11"/>
      <c r="X1415" s="11"/>
      <c r="Y1415" s="11"/>
      <c r="Z1415" s="11"/>
      <c r="AA1415" s="11"/>
    </row>
    <row r="1416" ht="15.75" customHeight="1">
      <c r="A1416" s="737">
        <f t="shared" si="379"/>
        <v>0</v>
      </c>
      <c r="B1416" s="737">
        <f>A1416/'Orbit Info'!$G$10</f>
        <v>0</v>
      </c>
      <c r="C1416" s="737" t="str">
        <f t="shared" si="380"/>
        <v>Housekeeping and events only</v>
      </c>
      <c r="D1416" s="737">
        <f t="shared" si="381"/>
        <v>1</v>
      </c>
      <c r="E1416" s="737" t="str">
        <f t="shared" si="382"/>
        <v>#VALUE!</v>
      </c>
      <c r="F1416" s="737">
        <v>1.0</v>
      </c>
      <c r="G1416" s="737" t="str">
        <f t="shared" si="383"/>
        <v>#VALUE!</v>
      </c>
      <c r="H1416" s="737" t="str">
        <f>MIN($Q$11/('Orbit Info'!G$10),$Q$8*60)</f>
        <v>#VALUE!</v>
      </c>
      <c r="I1416" s="737" t="str">
        <f>IF(D1416=1,$Q$12/'Data DownlinkStorage Budget'!$M$3,0)</f>
        <v>#VALUE!</v>
      </c>
      <c r="J1416" s="737" t="str">
        <f t="shared" si="384"/>
        <v>#VALUE!</v>
      </c>
      <c r="K1416" s="11"/>
      <c r="L1416" s="737" t="str">
        <f t="shared" si="385"/>
        <v>FOUND product plus housekeeping</v>
      </c>
      <c r="M1416" s="737" t="str">
        <f>MIN($Q$18,$Q$10*60)-IF(D1416=1,$Q$17/'Data DownlinkStorage Budget'!$M$3,0)</f>
        <v>#VALUE!</v>
      </c>
      <c r="N1416" s="182"/>
      <c r="O1416" s="737" t="str">
        <f t="shared" si="386"/>
        <v>#VALUE!</v>
      </c>
      <c r="P1416" s="11"/>
      <c r="Q1416" s="11"/>
      <c r="R1416" s="11"/>
      <c r="S1416" s="11"/>
      <c r="T1416" s="11"/>
      <c r="U1416" s="11"/>
      <c r="V1416" s="11"/>
      <c r="W1416" s="11"/>
      <c r="X1416" s="11"/>
      <c r="Y1416" s="11"/>
      <c r="Z1416" s="11"/>
      <c r="AA1416" s="11"/>
    </row>
    <row r="1417" ht="15.75" customHeight="1">
      <c r="A1417" s="737">
        <f t="shared" si="379"/>
        <v>0</v>
      </c>
      <c r="B1417" s="737">
        <f>A1417/'Orbit Info'!$G$10</f>
        <v>0</v>
      </c>
      <c r="C1417" s="737" t="str">
        <f t="shared" si="380"/>
        <v>Housekeeping and events only</v>
      </c>
      <c r="D1417" s="737">
        <f t="shared" si="381"/>
        <v>1</v>
      </c>
      <c r="E1417" s="737" t="str">
        <f t="shared" si="382"/>
        <v>#VALUE!</v>
      </c>
      <c r="F1417" s="737">
        <v>1.0</v>
      </c>
      <c r="G1417" s="737" t="str">
        <f t="shared" si="383"/>
        <v>#VALUE!</v>
      </c>
      <c r="H1417" s="737" t="str">
        <f>MIN($Q$11/('Orbit Info'!G$10),$Q$8*60)</f>
        <v>#VALUE!</v>
      </c>
      <c r="I1417" s="737" t="str">
        <f>IF(D1417=1,$Q$12/'Data DownlinkStorage Budget'!$M$3,0)</f>
        <v>#VALUE!</v>
      </c>
      <c r="J1417" s="737" t="str">
        <f t="shared" si="384"/>
        <v>#VALUE!</v>
      </c>
      <c r="K1417" s="11"/>
      <c r="L1417" s="737" t="str">
        <f t="shared" si="385"/>
        <v>FOUND product plus housekeeping</v>
      </c>
      <c r="M1417" s="737" t="str">
        <f>MIN($Q$18,$Q$10*60)-IF(D1417=1,$Q$17/'Data DownlinkStorage Budget'!$M$3,0)</f>
        <v>#VALUE!</v>
      </c>
      <c r="N1417" s="182"/>
      <c r="O1417" s="737" t="str">
        <f t="shared" si="386"/>
        <v>#VALUE!</v>
      </c>
      <c r="P1417" s="11"/>
      <c r="Q1417" s="11"/>
      <c r="R1417" s="11"/>
      <c r="S1417" s="11"/>
      <c r="T1417" s="11"/>
      <c r="U1417" s="11"/>
      <c r="V1417" s="11"/>
      <c r="W1417" s="11"/>
      <c r="X1417" s="11"/>
      <c r="Y1417" s="11"/>
      <c r="Z1417" s="11"/>
      <c r="AA1417" s="11"/>
    </row>
    <row r="1418" ht="15.75" customHeight="1">
      <c r="A1418" s="737">
        <f t="shared" si="379"/>
        <v>0</v>
      </c>
      <c r="B1418" s="737">
        <f>A1418/'Orbit Info'!$G$10</f>
        <v>0</v>
      </c>
      <c r="C1418" s="737" t="str">
        <f t="shared" si="380"/>
        <v>Housekeeping and events only</v>
      </c>
      <c r="D1418" s="737">
        <f t="shared" si="381"/>
        <v>1</v>
      </c>
      <c r="E1418" s="737" t="str">
        <f t="shared" si="382"/>
        <v>#VALUE!</v>
      </c>
      <c r="F1418" s="737">
        <v>1.0</v>
      </c>
      <c r="G1418" s="737" t="str">
        <f t="shared" si="383"/>
        <v>#VALUE!</v>
      </c>
      <c r="H1418" s="737" t="str">
        <f>MIN($Q$11/('Orbit Info'!G$10),$Q$8*60)</f>
        <v>#VALUE!</v>
      </c>
      <c r="I1418" s="737" t="str">
        <f>IF(D1418=1,$Q$12/'Data DownlinkStorage Budget'!$M$3,0)</f>
        <v>#VALUE!</v>
      </c>
      <c r="J1418" s="737" t="str">
        <f t="shared" si="384"/>
        <v>#VALUE!</v>
      </c>
      <c r="K1418" s="11"/>
      <c r="L1418" s="737" t="str">
        <f t="shared" si="385"/>
        <v>FOUND product plus housekeeping</v>
      </c>
      <c r="M1418" s="737" t="str">
        <f>MIN($Q$18,$Q$10*60)-IF(D1418=1,$Q$17/'Data DownlinkStorage Budget'!$M$3,0)</f>
        <v>#VALUE!</v>
      </c>
      <c r="N1418" s="182"/>
      <c r="O1418" s="737" t="str">
        <f t="shared" si="386"/>
        <v>#VALUE!</v>
      </c>
      <c r="P1418" s="11"/>
      <c r="Q1418" s="11"/>
      <c r="R1418" s="11"/>
      <c r="S1418" s="11"/>
      <c r="T1418" s="11"/>
      <c r="U1418" s="11"/>
      <c r="V1418" s="11"/>
      <c r="W1418" s="11"/>
      <c r="X1418" s="11"/>
      <c r="Y1418" s="11"/>
      <c r="Z1418" s="11"/>
      <c r="AA1418" s="11"/>
    </row>
    <row r="1419" ht="15.75" customHeight="1">
      <c r="A1419" s="737">
        <f t="shared" si="379"/>
        <v>0</v>
      </c>
      <c r="B1419" s="737">
        <f>A1419/'Orbit Info'!$G$10</f>
        <v>0</v>
      </c>
      <c r="C1419" s="737" t="str">
        <f t="shared" si="380"/>
        <v>Housekeeping and events only</v>
      </c>
      <c r="D1419" s="737">
        <f t="shared" si="381"/>
        <v>1</v>
      </c>
      <c r="E1419" s="737" t="str">
        <f t="shared" si="382"/>
        <v>#VALUE!</v>
      </c>
      <c r="F1419" s="737">
        <v>1.0</v>
      </c>
      <c r="G1419" s="737" t="str">
        <f t="shared" si="383"/>
        <v>#VALUE!</v>
      </c>
      <c r="H1419" s="737" t="str">
        <f>MIN($Q$11/('Orbit Info'!G$10),$Q$8*60)</f>
        <v>#VALUE!</v>
      </c>
      <c r="I1419" s="737" t="str">
        <f>IF(D1419=1,$Q$12/'Data DownlinkStorage Budget'!$M$3,0)</f>
        <v>#VALUE!</v>
      </c>
      <c r="J1419" s="737" t="str">
        <f t="shared" si="384"/>
        <v>#VALUE!</v>
      </c>
      <c r="K1419" s="11"/>
      <c r="L1419" s="737" t="str">
        <f t="shared" si="385"/>
        <v>FOUND product plus housekeeping</v>
      </c>
      <c r="M1419" s="737" t="str">
        <f>MIN($Q$18,$Q$10*60)-IF(D1419=1,$Q$17/'Data DownlinkStorage Budget'!$M$3,0)</f>
        <v>#VALUE!</v>
      </c>
      <c r="N1419" s="182"/>
      <c r="O1419" s="737" t="str">
        <f t="shared" si="386"/>
        <v>#VALUE!</v>
      </c>
      <c r="P1419" s="11"/>
      <c r="Q1419" s="11"/>
      <c r="R1419" s="11"/>
      <c r="S1419" s="11"/>
      <c r="T1419" s="11"/>
      <c r="U1419" s="11"/>
      <c r="V1419" s="11"/>
      <c r="W1419" s="11"/>
      <c r="X1419" s="11"/>
      <c r="Y1419" s="11"/>
      <c r="Z1419" s="11"/>
      <c r="AA1419" s="11"/>
    </row>
    <row r="1420" ht="15.75" customHeight="1">
      <c r="A1420" s="737">
        <f t="shared" si="379"/>
        <v>0</v>
      </c>
      <c r="B1420" s="737">
        <f>A1420/'Orbit Info'!$G$10</f>
        <v>0</v>
      </c>
      <c r="C1420" s="737" t="str">
        <f t="shared" si="380"/>
        <v>Housekeeping and events only</v>
      </c>
      <c r="D1420" s="737">
        <f t="shared" si="381"/>
        <v>1</v>
      </c>
      <c r="E1420" s="737" t="str">
        <f t="shared" si="382"/>
        <v>#VALUE!</v>
      </c>
      <c r="F1420" s="737">
        <v>1.0</v>
      </c>
      <c r="G1420" s="737" t="str">
        <f t="shared" si="383"/>
        <v>#VALUE!</v>
      </c>
      <c r="H1420" s="737" t="str">
        <f>MIN($Q$11/('Orbit Info'!G$10),$Q$8*60)</f>
        <v>#VALUE!</v>
      </c>
      <c r="I1420" s="737" t="str">
        <f>IF(D1420=1,$Q$12/'Data DownlinkStorage Budget'!$M$3,0)</f>
        <v>#VALUE!</v>
      </c>
      <c r="J1420" s="737" t="str">
        <f t="shared" si="384"/>
        <v>#VALUE!</v>
      </c>
      <c r="K1420" s="11"/>
      <c r="L1420" s="737" t="str">
        <f t="shared" si="385"/>
        <v>FOUND product plus housekeeping</v>
      </c>
      <c r="M1420" s="737" t="str">
        <f>MIN($Q$18,$Q$10*60)-IF(D1420=1,$Q$17/'Data DownlinkStorage Budget'!$M$3,0)</f>
        <v>#VALUE!</v>
      </c>
      <c r="N1420" s="182"/>
      <c r="O1420" s="737" t="str">
        <f t="shared" si="386"/>
        <v>#VALUE!</v>
      </c>
      <c r="P1420" s="11"/>
      <c r="Q1420" s="11"/>
      <c r="R1420" s="11"/>
      <c r="S1420" s="11"/>
      <c r="T1420" s="11"/>
      <c r="U1420" s="11"/>
      <c r="V1420" s="11"/>
      <c r="W1420" s="11"/>
      <c r="X1420" s="11"/>
      <c r="Y1420" s="11"/>
      <c r="Z1420" s="11"/>
      <c r="AA1420" s="11"/>
    </row>
    <row r="1421" ht="15.75" customHeight="1">
      <c r="A1421" s="737">
        <f t="shared" si="379"/>
        <v>0</v>
      </c>
      <c r="B1421" s="737">
        <f>A1421/'Orbit Info'!$G$10</f>
        <v>0</v>
      </c>
      <c r="C1421" s="737" t="str">
        <f t="shared" si="380"/>
        <v>Housekeeping and events only</v>
      </c>
      <c r="D1421" s="737">
        <f t="shared" si="381"/>
        <v>1</v>
      </c>
      <c r="E1421" s="737" t="str">
        <f t="shared" si="382"/>
        <v>#VALUE!</v>
      </c>
      <c r="F1421" s="737">
        <v>1.0</v>
      </c>
      <c r="G1421" s="737" t="str">
        <f t="shared" si="383"/>
        <v>#VALUE!</v>
      </c>
      <c r="H1421" s="737" t="str">
        <f>MIN($Q$11/('Orbit Info'!G$10),$Q$8*60)</f>
        <v>#VALUE!</v>
      </c>
      <c r="I1421" s="737" t="str">
        <f>IF(D1421=1,$Q$12/'Data DownlinkStorage Budget'!$M$3,0)</f>
        <v>#VALUE!</v>
      </c>
      <c r="J1421" s="737" t="str">
        <f t="shared" si="384"/>
        <v>#VALUE!</v>
      </c>
      <c r="K1421" s="11"/>
      <c r="L1421" s="737" t="str">
        <f t="shared" si="385"/>
        <v>FOUND product plus housekeeping</v>
      </c>
      <c r="M1421" s="737" t="str">
        <f>MIN($Q$18,$Q$10*60)-IF(D1421=1,$Q$17/'Data DownlinkStorage Budget'!$M$3,0)</f>
        <v>#VALUE!</v>
      </c>
      <c r="N1421" s="182"/>
      <c r="O1421" s="737" t="str">
        <f t="shared" si="386"/>
        <v>#VALUE!</v>
      </c>
      <c r="P1421" s="11"/>
      <c r="Q1421" s="11"/>
      <c r="R1421" s="11"/>
      <c r="S1421" s="11"/>
      <c r="T1421" s="11"/>
      <c r="U1421" s="11"/>
      <c r="V1421" s="11"/>
      <c r="W1421" s="11"/>
      <c r="X1421" s="11"/>
      <c r="Y1421" s="11"/>
      <c r="Z1421" s="11"/>
      <c r="AA1421" s="11"/>
    </row>
    <row r="1422" ht="15.75" customHeight="1">
      <c r="A1422" s="737">
        <f t="shared" si="379"/>
        <v>0</v>
      </c>
      <c r="B1422" s="737">
        <f>A1422/'Orbit Info'!$G$10</f>
        <v>0</v>
      </c>
      <c r="C1422" s="737" t="str">
        <f t="shared" si="380"/>
        <v>Housekeeping and events only</v>
      </c>
      <c r="D1422" s="737">
        <f t="shared" si="381"/>
        <v>1</v>
      </c>
      <c r="E1422" s="737" t="str">
        <f t="shared" si="382"/>
        <v>#VALUE!</v>
      </c>
      <c r="F1422" s="737">
        <v>1.0</v>
      </c>
      <c r="G1422" s="737" t="str">
        <f t="shared" si="383"/>
        <v>#VALUE!</v>
      </c>
      <c r="H1422" s="737" t="str">
        <f>MIN($Q$11/('Orbit Info'!G$10),$Q$8*60)</f>
        <v>#VALUE!</v>
      </c>
      <c r="I1422" s="737" t="str">
        <f>IF(D1422=1,$Q$12/'Data DownlinkStorage Budget'!$M$3,0)</f>
        <v>#VALUE!</v>
      </c>
      <c r="J1422" s="737" t="str">
        <f t="shared" si="384"/>
        <v>#VALUE!</v>
      </c>
      <c r="K1422" s="11"/>
      <c r="L1422" s="737" t="str">
        <f t="shared" si="385"/>
        <v>FOUND product plus housekeeping</v>
      </c>
      <c r="M1422" s="737" t="str">
        <f>MIN($Q$18,$Q$10*60)-IF(D1422=1,$Q$17/'Data DownlinkStorage Budget'!$M$3,0)</f>
        <v>#VALUE!</v>
      </c>
      <c r="N1422" s="182"/>
      <c r="O1422" s="737" t="str">
        <f t="shared" si="386"/>
        <v>#VALUE!</v>
      </c>
      <c r="P1422" s="11"/>
      <c r="Q1422" s="11"/>
      <c r="R1422" s="11"/>
      <c r="S1422" s="11"/>
      <c r="T1422" s="11"/>
      <c r="U1422" s="11"/>
      <c r="V1422" s="11"/>
      <c r="W1422" s="11"/>
      <c r="X1422" s="11"/>
      <c r="Y1422" s="11"/>
      <c r="Z1422" s="11"/>
      <c r="AA1422" s="11"/>
    </row>
    <row r="1423" ht="15.75" customHeight="1">
      <c r="A1423" s="737">
        <f t="shared" si="379"/>
        <v>0</v>
      </c>
      <c r="B1423" s="737">
        <f>A1423/'Orbit Info'!$G$10</f>
        <v>0</v>
      </c>
      <c r="C1423" s="737" t="str">
        <f t="shared" si="380"/>
        <v>Housekeeping and events only</v>
      </c>
      <c r="D1423" s="737">
        <f t="shared" si="381"/>
        <v>1</v>
      </c>
      <c r="E1423" s="737" t="str">
        <f t="shared" si="382"/>
        <v>#VALUE!</v>
      </c>
      <c r="F1423" s="737">
        <v>1.0</v>
      </c>
      <c r="G1423" s="737" t="str">
        <f t="shared" si="383"/>
        <v>#VALUE!</v>
      </c>
      <c r="H1423" s="737" t="str">
        <f>MIN($Q$11/('Orbit Info'!G$10),$Q$8*60)</f>
        <v>#VALUE!</v>
      </c>
      <c r="I1423" s="737" t="str">
        <f>IF(D1423=1,$Q$12/'Data DownlinkStorage Budget'!$M$3,0)</f>
        <v>#VALUE!</v>
      </c>
      <c r="J1423" s="737" t="str">
        <f t="shared" si="384"/>
        <v>#VALUE!</v>
      </c>
      <c r="K1423" s="11"/>
      <c r="L1423" s="737" t="str">
        <f t="shared" si="385"/>
        <v>FOUND product plus housekeeping</v>
      </c>
      <c r="M1423" s="737" t="str">
        <f>MIN($Q$18,$Q$10*60)-IF(D1423=1,$Q$17/'Data DownlinkStorage Budget'!$M$3,0)</f>
        <v>#VALUE!</v>
      </c>
      <c r="N1423" s="182"/>
      <c r="O1423" s="737" t="str">
        <f t="shared" si="386"/>
        <v>#VALUE!</v>
      </c>
      <c r="P1423" s="11"/>
      <c r="Q1423" s="11"/>
      <c r="R1423" s="11"/>
      <c r="S1423" s="11"/>
      <c r="T1423" s="11"/>
      <c r="U1423" s="11"/>
      <c r="V1423" s="11"/>
      <c r="W1423" s="11"/>
      <c r="X1423" s="11"/>
      <c r="Y1423" s="11"/>
      <c r="Z1423" s="11"/>
      <c r="AA1423" s="11"/>
    </row>
    <row r="1424" ht="15.75" customHeight="1">
      <c r="A1424" s="737">
        <f t="shared" si="379"/>
        <v>0</v>
      </c>
      <c r="B1424" s="737">
        <f>A1424/'Orbit Info'!$G$10</f>
        <v>0</v>
      </c>
      <c r="C1424" s="737" t="str">
        <f t="shared" si="380"/>
        <v>Housekeeping and events only</v>
      </c>
      <c r="D1424" s="737">
        <f t="shared" si="381"/>
        <v>1</v>
      </c>
      <c r="E1424" s="737" t="str">
        <f t="shared" si="382"/>
        <v>#VALUE!</v>
      </c>
      <c r="F1424" s="737">
        <v>1.0</v>
      </c>
      <c r="G1424" s="737" t="str">
        <f t="shared" si="383"/>
        <v>#VALUE!</v>
      </c>
      <c r="H1424" s="737" t="str">
        <f>MIN($Q$11/('Orbit Info'!G$10),$Q$8*60)</f>
        <v>#VALUE!</v>
      </c>
      <c r="I1424" s="737" t="str">
        <f>IF(D1424=1,$Q$12/'Data DownlinkStorage Budget'!$M$3,0)</f>
        <v>#VALUE!</v>
      </c>
      <c r="J1424" s="737" t="str">
        <f t="shared" si="384"/>
        <v>#VALUE!</v>
      </c>
      <c r="K1424" s="11"/>
      <c r="L1424" s="737" t="str">
        <f t="shared" si="385"/>
        <v>FOUND product plus housekeeping</v>
      </c>
      <c r="M1424" s="737" t="str">
        <f>MIN($Q$18,$Q$10*60)-IF(D1424=1,$Q$17/'Data DownlinkStorage Budget'!$M$3,0)</f>
        <v>#VALUE!</v>
      </c>
      <c r="N1424" s="182"/>
      <c r="O1424" s="737" t="str">
        <f t="shared" si="386"/>
        <v>#VALUE!</v>
      </c>
      <c r="P1424" s="11"/>
      <c r="Q1424" s="11"/>
      <c r="R1424" s="11"/>
      <c r="S1424" s="11"/>
      <c r="T1424" s="11"/>
      <c r="U1424" s="11"/>
      <c r="V1424" s="11"/>
      <c r="W1424" s="11"/>
      <c r="X1424" s="11"/>
      <c r="Y1424" s="11"/>
      <c r="Z1424" s="11"/>
      <c r="AA1424" s="11"/>
    </row>
    <row r="1425" ht="15.75" customHeight="1">
      <c r="A1425" s="737">
        <f t="shared" si="379"/>
        <v>0</v>
      </c>
      <c r="B1425" s="737">
        <f>A1425/'Orbit Info'!$G$10</f>
        <v>0</v>
      </c>
      <c r="C1425" s="737" t="str">
        <f t="shared" si="380"/>
        <v>Housekeeping and events only</v>
      </c>
      <c r="D1425" s="737">
        <f t="shared" si="381"/>
        <v>1</v>
      </c>
      <c r="E1425" s="737" t="str">
        <f t="shared" si="382"/>
        <v>#VALUE!</v>
      </c>
      <c r="F1425" s="737">
        <v>1.0</v>
      </c>
      <c r="G1425" s="737" t="str">
        <f t="shared" si="383"/>
        <v>#VALUE!</v>
      </c>
      <c r="H1425" s="737" t="str">
        <f>MIN($Q$11/('Orbit Info'!G$10),$Q$8*60)</f>
        <v>#VALUE!</v>
      </c>
      <c r="I1425" s="737" t="str">
        <f>IF(D1425=1,$Q$12/'Data DownlinkStorage Budget'!$M$3,0)</f>
        <v>#VALUE!</v>
      </c>
      <c r="J1425" s="737" t="str">
        <f t="shared" si="384"/>
        <v>#VALUE!</v>
      </c>
      <c r="K1425" s="11"/>
      <c r="L1425" s="737" t="str">
        <f t="shared" si="385"/>
        <v>FOUND product plus housekeeping</v>
      </c>
      <c r="M1425" s="737" t="str">
        <f>MIN($Q$18,$Q$10*60)-IF(D1425=1,$Q$17/'Data DownlinkStorage Budget'!$M$3,0)</f>
        <v>#VALUE!</v>
      </c>
      <c r="N1425" s="182"/>
      <c r="O1425" s="737" t="str">
        <f t="shared" si="386"/>
        <v>#VALUE!</v>
      </c>
      <c r="P1425" s="11"/>
      <c r="Q1425" s="11"/>
      <c r="R1425" s="11"/>
      <c r="S1425" s="11"/>
      <c r="T1425" s="11"/>
      <c r="U1425" s="11"/>
      <c r="V1425" s="11"/>
      <c r="W1425" s="11"/>
      <c r="X1425" s="11"/>
      <c r="Y1425" s="11"/>
      <c r="Z1425" s="11"/>
      <c r="AA1425" s="11"/>
    </row>
    <row r="1426" ht="15.75" customHeight="1">
      <c r="A1426" s="737">
        <f t="shared" si="379"/>
        <v>0</v>
      </c>
      <c r="B1426" s="737">
        <f>A1426/'Orbit Info'!$G$10</f>
        <v>0</v>
      </c>
      <c r="C1426" s="737" t="str">
        <f t="shared" si="380"/>
        <v>Housekeeping and events only</v>
      </c>
      <c r="D1426" s="737">
        <f t="shared" si="381"/>
        <v>1</v>
      </c>
      <c r="E1426" s="737" t="str">
        <f t="shared" si="382"/>
        <v>#VALUE!</v>
      </c>
      <c r="F1426" s="737">
        <v>1.0</v>
      </c>
      <c r="G1426" s="737" t="str">
        <f t="shared" si="383"/>
        <v>#VALUE!</v>
      </c>
      <c r="H1426" s="737" t="str">
        <f>MIN($Q$11/('Orbit Info'!G$10),$Q$8*60)</f>
        <v>#VALUE!</v>
      </c>
      <c r="I1426" s="737" t="str">
        <f>IF(D1426=1,$Q$12/'Data DownlinkStorage Budget'!$M$3,0)</f>
        <v>#VALUE!</v>
      </c>
      <c r="J1426" s="737" t="str">
        <f t="shared" si="384"/>
        <v>#VALUE!</v>
      </c>
      <c r="K1426" s="11"/>
      <c r="L1426" s="737" t="str">
        <f t="shared" si="385"/>
        <v>FOUND product plus housekeeping</v>
      </c>
      <c r="M1426" s="737" t="str">
        <f>MIN($Q$18,$Q$10*60)-IF(D1426=1,$Q$17/'Data DownlinkStorage Budget'!$M$3,0)</f>
        <v>#VALUE!</v>
      </c>
      <c r="N1426" s="182"/>
      <c r="O1426" s="737" t="str">
        <f t="shared" si="386"/>
        <v>#VALUE!</v>
      </c>
      <c r="P1426" s="11"/>
      <c r="Q1426" s="11"/>
      <c r="R1426" s="11"/>
      <c r="S1426" s="11"/>
      <c r="T1426" s="11"/>
      <c r="U1426" s="11"/>
      <c r="V1426" s="11"/>
      <c r="W1426" s="11"/>
      <c r="X1426" s="11"/>
      <c r="Y1426" s="11"/>
      <c r="Z1426" s="11"/>
      <c r="AA1426" s="11"/>
    </row>
    <row r="1427" ht="15.75" customHeight="1">
      <c r="A1427" s="737">
        <f t="shared" si="379"/>
        <v>0</v>
      </c>
      <c r="B1427" s="737">
        <f>A1427/'Orbit Info'!$G$10</f>
        <v>0</v>
      </c>
      <c r="C1427" s="737" t="str">
        <f t="shared" si="380"/>
        <v>Housekeeping and events only</v>
      </c>
      <c r="D1427" s="737">
        <f t="shared" si="381"/>
        <v>1</v>
      </c>
      <c r="E1427" s="737" t="str">
        <f t="shared" si="382"/>
        <v>#VALUE!</v>
      </c>
      <c r="F1427" s="737">
        <v>1.0</v>
      </c>
      <c r="G1427" s="737" t="str">
        <f t="shared" si="383"/>
        <v>#VALUE!</v>
      </c>
      <c r="H1427" s="737" t="str">
        <f>MIN($Q$11/('Orbit Info'!G$10),$Q$8*60)</f>
        <v>#VALUE!</v>
      </c>
      <c r="I1427" s="737" t="str">
        <f>IF(D1427=1,$Q$12/'Data DownlinkStorage Budget'!$M$3,0)</f>
        <v>#VALUE!</v>
      </c>
      <c r="J1427" s="737" t="str">
        <f t="shared" si="384"/>
        <v>#VALUE!</v>
      </c>
      <c r="K1427" s="11"/>
      <c r="L1427" s="737" t="str">
        <f t="shared" si="385"/>
        <v>FOUND product plus housekeeping</v>
      </c>
      <c r="M1427" s="737" t="str">
        <f>MIN($Q$18,$Q$10*60)-IF(D1427=1,$Q$17/'Data DownlinkStorage Budget'!$M$3,0)</f>
        <v>#VALUE!</v>
      </c>
      <c r="N1427" s="182"/>
      <c r="O1427" s="737" t="str">
        <f t="shared" si="386"/>
        <v>#VALUE!</v>
      </c>
      <c r="P1427" s="11"/>
      <c r="Q1427" s="11"/>
      <c r="R1427" s="11"/>
      <c r="S1427" s="11"/>
      <c r="T1427" s="11"/>
      <c r="U1427" s="11"/>
      <c r="V1427" s="11"/>
      <c r="W1427" s="11"/>
      <c r="X1427" s="11"/>
      <c r="Y1427" s="11"/>
      <c r="Z1427" s="11"/>
      <c r="AA1427" s="11"/>
    </row>
    <row r="1428" ht="15.75" customHeight="1">
      <c r="A1428" s="737">
        <f t="shared" si="379"/>
        <v>0</v>
      </c>
      <c r="B1428" s="737">
        <f>A1428/'Orbit Info'!$G$10</f>
        <v>0</v>
      </c>
      <c r="C1428" s="737" t="str">
        <f t="shared" si="380"/>
        <v>Housekeeping and events only</v>
      </c>
      <c r="D1428" s="737">
        <f t="shared" si="381"/>
        <v>1</v>
      </c>
      <c r="E1428" s="737" t="str">
        <f t="shared" si="382"/>
        <v>#VALUE!</v>
      </c>
      <c r="F1428" s="737">
        <v>1.0</v>
      </c>
      <c r="G1428" s="737" t="str">
        <f t="shared" si="383"/>
        <v>#VALUE!</v>
      </c>
      <c r="H1428" s="737" t="str">
        <f>MIN($Q$11/('Orbit Info'!G$10),$Q$8*60)</f>
        <v>#VALUE!</v>
      </c>
      <c r="I1428" s="737" t="str">
        <f>IF(D1428=1,$Q$12/'Data DownlinkStorage Budget'!$M$3,0)</f>
        <v>#VALUE!</v>
      </c>
      <c r="J1428" s="737" t="str">
        <f t="shared" si="384"/>
        <v>#VALUE!</v>
      </c>
      <c r="K1428" s="11"/>
      <c r="L1428" s="737" t="str">
        <f t="shared" si="385"/>
        <v>FOUND product plus housekeeping</v>
      </c>
      <c r="M1428" s="737" t="str">
        <f>MIN($Q$18,$Q$10*60)-IF(D1428=1,$Q$17/'Data DownlinkStorage Budget'!$M$3,0)</f>
        <v>#VALUE!</v>
      </c>
      <c r="N1428" s="182"/>
      <c r="O1428" s="737" t="str">
        <f t="shared" si="386"/>
        <v>#VALUE!</v>
      </c>
      <c r="P1428" s="11"/>
      <c r="Q1428" s="11"/>
      <c r="R1428" s="11"/>
      <c r="S1428" s="11"/>
      <c r="T1428" s="11"/>
      <c r="U1428" s="11"/>
      <c r="V1428" s="11"/>
      <c r="W1428" s="11"/>
      <c r="X1428" s="11"/>
      <c r="Y1428" s="11"/>
      <c r="Z1428" s="11"/>
      <c r="AA1428" s="11"/>
    </row>
    <row r="1429" ht="15.75" customHeight="1">
      <c r="A1429" s="737">
        <f t="shared" si="379"/>
        <v>0</v>
      </c>
      <c r="B1429" s="737">
        <f>A1429/'Orbit Info'!$G$10</f>
        <v>0</v>
      </c>
      <c r="C1429" s="737" t="str">
        <f t="shared" si="380"/>
        <v>Housekeeping and events only</v>
      </c>
      <c r="D1429" s="737">
        <f t="shared" si="381"/>
        <v>1</v>
      </c>
      <c r="E1429" s="737" t="str">
        <f t="shared" si="382"/>
        <v>#VALUE!</v>
      </c>
      <c r="F1429" s="737">
        <v>1.0</v>
      </c>
      <c r="G1429" s="737" t="str">
        <f t="shared" si="383"/>
        <v>#VALUE!</v>
      </c>
      <c r="H1429" s="737" t="str">
        <f>MIN($Q$11/('Orbit Info'!G$10),$Q$8*60)</f>
        <v>#VALUE!</v>
      </c>
      <c r="I1429" s="737" t="str">
        <f>IF(D1429=1,$Q$12/'Data DownlinkStorage Budget'!$M$3,0)</f>
        <v>#VALUE!</v>
      </c>
      <c r="J1429" s="737" t="str">
        <f t="shared" si="384"/>
        <v>#VALUE!</v>
      </c>
      <c r="K1429" s="11"/>
      <c r="L1429" s="737" t="str">
        <f t="shared" si="385"/>
        <v>FOUND product plus housekeeping</v>
      </c>
      <c r="M1429" s="737" t="str">
        <f>MIN($Q$18,$Q$10*60)-IF(D1429=1,$Q$17/'Data DownlinkStorage Budget'!$M$3,0)</f>
        <v>#VALUE!</v>
      </c>
      <c r="N1429" s="182"/>
      <c r="O1429" s="737" t="str">
        <f t="shared" si="386"/>
        <v>#VALUE!</v>
      </c>
      <c r="P1429" s="11"/>
      <c r="Q1429" s="11"/>
      <c r="R1429" s="11"/>
      <c r="S1429" s="11"/>
      <c r="T1429" s="11"/>
      <c r="U1429" s="11"/>
      <c r="V1429" s="11"/>
      <c r="W1429" s="11"/>
      <c r="X1429" s="11"/>
      <c r="Y1429" s="11"/>
      <c r="Z1429" s="11"/>
      <c r="AA1429" s="11"/>
    </row>
    <row r="1430" ht="15.75" customHeight="1">
      <c r="A1430" s="737">
        <f t="shared" si="379"/>
        <v>0</v>
      </c>
      <c r="B1430" s="737">
        <f>A1430/'Orbit Info'!$G$10</f>
        <v>0</v>
      </c>
      <c r="C1430" s="737" t="str">
        <f t="shared" si="380"/>
        <v>Housekeeping and events only</v>
      </c>
      <c r="D1430" s="737">
        <f t="shared" si="381"/>
        <v>1</v>
      </c>
      <c r="E1430" s="737" t="str">
        <f t="shared" si="382"/>
        <v>#VALUE!</v>
      </c>
      <c r="F1430" s="737">
        <v>1.0</v>
      </c>
      <c r="G1430" s="737" t="str">
        <f t="shared" si="383"/>
        <v>#VALUE!</v>
      </c>
      <c r="H1430" s="737" t="str">
        <f>MIN($Q$11/('Orbit Info'!G$10),$Q$8*60)</f>
        <v>#VALUE!</v>
      </c>
      <c r="I1430" s="737" t="str">
        <f>IF(D1430=1,$Q$12/'Data DownlinkStorage Budget'!$M$3,0)</f>
        <v>#VALUE!</v>
      </c>
      <c r="J1430" s="737" t="str">
        <f t="shared" si="384"/>
        <v>#VALUE!</v>
      </c>
      <c r="K1430" s="11"/>
      <c r="L1430" s="737" t="str">
        <f t="shared" si="385"/>
        <v>FOUND product plus housekeeping</v>
      </c>
      <c r="M1430" s="737" t="str">
        <f>MIN($Q$18,$Q$10*60)-IF(D1430=1,$Q$17/'Data DownlinkStorage Budget'!$M$3,0)</f>
        <v>#VALUE!</v>
      </c>
      <c r="N1430" s="182"/>
      <c r="O1430" s="737" t="str">
        <f t="shared" si="386"/>
        <v>#VALUE!</v>
      </c>
      <c r="P1430" s="11"/>
      <c r="Q1430" s="11"/>
      <c r="R1430" s="11"/>
      <c r="S1430" s="11"/>
      <c r="T1430" s="11"/>
      <c r="U1430" s="11"/>
      <c r="V1430" s="11"/>
      <c r="W1430" s="11"/>
      <c r="X1430" s="11"/>
      <c r="Y1430" s="11"/>
      <c r="Z1430" s="11"/>
      <c r="AA1430" s="11"/>
    </row>
    <row r="1431" ht="15.75" customHeight="1">
      <c r="A1431" s="737">
        <f t="shared" si="379"/>
        <v>0</v>
      </c>
      <c r="B1431" s="737">
        <f>A1431/'Orbit Info'!$G$10</f>
        <v>0</v>
      </c>
      <c r="C1431" s="737" t="str">
        <f t="shared" si="380"/>
        <v>Housekeeping and events only</v>
      </c>
      <c r="D1431" s="737">
        <f t="shared" si="381"/>
        <v>1</v>
      </c>
      <c r="E1431" s="737" t="str">
        <f t="shared" si="382"/>
        <v>#VALUE!</v>
      </c>
      <c r="F1431" s="737">
        <v>1.0</v>
      </c>
      <c r="G1431" s="737" t="str">
        <f t="shared" si="383"/>
        <v>#VALUE!</v>
      </c>
      <c r="H1431" s="737" t="str">
        <f>MIN($Q$11/('Orbit Info'!G$10),$Q$8*60)</f>
        <v>#VALUE!</v>
      </c>
      <c r="I1431" s="737" t="str">
        <f>IF(D1431=1,$Q$12/'Data DownlinkStorage Budget'!$M$3,0)</f>
        <v>#VALUE!</v>
      </c>
      <c r="J1431" s="737" t="str">
        <f t="shared" si="384"/>
        <v>#VALUE!</v>
      </c>
      <c r="K1431" s="11"/>
      <c r="L1431" s="737" t="str">
        <f t="shared" si="385"/>
        <v>FOUND product plus housekeeping</v>
      </c>
      <c r="M1431" s="737" t="str">
        <f>MIN($Q$18,$Q$10*60)-IF(D1431=1,$Q$17/'Data DownlinkStorage Budget'!$M$3,0)</f>
        <v>#VALUE!</v>
      </c>
      <c r="N1431" s="182"/>
      <c r="O1431" s="737" t="str">
        <f t="shared" si="386"/>
        <v>#VALUE!</v>
      </c>
      <c r="P1431" s="11"/>
      <c r="Q1431" s="11"/>
      <c r="R1431" s="11"/>
      <c r="S1431" s="11"/>
      <c r="T1431" s="11"/>
      <c r="U1431" s="11"/>
      <c r="V1431" s="11"/>
      <c r="W1431" s="11"/>
      <c r="X1431" s="11"/>
      <c r="Y1431" s="11"/>
      <c r="Z1431" s="11"/>
      <c r="AA1431" s="11"/>
    </row>
    <row r="1432" ht="15.75" customHeight="1">
      <c r="A1432" s="737">
        <f t="shared" si="379"/>
        <v>0</v>
      </c>
      <c r="B1432" s="737">
        <f>A1432/'Orbit Info'!$G$10</f>
        <v>0</v>
      </c>
      <c r="C1432" s="737" t="str">
        <f t="shared" si="380"/>
        <v>Housekeeping and events only</v>
      </c>
      <c r="D1432" s="737">
        <f t="shared" si="381"/>
        <v>1</v>
      </c>
      <c r="E1432" s="737" t="str">
        <f t="shared" si="382"/>
        <v>#VALUE!</v>
      </c>
      <c r="F1432" s="737">
        <v>1.0</v>
      </c>
      <c r="G1432" s="737" t="str">
        <f t="shared" si="383"/>
        <v>#VALUE!</v>
      </c>
      <c r="H1432" s="737" t="str">
        <f>MIN($Q$11/('Orbit Info'!G$10),$Q$8*60)</f>
        <v>#VALUE!</v>
      </c>
      <c r="I1432" s="737" t="str">
        <f>IF(D1432=1,$Q$12/'Data DownlinkStorage Budget'!$M$3,0)</f>
        <v>#VALUE!</v>
      </c>
      <c r="J1432" s="737" t="str">
        <f t="shared" si="384"/>
        <v>#VALUE!</v>
      </c>
      <c r="K1432" s="11"/>
      <c r="L1432" s="737" t="str">
        <f t="shared" si="385"/>
        <v>FOUND product plus housekeeping</v>
      </c>
      <c r="M1432" s="737" t="str">
        <f>MIN($Q$18,$Q$10*60)-IF(D1432=1,$Q$17/'Data DownlinkStorage Budget'!$M$3,0)</f>
        <v>#VALUE!</v>
      </c>
      <c r="N1432" s="182"/>
      <c r="O1432" s="737" t="str">
        <f t="shared" si="386"/>
        <v>#VALUE!</v>
      </c>
      <c r="P1432" s="11"/>
      <c r="Q1432" s="11"/>
      <c r="R1432" s="11"/>
      <c r="S1432" s="11"/>
      <c r="T1432" s="11"/>
      <c r="U1432" s="11"/>
      <c r="V1432" s="11"/>
      <c r="W1432" s="11"/>
      <c r="X1432" s="11"/>
      <c r="Y1432" s="11"/>
      <c r="Z1432" s="11"/>
      <c r="AA1432" s="11"/>
    </row>
    <row r="1433" ht="15.75" customHeight="1">
      <c r="A1433" s="737">
        <f t="shared" si="379"/>
        <v>0</v>
      </c>
      <c r="B1433" s="737">
        <f>A1433/'Orbit Info'!$G$10</f>
        <v>0</v>
      </c>
      <c r="C1433" s="737" t="str">
        <f t="shared" si="380"/>
        <v>Housekeeping and events only</v>
      </c>
      <c r="D1433" s="737">
        <f t="shared" si="381"/>
        <v>1</v>
      </c>
      <c r="E1433" s="737" t="str">
        <f t="shared" si="382"/>
        <v>#VALUE!</v>
      </c>
      <c r="F1433" s="737">
        <v>1.0</v>
      </c>
      <c r="G1433" s="737" t="str">
        <f t="shared" si="383"/>
        <v>#VALUE!</v>
      </c>
      <c r="H1433" s="737" t="str">
        <f>MIN($Q$11/('Orbit Info'!G$10),$Q$8*60)</f>
        <v>#VALUE!</v>
      </c>
      <c r="I1433" s="737" t="str">
        <f>IF(D1433=1,$Q$12/'Data DownlinkStorage Budget'!$M$3,0)</f>
        <v>#VALUE!</v>
      </c>
      <c r="J1433" s="737" t="str">
        <f t="shared" si="384"/>
        <v>#VALUE!</v>
      </c>
      <c r="K1433" s="11"/>
      <c r="L1433" s="737" t="str">
        <f t="shared" si="385"/>
        <v>FOUND product plus housekeeping</v>
      </c>
      <c r="M1433" s="737" t="str">
        <f>MIN($Q$18,$Q$10*60)-IF(D1433=1,$Q$17/'Data DownlinkStorage Budget'!$M$3,0)</f>
        <v>#VALUE!</v>
      </c>
      <c r="N1433" s="182"/>
      <c r="O1433" s="737" t="str">
        <f t="shared" si="386"/>
        <v>#VALUE!</v>
      </c>
      <c r="P1433" s="11"/>
      <c r="Q1433" s="11"/>
      <c r="R1433" s="11"/>
      <c r="S1433" s="11"/>
      <c r="T1433" s="11"/>
      <c r="U1433" s="11"/>
      <c r="V1433" s="11"/>
      <c r="W1433" s="11"/>
      <c r="X1433" s="11"/>
      <c r="Y1433" s="11"/>
      <c r="Z1433" s="11"/>
      <c r="AA1433" s="11"/>
    </row>
    <row r="1434" ht="15.75" customHeight="1">
      <c r="A1434" s="737">
        <f t="shared" si="379"/>
        <v>0</v>
      </c>
      <c r="B1434" s="737">
        <f>A1434/'Orbit Info'!$G$10</f>
        <v>0</v>
      </c>
      <c r="C1434" s="737" t="str">
        <f t="shared" si="380"/>
        <v>Housekeeping and events only</v>
      </c>
      <c r="D1434" s="737">
        <f t="shared" si="381"/>
        <v>1</v>
      </c>
      <c r="E1434" s="737" t="str">
        <f t="shared" si="382"/>
        <v>#VALUE!</v>
      </c>
      <c r="F1434" s="737">
        <v>1.0</v>
      </c>
      <c r="G1434" s="737" t="str">
        <f t="shared" si="383"/>
        <v>#VALUE!</v>
      </c>
      <c r="H1434" s="737" t="str">
        <f>MIN($Q$11/('Orbit Info'!G$10),$Q$8*60)</f>
        <v>#VALUE!</v>
      </c>
      <c r="I1434" s="737" t="str">
        <f>IF(D1434=1,$Q$12/'Data DownlinkStorage Budget'!$M$3,0)</f>
        <v>#VALUE!</v>
      </c>
      <c r="J1434" s="737" t="str">
        <f t="shared" si="384"/>
        <v>#VALUE!</v>
      </c>
      <c r="K1434" s="11"/>
      <c r="L1434" s="737" t="str">
        <f t="shared" si="385"/>
        <v>FOUND product plus housekeeping</v>
      </c>
      <c r="M1434" s="737" t="str">
        <f>MIN($Q$18,$Q$10*60)-IF(D1434=1,$Q$17/'Data DownlinkStorage Budget'!$M$3,0)</f>
        <v>#VALUE!</v>
      </c>
      <c r="N1434" s="182"/>
      <c r="O1434" s="737" t="str">
        <f t="shared" si="386"/>
        <v>#VALUE!</v>
      </c>
      <c r="P1434" s="11"/>
      <c r="Q1434" s="11"/>
      <c r="R1434" s="11"/>
      <c r="S1434" s="11"/>
      <c r="T1434" s="11"/>
      <c r="U1434" s="11"/>
      <c r="V1434" s="11"/>
      <c r="W1434" s="11"/>
      <c r="X1434" s="11"/>
      <c r="Y1434" s="11"/>
      <c r="Z1434" s="11"/>
      <c r="AA1434" s="11"/>
    </row>
    <row r="1435" ht="15.75" customHeight="1">
      <c r="A1435" s="737">
        <f t="shared" si="379"/>
        <v>0</v>
      </c>
      <c r="B1435" s="737">
        <f>A1435/'Orbit Info'!$G$10</f>
        <v>0</v>
      </c>
      <c r="C1435" s="737" t="str">
        <f t="shared" si="380"/>
        <v>Housekeeping and events only</v>
      </c>
      <c r="D1435" s="737">
        <f t="shared" si="381"/>
        <v>1</v>
      </c>
      <c r="E1435" s="737" t="str">
        <f t="shared" si="382"/>
        <v>#VALUE!</v>
      </c>
      <c r="F1435" s="737">
        <v>1.0</v>
      </c>
      <c r="G1435" s="737" t="str">
        <f t="shared" si="383"/>
        <v>#VALUE!</v>
      </c>
      <c r="H1435" s="737" t="str">
        <f>MIN($Q$11/('Orbit Info'!G$10),$Q$8*60)</f>
        <v>#VALUE!</v>
      </c>
      <c r="I1435" s="737" t="str">
        <f>IF(D1435=1,$Q$12/'Data DownlinkStorage Budget'!$M$3,0)</f>
        <v>#VALUE!</v>
      </c>
      <c r="J1435" s="737" t="str">
        <f t="shared" si="384"/>
        <v>#VALUE!</v>
      </c>
      <c r="K1435" s="11"/>
      <c r="L1435" s="737" t="str">
        <f t="shared" si="385"/>
        <v>FOUND product plus housekeeping</v>
      </c>
      <c r="M1435" s="737" t="str">
        <f>MIN($Q$18,$Q$10*60)-IF(D1435=1,$Q$17/'Data DownlinkStorage Budget'!$M$3,0)</f>
        <v>#VALUE!</v>
      </c>
      <c r="N1435" s="182"/>
      <c r="O1435" s="737" t="str">
        <f t="shared" si="386"/>
        <v>#VALUE!</v>
      </c>
      <c r="P1435" s="11"/>
      <c r="Q1435" s="11"/>
      <c r="R1435" s="11"/>
      <c r="S1435" s="11"/>
      <c r="T1435" s="11"/>
      <c r="U1435" s="11"/>
      <c r="V1435" s="11"/>
      <c r="W1435" s="11"/>
      <c r="X1435" s="11"/>
      <c r="Y1435" s="11"/>
      <c r="Z1435" s="11"/>
      <c r="AA1435" s="11"/>
    </row>
    <row r="1436" ht="15.75" customHeight="1">
      <c r="A1436" s="737">
        <f t="shared" si="379"/>
        <v>0</v>
      </c>
      <c r="B1436" s="737">
        <f>A1436/'Orbit Info'!$G$10</f>
        <v>0</v>
      </c>
      <c r="C1436" s="737" t="str">
        <f t="shared" si="380"/>
        <v>Housekeeping and events only</v>
      </c>
      <c r="D1436" s="737">
        <f t="shared" si="381"/>
        <v>1</v>
      </c>
      <c r="E1436" s="737" t="str">
        <f t="shared" si="382"/>
        <v>#VALUE!</v>
      </c>
      <c r="F1436" s="737">
        <v>1.0</v>
      </c>
      <c r="G1436" s="737" t="str">
        <f t="shared" si="383"/>
        <v>#VALUE!</v>
      </c>
      <c r="H1436" s="737" t="str">
        <f>MIN($Q$11/('Orbit Info'!G$10),$Q$8*60)</f>
        <v>#VALUE!</v>
      </c>
      <c r="I1436" s="737" t="str">
        <f>IF(D1436=1,$Q$12/'Data DownlinkStorage Budget'!$M$3,0)</f>
        <v>#VALUE!</v>
      </c>
      <c r="J1436" s="737" t="str">
        <f t="shared" si="384"/>
        <v>#VALUE!</v>
      </c>
      <c r="K1436" s="11"/>
      <c r="L1436" s="737" t="str">
        <f t="shared" si="385"/>
        <v>FOUND product plus housekeeping</v>
      </c>
      <c r="M1436" s="737" t="str">
        <f>MIN($Q$18,$Q$10*60)-IF(D1436=1,$Q$17/'Data DownlinkStorage Budget'!$M$3,0)</f>
        <v>#VALUE!</v>
      </c>
      <c r="N1436" s="182"/>
      <c r="O1436" s="737" t="str">
        <f t="shared" si="386"/>
        <v>#VALUE!</v>
      </c>
      <c r="P1436" s="11"/>
      <c r="Q1436" s="11"/>
      <c r="R1436" s="11"/>
      <c r="S1436" s="11"/>
      <c r="T1436" s="11"/>
      <c r="U1436" s="11"/>
      <c r="V1436" s="11"/>
      <c r="W1436" s="11"/>
      <c r="X1436" s="11"/>
      <c r="Y1436" s="11"/>
      <c r="Z1436" s="11"/>
      <c r="AA1436" s="11"/>
    </row>
    <row r="1437" ht="15.75" customHeight="1">
      <c r="A1437" s="737">
        <f t="shared" si="379"/>
        <v>0</v>
      </c>
      <c r="B1437" s="737">
        <f>A1437/'Orbit Info'!$G$10</f>
        <v>0</v>
      </c>
      <c r="C1437" s="737" t="str">
        <f t="shared" si="380"/>
        <v>Housekeeping and events only</v>
      </c>
      <c r="D1437" s="737">
        <f t="shared" si="381"/>
        <v>1</v>
      </c>
      <c r="E1437" s="737" t="str">
        <f t="shared" si="382"/>
        <v>#VALUE!</v>
      </c>
      <c r="F1437" s="737">
        <v>1.0</v>
      </c>
      <c r="G1437" s="737" t="str">
        <f t="shared" si="383"/>
        <v>#VALUE!</v>
      </c>
      <c r="H1437" s="737" t="str">
        <f>MIN($Q$11/('Orbit Info'!G$10),$Q$8*60)</f>
        <v>#VALUE!</v>
      </c>
      <c r="I1437" s="737" t="str">
        <f>IF(D1437=1,$Q$12/'Data DownlinkStorage Budget'!$M$3,0)</f>
        <v>#VALUE!</v>
      </c>
      <c r="J1437" s="737" t="str">
        <f t="shared" si="384"/>
        <v>#VALUE!</v>
      </c>
      <c r="K1437" s="11"/>
      <c r="L1437" s="737" t="str">
        <f t="shared" si="385"/>
        <v>FOUND product plus housekeeping</v>
      </c>
      <c r="M1437" s="737" t="str">
        <f>MIN($Q$18,$Q$10*60)-IF(D1437=1,$Q$17/'Data DownlinkStorage Budget'!$M$3,0)</f>
        <v>#VALUE!</v>
      </c>
      <c r="N1437" s="182"/>
      <c r="O1437" s="737" t="str">
        <f t="shared" si="386"/>
        <v>#VALUE!</v>
      </c>
      <c r="P1437" s="11"/>
      <c r="Q1437" s="11"/>
      <c r="R1437" s="11"/>
      <c r="S1437" s="11"/>
      <c r="T1437" s="11"/>
      <c r="U1437" s="11"/>
      <c r="V1437" s="11"/>
      <c r="W1437" s="11"/>
      <c r="X1437" s="11"/>
      <c r="Y1437" s="11"/>
      <c r="Z1437" s="11"/>
      <c r="AA1437" s="11"/>
    </row>
    <row r="1438" ht="15.75" customHeight="1">
      <c r="A1438" s="737">
        <f t="shared" si="379"/>
        <v>0</v>
      </c>
      <c r="B1438" s="737">
        <f>A1438/'Orbit Info'!$G$10</f>
        <v>0</v>
      </c>
      <c r="C1438" s="737" t="str">
        <f t="shared" si="380"/>
        <v>Housekeeping and events only</v>
      </c>
      <c r="D1438" s="737">
        <f t="shared" si="381"/>
        <v>1</v>
      </c>
      <c r="E1438" s="737" t="str">
        <f t="shared" si="382"/>
        <v>#VALUE!</v>
      </c>
      <c r="F1438" s="737">
        <v>1.0</v>
      </c>
      <c r="G1438" s="737" t="str">
        <f t="shared" si="383"/>
        <v>#VALUE!</v>
      </c>
      <c r="H1438" s="737" t="str">
        <f>MIN($Q$11/('Orbit Info'!G$10),$Q$8*60)</f>
        <v>#VALUE!</v>
      </c>
      <c r="I1438" s="737" t="str">
        <f>IF(D1438=1,$Q$12/'Data DownlinkStorage Budget'!$M$3,0)</f>
        <v>#VALUE!</v>
      </c>
      <c r="J1438" s="737" t="str">
        <f t="shared" si="384"/>
        <v>#VALUE!</v>
      </c>
      <c r="K1438" s="11"/>
      <c r="L1438" s="737" t="str">
        <f t="shared" si="385"/>
        <v>FOUND product plus housekeeping</v>
      </c>
      <c r="M1438" s="737" t="str">
        <f>MIN($Q$18,$Q$10*60)-IF(D1438=1,$Q$17/'Data DownlinkStorage Budget'!$M$3,0)</f>
        <v>#VALUE!</v>
      </c>
      <c r="N1438" s="182"/>
      <c r="O1438" s="737" t="str">
        <f t="shared" si="386"/>
        <v>#VALUE!</v>
      </c>
      <c r="P1438" s="11"/>
      <c r="Q1438" s="11"/>
      <c r="R1438" s="11"/>
      <c r="S1438" s="11"/>
      <c r="T1438" s="11"/>
      <c r="U1438" s="11"/>
      <c r="V1438" s="11"/>
      <c r="W1438" s="11"/>
      <c r="X1438" s="11"/>
      <c r="Y1438" s="11"/>
      <c r="Z1438" s="11"/>
      <c r="AA1438" s="11"/>
    </row>
    <row r="1439" ht="15.75" customHeight="1">
      <c r="A1439" s="737">
        <f t="shared" si="379"/>
        <v>0</v>
      </c>
      <c r="B1439" s="737">
        <f>A1439/'Orbit Info'!$G$10</f>
        <v>0</v>
      </c>
      <c r="C1439" s="737" t="str">
        <f t="shared" si="380"/>
        <v>Housekeeping and events only</v>
      </c>
      <c r="D1439" s="737">
        <f t="shared" si="381"/>
        <v>1</v>
      </c>
      <c r="E1439" s="737" t="str">
        <f t="shared" si="382"/>
        <v>#VALUE!</v>
      </c>
      <c r="F1439" s="737">
        <v>1.0</v>
      </c>
      <c r="G1439" s="737" t="str">
        <f t="shared" si="383"/>
        <v>#VALUE!</v>
      </c>
      <c r="H1439" s="737" t="str">
        <f>MIN($Q$11/('Orbit Info'!G$10),$Q$8*60)</f>
        <v>#VALUE!</v>
      </c>
      <c r="I1439" s="737" t="str">
        <f>IF(D1439=1,$Q$12/'Data DownlinkStorage Budget'!$M$3,0)</f>
        <v>#VALUE!</v>
      </c>
      <c r="J1439" s="737" t="str">
        <f t="shared" si="384"/>
        <v>#VALUE!</v>
      </c>
      <c r="K1439" s="11"/>
      <c r="L1439" s="737" t="str">
        <f t="shared" si="385"/>
        <v>FOUND product plus housekeeping</v>
      </c>
      <c r="M1439" s="737" t="str">
        <f>MIN($Q$18,$Q$10*60)-IF(D1439=1,$Q$17/'Data DownlinkStorage Budget'!$M$3,0)</f>
        <v>#VALUE!</v>
      </c>
      <c r="N1439" s="182"/>
      <c r="O1439" s="737" t="str">
        <f t="shared" si="386"/>
        <v>#VALUE!</v>
      </c>
      <c r="P1439" s="11"/>
      <c r="Q1439" s="11"/>
      <c r="R1439" s="11"/>
      <c r="S1439" s="11"/>
      <c r="T1439" s="11"/>
      <c r="U1439" s="11"/>
      <c r="V1439" s="11"/>
      <c r="W1439" s="11"/>
      <c r="X1439" s="11"/>
      <c r="Y1439" s="11"/>
      <c r="Z1439" s="11"/>
      <c r="AA1439" s="11"/>
    </row>
    <row r="1440" ht="15.75" customHeight="1">
      <c r="A1440" s="737">
        <f t="shared" si="379"/>
        <v>0</v>
      </c>
      <c r="B1440" s="737">
        <f>A1440/'Orbit Info'!$G$10</f>
        <v>0</v>
      </c>
      <c r="C1440" s="737" t="str">
        <f t="shared" si="380"/>
        <v>Housekeeping and events only</v>
      </c>
      <c r="D1440" s="737">
        <f t="shared" si="381"/>
        <v>1</v>
      </c>
      <c r="E1440" s="737" t="str">
        <f t="shared" si="382"/>
        <v>#VALUE!</v>
      </c>
      <c r="F1440" s="737">
        <v>1.0</v>
      </c>
      <c r="G1440" s="737" t="str">
        <f t="shared" si="383"/>
        <v>#VALUE!</v>
      </c>
      <c r="H1440" s="737" t="str">
        <f>MIN($Q$11/('Orbit Info'!G$10),$Q$8*60)</f>
        <v>#VALUE!</v>
      </c>
      <c r="I1440" s="737" t="str">
        <f>IF(D1440=1,$Q$12/'Data DownlinkStorage Budget'!$M$3,0)</f>
        <v>#VALUE!</v>
      </c>
      <c r="J1440" s="737" t="str">
        <f t="shared" si="384"/>
        <v>#VALUE!</v>
      </c>
      <c r="K1440" s="11"/>
      <c r="L1440" s="737" t="str">
        <f t="shared" si="385"/>
        <v>FOUND product plus housekeeping</v>
      </c>
      <c r="M1440" s="737" t="str">
        <f>MIN($Q$18,$Q$10*60)-IF(D1440=1,$Q$17/'Data DownlinkStorage Budget'!$M$3,0)</f>
        <v>#VALUE!</v>
      </c>
      <c r="N1440" s="182"/>
      <c r="O1440" s="737" t="str">
        <f t="shared" si="386"/>
        <v>#VALUE!</v>
      </c>
      <c r="P1440" s="11"/>
      <c r="Q1440" s="11"/>
      <c r="R1440" s="11"/>
      <c r="S1440" s="11"/>
      <c r="T1440" s="11"/>
      <c r="U1440" s="11"/>
      <c r="V1440" s="11"/>
      <c r="W1440" s="11"/>
      <c r="X1440" s="11"/>
      <c r="Y1440" s="11"/>
      <c r="Z1440" s="11"/>
      <c r="AA1440" s="11"/>
    </row>
    <row r="1441" ht="15.75" customHeight="1">
      <c r="A1441" s="737">
        <f t="shared" si="379"/>
        <v>0</v>
      </c>
      <c r="B1441" s="737">
        <f>A1441/'Orbit Info'!$G$10</f>
        <v>0</v>
      </c>
      <c r="C1441" s="737" t="str">
        <f t="shared" si="380"/>
        <v>Housekeeping and events only</v>
      </c>
      <c r="D1441" s="737">
        <f t="shared" si="381"/>
        <v>1</v>
      </c>
      <c r="E1441" s="737" t="str">
        <f t="shared" si="382"/>
        <v>#VALUE!</v>
      </c>
      <c r="F1441" s="737">
        <v>1.0</v>
      </c>
      <c r="G1441" s="737" t="str">
        <f t="shared" si="383"/>
        <v>#VALUE!</v>
      </c>
      <c r="H1441" s="737" t="str">
        <f>MIN($Q$11/('Orbit Info'!G$10),$Q$8*60)</f>
        <v>#VALUE!</v>
      </c>
      <c r="I1441" s="737" t="str">
        <f>IF(D1441=1,$Q$12/'Data DownlinkStorage Budget'!$M$3,0)</f>
        <v>#VALUE!</v>
      </c>
      <c r="J1441" s="737" t="str">
        <f t="shared" si="384"/>
        <v>#VALUE!</v>
      </c>
      <c r="K1441" s="11"/>
      <c r="L1441" s="737" t="str">
        <f t="shared" si="385"/>
        <v>FOUND product plus housekeeping</v>
      </c>
      <c r="M1441" s="737" t="str">
        <f>MIN($Q$18,$Q$10*60)-IF(D1441=1,$Q$17/'Data DownlinkStorage Budget'!$M$3,0)</f>
        <v>#VALUE!</v>
      </c>
      <c r="N1441" s="182"/>
      <c r="O1441" s="737" t="str">
        <f t="shared" si="386"/>
        <v>#VALUE!</v>
      </c>
      <c r="P1441" s="11"/>
      <c r="Q1441" s="11"/>
      <c r="R1441" s="11"/>
      <c r="S1441" s="11"/>
      <c r="T1441" s="11"/>
      <c r="U1441" s="11"/>
      <c r="V1441" s="11"/>
      <c r="W1441" s="11"/>
      <c r="X1441" s="11"/>
      <c r="Y1441" s="11"/>
      <c r="Z1441" s="11"/>
      <c r="AA1441" s="11"/>
    </row>
    <row r="1442" ht="15.75" customHeight="1">
      <c r="A1442" s="737">
        <f t="shared" si="379"/>
        <v>0</v>
      </c>
      <c r="B1442" s="737">
        <f>A1442/'Orbit Info'!$G$10</f>
        <v>0</v>
      </c>
      <c r="C1442" s="737" t="str">
        <f t="shared" si="380"/>
        <v>Housekeeping and events only</v>
      </c>
      <c r="D1442" s="737">
        <f t="shared" si="381"/>
        <v>1</v>
      </c>
      <c r="E1442" s="737" t="str">
        <f t="shared" si="382"/>
        <v>#VALUE!</v>
      </c>
      <c r="F1442" s="737">
        <v>1.0</v>
      </c>
      <c r="G1442" s="737" t="str">
        <f t="shared" si="383"/>
        <v>#VALUE!</v>
      </c>
      <c r="H1442" s="737" t="str">
        <f>MIN($Q$11/('Orbit Info'!G$10),$Q$8*60)</f>
        <v>#VALUE!</v>
      </c>
      <c r="I1442" s="737" t="str">
        <f>IF(D1442=1,$Q$12/'Data DownlinkStorage Budget'!$M$3,0)</f>
        <v>#VALUE!</v>
      </c>
      <c r="J1442" s="737" t="str">
        <f t="shared" si="384"/>
        <v>#VALUE!</v>
      </c>
      <c r="K1442" s="11"/>
      <c r="L1442" s="737" t="str">
        <f t="shared" si="385"/>
        <v>FOUND product plus housekeeping</v>
      </c>
      <c r="M1442" s="737" t="str">
        <f>MIN($Q$18,$Q$10*60)-IF(D1442=1,$Q$17/'Data DownlinkStorage Budget'!$M$3,0)</f>
        <v>#VALUE!</v>
      </c>
      <c r="N1442" s="182"/>
      <c r="O1442" s="737" t="str">
        <f t="shared" si="386"/>
        <v>#VALUE!</v>
      </c>
      <c r="P1442" s="11"/>
      <c r="Q1442" s="11"/>
      <c r="R1442" s="11"/>
      <c r="S1442" s="11"/>
      <c r="T1442" s="11"/>
      <c r="U1442" s="11"/>
      <c r="V1442" s="11"/>
      <c r="W1442" s="11"/>
      <c r="X1442" s="11"/>
      <c r="Y1442" s="11"/>
      <c r="Z1442" s="11"/>
      <c r="AA1442" s="11"/>
    </row>
    <row r="1443" ht="15.75" customHeight="1">
      <c r="A1443" s="737">
        <f>A1000+$Q$15</f>
        <v>0</v>
      </c>
      <c r="B1443" s="737">
        <f>A1443/'Orbit Info'!$G$10</f>
        <v>0</v>
      </c>
      <c r="C1443" s="737" t="str">
        <f t="shared" si="380"/>
        <v>Housekeeping and events only</v>
      </c>
      <c r="D1443" s="737">
        <f t="shared" si="381"/>
        <v>1</v>
      </c>
      <c r="E1443" s="737" t="str">
        <f t="shared" si="382"/>
        <v>#VALUE!</v>
      </c>
      <c r="F1443" s="737">
        <v>1.0</v>
      </c>
      <c r="G1443" s="737" t="str">
        <f t="shared" si="383"/>
        <v>#VALUE!</v>
      </c>
      <c r="H1443" s="737" t="str">
        <f>MIN($Q$11/('Orbit Info'!G$10),$Q$8*60)</f>
        <v>#VALUE!</v>
      </c>
      <c r="I1443" s="737" t="str">
        <f>IF(D1443=1,$Q$12/'Data DownlinkStorage Budget'!$M$3,0)</f>
        <v>#VALUE!</v>
      </c>
      <c r="J1443" s="737" t="str">
        <f>MIN($C1443,MAX(0,J1000+H1443-I1443))</f>
        <v>#VALUE!</v>
      </c>
      <c r="K1443" s="11"/>
      <c r="L1443" s="737" t="str">
        <f t="shared" si="385"/>
        <v>FOUND product plus housekeeping</v>
      </c>
      <c r="M1443" s="737" t="str">
        <f>MIN($Q$18,$Q$10*60)-IF(D1443=1,$Q$17/'Data DownlinkStorage Budget'!$M$3,0)</f>
        <v>#VALUE!</v>
      </c>
      <c r="N1443" s="182"/>
      <c r="O1443" s="737" t="str">
        <f>MIN($L1443,MAX(0,O1000+M1443))</f>
        <v>#VALUE!</v>
      </c>
      <c r="P1443" s="11"/>
      <c r="Q1443" s="11"/>
      <c r="R1443" s="11"/>
      <c r="S1443" s="11"/>
      <c r="T1443" s="11"/>
      <c r="U1443" s="11"/>
      <c r="V1443" s="11"/>
      <c r="W1443" s="11"/>
      <c r="X1443" s="11"/>
      <c r="Y1443" s="11"/>
      <c r="Z1443" s="11"/>
      <c r="AA1443" s="11"/>
    </row>
    <row r="1444" ht="15.75" customHeight="1">
      <c r="A1444" s="737">
        <f t="shared" ref="A1444:A1884" si="387">A1443+$Q$15</f>
        <v>0</v>
      </c>
      <c r="B1444" s="737">
        <f>A1444/'Orbit Info'!$G$10</f>
        <v>0</v>
      </c>
      <c r="C1444" s="737" t="str">
        <f t="shared" si="380"/>
        <v>Housekeeping and events only</v>
      </c>
      <c r="D1444" s="737">
        <f t="shared" si="381"/>
        <v>1</v>
      </c>
      <c r="E1444" s="737" t="str">
        <f t="shared" si="382"/>
        <v>#VALUE!</v>
      </c>
      <c r="F1444" s="737">
        <v>1.0</v>
      </c>
      <c r="G1444" s="737" t="str">
        <f t="shared" si="383"/>
        <v>#VALUE!</v>
      </c>
      <c r="H1444" s="737" t="str">
        <f>MIN($Q$11/('Orbit Info'!G$10),$Q$8*60)</f>
        <v>#VALUE!</v>
      </c>
      <c r="I1444" s="737" t="str">
        <f>IF(D1444=1,$Q$12/'Data DownlinkStorage Budget'!$M$3,0)</f>
        <v>#VALUE!</v>
      </c>
      <c r="J1444" s="737" t="str">
        <f t="shared" ref="J1444:J1884" si="388">MIN($C1444,MAX(0,J1443+H1444-I1444))</f>
        <v>#VALUE!</v>
      </c>
      <c r="K1444" s="11"/>
      <c r="L1444" s="737" t="str">
        <f t="shared" si="385"/>
        <v>FOUND product plus housekeeping</v>
      </c>
      <c r="M1444" s="737" t="str">
        <f>MIN($Q$18,$Q$10*60)-IF(D1444=1,$Q$17/'Data DownlinkStorage Budget'!$M$3,0)</f>
        <v>#VALUE!</v>
      </c>
      <c r="N1444" s="182"/>
      <c r="O1444" s="737" t="str">
        <f t="shared" ref="O1444:O1884" si="389">MIN($L1444,MAX(0,O1443+M1444))</f>
        <v>#VALUE!</v>
      </c>
      <c r="P1444" s="11"/>
      <c r="Q1444" s="11"/>
      <c r="R1444" s="11"/>
      <c r="S1444" s="11"/>
      <c r="T1444" s="11"/>
      <c r="U1444" s="11"/>
      <c r="V1444" s="11"/>
      <c r="W1444" s="11"/>
      <c r="X1444" s="11"/>
      <c r="Y1444" s="11"/>
      <c r="Z1444" s="11"/>
      <c r="AA1444" s="11"/>
    </row>
    <row r="1445" ht="15.75" customHeight="1">
      <c r="A1445" s="737">
        <f t="shared" si="387"/>
        <v>0</v>
      </c>
      <c r="B1445" s="737">
        <f>A1445/'Orbit Info'!$G$10</f>
        <v>0</v>
      </c>
      <c r="C1445" s="737" t="str">
        <f t="shared" si="380"/>
        <v>Housekeeping and events only</v>
      </c>
      <c r="D1445" s="737">
        <f t="shared" si="381"/>
        <v>1</v>
      </c>
      <c r="E1445" s="737" t="str">
        <f t="shared" si="382"/>
        <v>#VALUE!</v>
      </c>
      <c r="F1445" s="737">
        <v>1.0</v>
      </c>
      <c r="G1445" s="737" t="str">
        <f t="shared" si="383"/>
        <v>#VALUE!</v>
      </c>
      <c r="H1445" s="737" t="str">
        <f>MIN($Q$11/('Orbit Info'!G$10),$Q$8*60)</f>
        <v>#VALUE!</v>
      </c>
      <c r="I1445" s="737" t="str">
        <f>IF(D1445=1,$Q$12/'Data DownlinkStorage Budget'!$M$3,0)</f>
        <v>#VALUE!</v>
      </c>
      <c r="J1445" s="737" t="str">
        <f t="shared" si="388"/>
        <v>#VALUE!</v>
      </c>
      <c r="K1445" s="11"/>
      <c r="L1445" s="737" t="str">
        <f t="shared" si="385"/>
        <v>FOUND product plus housekeeping</v>
      </c>
      <c r="M1445" s="737" t="str">
        <f>MIN($Q$18,$Q$10*60)-IF(D1445=1,$Q$17/'Data DownlinkStorage Budget'!$M$3,0)</f>
        <v>#VALUE!</v>
      </c>
      <c r="N1445" s="182"/>
      <c r="O1445" s="737" t="str">
        <f t="shared" si="389"/>
        <v>#VALUE!</v>
      </c>
      <c r="P1445" s="11"/>
      <c r="Q1445" s="11"/>
      <c r="R1445" s="11"/>
      <c r="S1445" s="11"/>
      <c r="T1445" s="11"/>
      <c r="U1445" s="11"/>
      <c r="V1445" s="11"/>
      <c r="W1445" s="11"/>
      <c r="X1445" s="11"/>
      <c r="Y1445" s="11"/>
      <c r="Z1445" s="11"/>
      <c r="AA1445" s="11"/>
    </row>
    <row r="1446" ht="15.75" customHeight="1">
      <c r="A1446" s="737">
        <f t="shared" si="387"/>
        <v>0</v>
      </c>
      <c r="B1446" s="737">
        <f>A1446/'Orbit Info'!$G$10</f>
        <v>0</v>
      </c>
      <c r="C1446" s="737" t="str">
        <f t="shared" si="380"/>
        <v>Housekeeping and events only</v>
      </c>
      <c r="D1446" s="737">
        <f t="shared" si="381"/>
        <v>1</v>
      </c>
      <c r="E1446" s="737" t="str">
        <f t="shared" si="382"/>
        <v>#VALUE!</v>
      </c>
      <c r="F1446" s="737">
        <v>1.0</v>
      </c>
      <c r="G1446" s="737" t="str">
        <f t="shared" si="383"/>
        <v>#VALUE!</v>
      </c>
      <c r="H1446" s="737" t="str">
        <f>MIN($Q$11/('Orbit Info'!G$10),$Q$8*60)</f>
        <v>#VALUE!</v>
      </c>
      <c r="I1446" s="737" t="str">
        <f>IF(D1446=1,$Q$12/'Data DownlinkStorage Budget'!$M$3,0)</f>
        <v>#VALUE!</v>
      </c>
      <c r="J1446" s="737" t="str">
        <f t="shared" si="388"/>
        <v>#VALUE!</v>
      </c>
      <c r="K1446" s="11"/>
      <c r="L1446" s="737" t="str">
        <f t="shared" si="385"/>
        <v>FOUND product plus housekeeping</v>
      </c>
      <c r="M1446" s="737" t="str">
        <f>MIN($Q$18,$Q$10*60)-IF(D1446=1,$Q$17/'Data DownlinkStorage Budget'!$M$3,0)</f>
        <v>#VALUE!</v>
      </c>
      <c r="N1446" s="182"/>
      <c r="O1446" s="737" t="str">
        <f t="shared" si="389"/>
        <v>#VALUE!</v>
      </c>
      <c r="P1446" s="11"/>
      <c r="Q1446" s="11"/>
      <c r="R1446" s="11"/>
      <c r="S1446" s="11"/>
      <c r="T1446" s="11"/>
      <c r="U1446" s="11"/>
      <c r="V1446" s="11"/>
      <c r="W1446" s="11"/>
      <c r="X1446" s="11"/>
      <c r="Y1446" s="11"/>
      <c r="Z1446" s="11"/>
      <c r="AA1446" s="11"/>
    </row>
    <row r="1447" ht="15.75" customHeight="1">
      <c r="A1447" s="737">
        <f t="shared" si="387"/>
        <v>0</v>
      </c>
      <c r="B1447" s="737">
        <f>A1447/'Orbit Info'!$G$10</f>
        <v>0</v>
      </c>
      <c r="C1447" s="737" t="str">
        <f t="shared" si="380"/>
        <v>Housekeeping and events only</v>
      </c>
      <c r="D1447" s="737">
        <f t="shared" si="381"/>
        <v>1</v>
      </c>
      <c r="E1447" s="737" t="str">
        <f t="shared" si="382"/>
        <v>#VALUE!</v>
      </c>
      <c r="F1447" s="737">
        <v>1.0</v>
      </c>
      <c r="G1447" s="737" t="str">
        <f t="shared" si="383"/>
        <v>#VALUE!</v>
      </c>
      <c r="H1447" s="737" t="str">
        <f>MIN($Q$11/('Orbit Info'!G$10),$Q$8*60)</f>
        <v>#VALUE!</v>
      </c>
      <c r="I1447" s="737" t="str">
        <f>IF(D1447=1,$Q$12/'Data DownlinkStorage Budget'!$M$3,0)</f>
        <v>#VALUE!</v>
      </c>
      <c r="J1447" s="737" t="str">
        <f t="shared" si="388"/>
        <v>#VALUE!</v>
      </c>
      <c r="K1447" s="11"/>
      <c r="L1447" s="737" t="str">
        <f t="shared" si="385"/>
        <v>FOUND product plus housekeeping</v>
      </c>
      <c r="M1447" s="737" t="str">
        <f>MIN($Q$18,$Q$10*60)-IF(D1447=1,$Q$17/'Data DownlinkStorage Budget'!$M$3,0)</f>
        <v>#VALUE!</v>
      </c>
      <c r="N1447" s="182"/>
      <c r="O1447" s="737" t="str">
        <f t="shared" si="389"/>
        <v>#VALUE!</v>
      </c>
      <c r="P1447" s="11"/>
      <c r="Q1447" s="11"/>
      <c r="R1447" s="11"/>
      <c r="S1447" s="11"/>
      <c r="T1447" s="11"/>
      <c r="U1447" s="11"/>
      <c r="V1447" s="11"/>
      <c r="W1447" s="11"/>
      <c r="X1447" s="11"/>
      <c r="Y1447" s="11"/>
      <c r="Z1447" s="11"/>
      <c r="AA1447" s="11"/>
    </row>
    <row r="1448" ht="15.75" customHeight="1">
      <c r="A1448" s="737">
        <f t="shared" si="387"/>
        <v>0</v>
      </c>
      <c r="B1448" s="737">
        <f>A1448/'Orbit Info'!$G$10</f>
        <v>0</v>
      </c>
      <c r="C1448" s="737" t="str">
        <f t="shared" si="380"/>
        <v>Housekeeping and events only</v>
      </c>
      <c r="D1448" s="737">
        <f t="shared" si="381"/>
        <v>1</v>
      </c>
      <c r="E1448" s="737" t="str">
        <f t="shared" si="382"/>
        <v>#VALUE!</v>
      </c>
      <c r="F1448" s="737">
        <v>1.0</v>
      </c>
      <c r="G1448" s="737" t="str">
        <f t="shared" si="383"/>
        <v>#VALUE!</v>
      </c>
      <c r="H1448" s="737" t="str">
        <f>MIN($Q$11/('Orbit Info'!G$10),$Q$8*60)</f>
        <v>#VALUE!</v>
      </c>
      <c r="I1448" s="737" t="str">
        <f>IF(D1448=1,$Q$12/'Data DownlinkStorage Budget'!$M$3,0)</f>
        <v>#VALUE!</v>
      </c>
      <c r="J1448" s="737" t="str">
        <f t="shared" si="388"/>
        <v>#VALUE!</v>
      </c>
      <c r="K1448" s="11"/>
      <c r="L1448" s="737" t="str">
        <f t="shared" si="385"/>
        <v>FOUND product plus housekeeping</v>
      </c>
      <c r="M1448" s="737" t="str">
        <f>MIN($Q$18,$Q$10*60)-IF(D1448=1,$Q$17/'Data DownlinkStorage Budget'!$M$3,0)</f>
        <v>#VALUE!</v>
      </c>
      <c r="N1448" s="182"/>
      <c r="O1448" s="737" t="str">
        <f t="shared" si="389"/>
        <v>#VALUE!</v>
      </c>
      <c r="P1448" s="11"/>
      <c r="Q1448" s="11"/>
      <c r="R1448" s="11"/>
      <c r="S1448" s="11"/>
      <c r="T1448" s="11"/>
      <c r="U1448" s="11"/>
      <c r="V1448" s="11"/>
      <c r="W1448" s="11"/>
      <c r="X1448" s="11"/>
      <c r="Y1448" s="11"/>
      <c r="Z1448" s="11"/>
      <c r="AA1448" s="11"/>
    </row>
    <row r="1449" ht="15.75" customHeight="1">
      <c r="A1449" s="737">
        <f t="shared" si="387"/>
        <v>0</v>
      </c>
      <c r="B1449" s="737">
        <f>A1449/'Orbit Info'!$G$10</f>
        <v>0</v>
      </c>
      <c r="C1449" s="737" t="str">
        <f t="shared" si="380"/>
        <v>Housekeeping and events only</v>
      </c>
      <c r="D1449" s="737">
        <f t="shared" si="381"/>
        <v>1</v>
      </c>
      <c r="E1449" s="737" t="str">
        <f t="shared" si="382"/>
        <v>#VALUE!</v>
      </c>
      <c r="F1449" s="737">
        <v>1.0</v>
      </c>
      <c r="G1449" s="737" t="str">
        <f t="shared" si="383"/>
        <v>#VALUE!</v>
      </c>
      <c r="H1449" s="737" t="str">
        <f>MIN($Q$11/('Orbit Info'!G$10),$Q$8*60)</f>
        <v>#VALUE!</v>
      </c>
      <c r="I1449" s="737" t="str">
        <f>IF(D1449=1,$Q$12/'Data DownlinkStorage Budget'!$M$3,0)</f>
        <v>#VALUE!</v>
      </c>
      <c r="J1449" s="737" t="str">
        <f t="shared" si="388"/>
        <v>#VALUE!</v>
      </c>
      <c r="K1449" s="11"/>
      <c r="L1449" s="737" t="str">
        <f t="shared" si="385"/>
        <v>FOUND product plus housekeeping</v>
      </c>
      <c r="M1449" s="737" t="str">
        <f>MIN($Q$18,$Q$10*60)-IF(D1449=1,$Q$17/'Data DownlinkStorage Budget'!$M$3,0)</f>
        <v>#VALUE!</v>
      </c>
      <c r="N1449" s="182"/>
      <c r="O1449" s="737" t="str">
        <f t="shared" si="389"/>
        <v>#VALUE!</v>
      </c>
      <c r="P1449" s="11"/>
      <c r="Q1449" s="11"/>
      <c r="R1449" s="11"/>
      <c r="S1449" s="11"/>
      <c r="T1449" s="11"/>
      <c r="U1449" s="11"/>
      <c r="V1449" s="11"/>
      <c r="W1449" s="11"/>
      <c r="X1449" s="11"/>
      <c r="Y1449" s="11"/>
      <c r="Z1449" s="11"/>
      <c r="AA1449" s="11"/>
    </row>
    <row r="1450" ht="15.75" customHeight="1">
      <c r="A1450" s="737">
        <f t="shared" si="387"/>
        <v>0</v>
      </c>
      <c r="B1450" s="737">
        <f>A1450/'Orbit Info'!$G$10</f>
        <v>0</v>
      </c>
      <c r="C1450" s="737" t="str">
        <f t="shared" si="380"/>
        <v>Housekeeping and events only</v>
      </c>
      <c r="D1450" s="737">
        <f t="shared" si="381"/>
        <v>1</v>
      </c>
      <c r="E1450" s="737" t="str">
        <f t="shared" si="382"/>
        <v>#VALUE!</v>
      </c>
      <c r="F1450" s="737">
        <v>1.0</v>
      </c>
      <c r="G1450" s="737" t="str">
        <f t="shared" si="383"/>
        <v>#VALUE!</v>
      </c>
      <c r="H1450" s="737" t="str">
        <f>MIN($Q$11/('Orbit Info'!G$10),$Q$8*60)</f>
        <v>#VALUE!</v>
      </c>
      <c r="I1450" s="737" t="str">
        <f>IF(D1450=1,$Q$12/'Data DownlinkStorage Budget'!$M$3,0)</f>
        <v>#VALUE!</v>
      </c>
      <c r="J1450" s="737" t="str">
        <f t="shared" si="388"/>
        <v>#VALUE!</v>
      </c>
      <c r="K1450" s="11"/>
      <c r="L1450" s="737" t="str">
        <f t="shared" si="385"/>
        <v>FOUND product plus housekeeping</v>
      </c>
      <c r="M1450" s="737" t="str">
        <f>MIN($Q$18,$Q$10*60)-IF(D1450=1,$Q$17/'Data DownlinkStorage Budget'!$M$3,0)</f>
        <v>#VALUE!</v>
      </c>
      <c r="N1450" s="182"/>
      <c r="O1450" s="737" t="str">
        <f t="shared" si="389"/>
        <v>#VALUE!</v>
      </c>
      <c r="P1450" s="11"/>
      <c r="Q1450" s="11"/>
      <c r="R1450" s="11"/>
      <c r="S1450" s="11"/>
      <c r="T1450" s="11"/>
      <c r="U1450" s="11"/>
      <c r="V1450" s="11"/>
      <c r="W1450" s="11"/>
      <c r="X1450" s="11"/>
      <c r="Y1450" s="11"/>
      <c r="Z1450" s="11"/>
      <c r="AA1450" s="11"/>
    </row>
    <row r="1451" ht="15.75" customHeight="1">
      <c r="A1451" s="737">
        <f t="shared" si="387"/>
        <v>0</v>
      </c>
      <c r="B1451" s="737">
        <f>A1451/'Orbit Info'!$G$10</f>
        <v>0</v>
      </c>
      <c r="C1451" s="737" t="str">
        <f t="shared" si="380"/>
        <v>Housekeeping and events only</v>
      </c>
      <c r="D1451" s="737">
        <f t="shared" si="381"/>
        <v>1</v>
      </c>
      <c r="E1451" s="737" t="str">
        <f t="shared" si="382"/>
        <v>#VALUE!</v>
      </c>
      <c r="F1451" s="737">
        <v>1.0</v>
      </c>
      <c r="G1451" s="737" t="str">
        <f t="shared" si="383"/>
        <v>#VALUE!</v>
      </c>
      <c r="H1451" s="737" t="str">
        <f>MIN($Q$11/('Orbit Info'!G$10),$Q$8*60)</f>
        <v>#VALUE!</v>
      </c>
      <c r="I1451" s="737" t="str">
        <f>IF(D1451=1,$Q$12/'Data DownlinkStorage Budget'!$M$3,0)</f>
        <v>#VALUE!</v>
      </c>
      <c r="J1451" s="737" t="str">
        <f t="shared" si="388"/>
        <v>#VALUE!</v>
      </c>
      <c r="K1451" s="11"/>
      <c r="L1451" s="737" t="str">
        <f t="shared" si="385"/>
        <v>FOUND product plus housekeeping</v>
      </c>
      <c r="M1451" s="737" t="str">
        <f>MIN($Q$18,$Q$10*60)-IF(D1451=1,$Q$17/'Data DownlinkStorage Budget'!$M$3,0)</f>
        <v>#VALUE!</v>
      </c>
      <c r="N1451" s="182"/>
      <c r="O1451" s="737" t="str">
        <f t="shared" si="389"/>
        <v>#VALUE!</v>
      </c>
      <c r="P1451" s="11"/>
      <c r="Q1451" s="11"/>
      <c r="R1451" s="11"/>
      <c r="S1451" s="11"/>
      <c r="T1451" s="11"/>
      <c r="U1451" s="11"/>
      <c r="V1451" s="11"/>
      <c r="W1451" s="11"/>
      <c r="X1451" s="11"/>
      <c r="Y1451" s="11"/>
      <c r="Z1451" s="11"/>
      <c r="AA1451" s="11"/>
    </row>
    <row r="1452" ht="15.75" customHeight="1">
      <c r="A1452" s="737">
        <f t="shared" si="387"/>
        <v>0</v>
      </c>
      <c r="B1452" s="737">
        <f>A1452/'Orbit Info'!$G$10</f>
        <v>0</v>
      </c>
      <c r="C1452" s="737" t="str">
        <f t="shared" si="380"/>
        <v>Housekeeping and events only</v>
      </c>
      <c r="D1452" s="737">
        <f t="shared" si="381"/>
        <v>1</v>
      </c>
      <c r="E1452" s="737" t="str">
        <f t="shared" si="382"/>
        <v>#VALUE!</v>
      </c>
      <c r="F1452" s="737">
        <v>1.0</v>
      </c>
      <c r="G1452" s="737" t="str">
        <f t="shared" si="383"/>
        <v>#VALUE!</v>
      </c>
      <c r="H1452" s="737" t="str">
        <f>MIN($Q$11/('Orbit Info'!G$10),$Q$8*60)</f>
        <v>#VALUE!</v>
      </c>
      <c r="I1452" s="737" t="str">
        <f>IF(D1452=1,$Q$12/'Data DownlinkStorage Budget'!$M$3,0)</f>
        <v>#VALUE!</v>
      </c>
      <c r="J1452" s="737" t="str">
        <f t="shared" si="388"/>
        <v>#VALUE!</v>
      </c>
      <c r="K1452" s="11"/>
      <c r="L1452" s="737" t="str">
        <f t="shared" si="385"/>
        <v>FOUND product plus housekeeping</v>
      </c>
      <c r="M1452" s="737" t="str">
        <f>MIN($Q$18,$Q$10*60)-IF(D1452=1,$Q$17/'Data DownlinkStorage Budget'!$M$3,0)</f>
        <v>#VALUE!</v>
      </c>
      <c r="N1452" s="182"/>
      <c r="O1452" s="737" t="str">
        <f t="shared" si="389"/>
        <v>#VALUE!</v>
      </c>
      <c r="P1452" s="11"/>
      <c r="Q1452" s="11"/>
      <c r="R1452" s="11"/>
      <c r="S1452" s="11"/>
      <c r="T1452" s="11"/>
      <c r="U1452" s="11"/>
      <c r="V1452" s="11"/>
      <c r="W1452" s="11"/>
      <c r="X1452" s="11"/>
      <c r="Y1452" s="11"/>
      <c r="Z1452" s="11"/>
      <c r="AA1452" s="11"/>
    </row>
    <row r="1453" ht="15.75" customHeight="1">
      <c r="A1453" s="737">
        <f t="shared" si="387"/>
        <v>0</v>
      </c>
      <c r="B1453" s="737">
        <f>A1453/'Orbit Info'!$G$10</f>
        <v>0</v>
      </c>
      <c r="C1453" s="737" t="str">
        <f t="shared" si="380"/>
        <v>Housekeeping and events only</v>
      </c>
      <c r="D1453" s="737">
        <f t="shared" si="381"/>
        <v>1</v>
      </c>
      <c r="E1453" s="737" t="str">
        <f t="shared" si="382"/>
        <v>#VALUE!</v>
      </c>
      <c r="F1453" s="737">
        <v>1.0</v>
      </c>
      <c r="G1453" s="737" t="str">
        <f t="shared" si="383"/>
        <v>#VALUE!</v>
      </c>
      <c r="H1453" s="737" t="str">
        <f>MIN($Q$11/('Orbit Info'!G$10),$Q$8*60)</f>
        <v>#VALUE!</v>
      </c>
      <c r="I1453" s="737" t="str">
        <f>IF(D1453=1,$Q$12/'Data DownlinkStorage Budget'!$M$3,0)</f>
        <v>#VALUE!</v>
      </c>
      <c r="J1453" s="737" t="str">
        <f t="shared" si="388"/>
        <v>#VALUE!</v>
      </c>
      <c r="K1453" s="11"/>
      <c r="L1453" s="737" t="str">
        <f t="shared" si="385"/>
        <v>FOUND product plus housekeeping</v>
      </c>
      <c r="M1453" s="737" t="str">
        <f>MIN($Q$18,$Q$10*60)-IF(D1453=1,$Q$17/'Data DownlinkStorage Budget'!$M$3,0)</f>
        <v>#VALUE!</v>
      </c>
      <c r="N1453" s="182"/>
      <c r="O1453" s="737" t="str">
        <f t="shared" si="389"/>
        <v>#VALUE!</v>
      </c>
      <c r="P1453" s="11"/>
      <c r="Q1453" s="11"/>
      <c r="R1453" s="11"/>
      <c r="S1453" s="11"/>
      <c r="T1453" s="11"/>
      <c r="U1453" s="11"/>
      <c r="V1453" s="11"/>
      <c r="W1453" s="11"/>
      <c r="X1453" s="11"/>
      <c r="Y1453" s="11"/>
      <c r="Z1453" s="11"/>
      <c r="AA1453" s="11"/>
    </row>
    <row r="1454" ht="15.75" customHeight="1">
      <c r="A1454" s="737">
        <f t="shared" si="387"/>
        <v>0</v>
      </c>
      <c r="B1454" s="737">
        <f>A1454/'Orbit Info'!$G$10</f>
        <v>0</v>
      </c>
      <c r="C1454" s="737" t="str">
        <f t="shared" si="380"/>
        <v>Housekeeping and events only</v>
      </c>
      <c r="D1454" s="737">
        <f t="shared" si="381"/>
        <v>1</v>
      </c>
      <c r="E1454" s="737" t="str">
        <f t="shared" si="382"/>
        <v>#VALUE!</v>
      </c>
      <c r="F1454" s="737">
        <v>1.0</v>
      </c>
      <c r="G1454" s="737" t="str">
        <f t="shared" si="383"/>
        <v>#VALUE!</v>
      </c>
      <c r="H1454" s="737" t="str">
        <f>MIN($Q$11/('Orbit Info'!G$10),$Q$8*60)</f>
        <v>#VALUE!</v>
      </c>
      <c r="I1454" s="737" t="str">
        <f>IF(D1454=1,$Q$12/'Data DownlinkStorage Budget'!$M$3,0)</f>
        <v>#VALUE!</v>
      </c>
      <c r="J1454" s="737" t="str">
        <f t="shared" si="388"/>
        <v>#VALUE!</v>
      </c>
      <c r="K1454" s="11"/>
      <c r="L1454" s="737" t="str">
        <f t="shared" si="385"/>
        <v>FOUND product plus housekeeping</v>
      </c>
      <c r="M1454" s="737" t="str">
        <f>MIN($Q$18,$Q$10*60)-IF(D1454=1,$Q$17/'Data DownlinkStorage Budget'!$M$3,0)</f>
        <v>#VALUE!</v>
      </c>
      <c r="N1454" s="182"/>
      <c r="O1454" s="737" t="str">
        <f t="shared" si="389"/>
        <v>#VALUE!</v>
      </c>
      <c r="P1454" s="11"/>
      <c r="Q1454" s="11"/>
      <c r="R1454" s="11"/>
      <c r="S1454" s="11"/>
      <c r="T1454" s="11"/>
      <c r="U1454" s="11"/>
      <c r="V1454" s="11"/>
      <c r="W1454" s="11"/>
      <c r="X1454" s="11"/>
      <c r="Y1454" s="11"/>
      <c r="Z1454" s="11"/>
      <c r="AA1454" s="11"/>
    </row>
    <row r="1455" ht="15.75" customHeight="1">
      <c r="A1455" s="737">
        <f t="shared" si="387"/>
        <v>0</v>
      </c>
      <c r="B1455" s="737">
        <f>A1455/'Orbit Info'!$G$10</f>
        <v>0</v>
      </c>
      <c r="C1455" s="737" t="str">
        <f t="shared" si="380"/>
        <v>Housekeeping and events only</v>
      </c>
      <c r="D1455" s="737">
        <f t="shared" si="381"/>
        <v>1</v>
      </c>
      <c r="E1455" s="737" t="str">
        <f t="shared" si="382"/>
        <v>#VALUE!</v>
      </c>
      <c r="F1455" s="737">
        <v>1.0</v>
      </c>
      <c r="G1455" s="737" t="str">
        <f t="shared" si="383"/>
        <v>#VALUE!</v>
      </c>
      <c r="H1455" s="737" t="str">
        <f>MIN($Q$11/('Orbit Info'!G$10),$Q$8*60)</f>
        <v>#VALUE!</v>
      </c>
      <c r="I1455" s="737" t="str">
        <f>IF(D1455=1,$Q$12/'Data DownlinkStorage Budget'!$M$3,0)</f>
        <v>#VALUE!</v>
      </c>
      <c r="J1455" s="737" t="str">
        <f t="shared" si="388"/>
        <v>#VALUE!</v>
      </c>
      <c r="K1455" s="11"/>
      <c r="L1455" s="737" t="str">
        <f t="shared" si="385"/>
        <v>FOUND product plus housekeeping</v>
      </c>
      <c r="M1455" s="737" t="str">
        <f>MIN($Q$18,$Q$10*60)-IF(D1455=1,$Q$17/'Data DownlinkStorage Budget'!$M$3,0)</f>
        <v>#VALUE!</v>
      </c>
      <c r="N1455" s="182"/>
      <c r="O1455" s="737" t="str">
        <f t="shared" si="389"/>
        <v>#VALUE!</v>
      </c>
      <c r="P1455" s="11"/>
      <c r="Q1455" s="11"/>
      <c r="R1455" s="11"/>
      <c r="S1455" s="11"/>
      <c r="T1455" s="11"/>
      <c r="U1455" s="11"/>
      <c r="V1455" s="11"/>
      <c r="W1455" s="11"/>
      <c r="X1455" s="11"/>
      <c r="Y1455" s="11"/>
      <c r="Z1455" s="11"/>
      <c r="AA1455" s="11"/>
    </row>
    <row r="1456" ht="15.75" customHeight="1">
      <c r="A1456" s="737">
        <f t="shared" si="387"/>
        <v>0</v>
      </c>
      <c r="B1456" s="737">
        <f>A1456/'Orbit Info'!$G$10</f>
        <v>0</v>
      </c>
      <c r="C1456" s="737" t="str">
        <f t="shared" si="380"/>
        <v>Housekeeping and events only</v>
      </c>
      <c r="D1456" s="737">
        <f t="shared" si="381"/>
        <v>1</v>
      </c>
      <c r="E1456" s="737" t="str">
        <f t="shared" si="382"/>
        <v>#VALUE!</v>
      </c>
      <c r="F1456" s="737">
        <v>1.0</v>
      </c>
      <c r="G1456" s="737" t="str">
        <f t="shared" si="383"/>
        <v>#VALUE!</v>
      </c>
      <c r="H1456" s="737" t="str">
        <f>MIN($Q$11/('Orbit Info'!G$10),$Q$8*60)</f>
        <v>#VALUE!</v>
      </c>
      <c r="I1456" s="737" t="str">
        <f>IF(D1456=1,$Q$12/'Data DownlinkStorage Budget'!$M$3,0)</f>
        <v>#VALUE!</v>
      </c>
      <c r="J1456" s="737" t="str">
        <f t="shared" si="388"/>
        <v>#VALUE!</v>
      </c>
      <c r="K1456" s="11"/>
      <c r="L1456" s="737" t="str">
        <f t="shared" si="385"/>
        <v>FOUND product plus housekeeping</v>
      </c>
      <c r="M1456" s="737" t="str">
        <f>MIN($Q$18,$Q$10*60)-IF(D1456=1,$Q$17/'Data DownlinkStorage Budget'!$M$3,0)</f>
        <v>#VALUE!</v>
      </c>
      <c r="N1456" s="182"/>
      <c r="O1456" s="737" t="str">
        <f t="shared" si="389"/>
        <v>#VALUE!</v>
      </c>
      <c r="P1456" s="11"/>
      <c r="Q1456" s="11"/>
      <c r="R1456" s="11"/>
      <c r="S1456" s="11"/>
      <c r="T1456" s="11"/>
      <c r="U1456" s="11"/>
      <c r="V1456" s="11"/>
      <c r="W1456" s="11"/>
      <c r="X1456" s="11"/>
      <c r="Y1456" s="11"/>
      <c r="Z1456" s="11"/>
      <c r="AA1456" s="11"/>
    </row>
    <row r="1457" ht="15.75" customHeight="1">
      <c r="A1457" s="737">
        <f t="shared" si="387"/>
        <v>0</v>
      </c>
      <c r="B1457" s="737">
        <f>A1457/'Orbit Info'!$G$10</f>
        <v>0</v>
      </c>
      <c r="C1457" s="737" t="str">
        <f t="shared" si="380"/>
        <v>Housekeeping and events only</v>
      </c>
      <c r="D1457" s="737">
        <f t="shared" si="381"/>
        <v>1</v>
      </c>
      <c r="E1457" s="737" t="str">
        <f t="shared" si="382"/>
        <v>#VALUE!</v>
      </c>
      <c r="F1457" s="737">
        <v>1.0</v>
      </c>
      <c r="G1457" s="737" t="str">
        <f t="shared" si="383"/>
        <v>#VALUE!</v>
      </c>
      <c r="H1457" s="737" t="str">
        <f>MIN($Q$11/('Orbit Info'!G$10),$Q$8*60)</f>
        <v>#VALUE!</v>
      </c>
      <c r="I1457" s="737" t="str">
        <f>IF(D1457=1,$Q$12/'Data DownlinkStorage Budget'!$M$3,0)</f>
        <v>#VALUE!</v>
      </c>
      <c r="J1457" s="737" t="str">
        <f t="shared" si="388"/>
        <v>#VALUE!</v>
      </c>
      <c r="K1457" s="11"/>
      <c r="L1457" s="737" t="str">
        <f t="shared" si="385"/>
        <v>FOUND product plus housekeeping</v>
      </c>
      <c r="M1457" s="737" t="str">
        <f>MIN($Q$18,$Q$10*60)-IF(D1457=1,$Q$17/'Data DownlinkStorage Budget'!$M$3,0)</f>
        <v>#VALUE!</v>
      </c>
      <c r="N1457" s="182"/>
      <c r="O1457" s="737" t="str">
        <f t="shared" si="389"/>
        <v>#VALUE!</v>
      </c>
      <c r="P1457" s="11"/>
      <c r="Q1457" s="11"/>
      <c r="R1457" s="11"/>
      <c r="S1457" s="11"/>
      <c r="T1457" s="11"/>
      <c r="U1457" s="11"/>
      <c r="V1457" s="11"/>
      <c r="W1457" s="11"/>
      <c r="X1457" s="11"/>
      <c r="Y1457" s="11"/>
      <c r="Z1457" s="11"/>
      <c r="AA1457" s="11"/>
    </row>
    <row r="1458" ht="15.75" customHeight="1">
      <c r="A1458" s="737">
        <f t="shared" si="387"/>
        <v>0</v>
      </c>
      <c r="B1458" s="737">
        <f>A1458/'Orbit Info'!$G$10</f>
        <v>0</v>
      </c>
      <c r="C1458" s="737" t="str">
        <f t="shared" si="380"/>
        <v>Housekeeping and events only</v>
      </c>
      <c r="D1458" s="737">
        <f t="shared" si="381"/>
        <v>1</v>
      </c>
      <c r="E1458" s="737" t="str">
        <f t="shared" si="382"/>
        <v>#VALUE!</v>
      </c>
      <c r="F1458" s="737">
        <v>1.0</v>
      </c>
      <c r="G1458" s="737" t="str">
        <f t="shared" si="383"/>
        <v>#VALUE!</v>
      </c>
      <c r="H1458" s="737" t="str">
        <f>MIN($Q$11/('Orbit Info'!G$10),$Q$8*60)</f>
        <v>#VALUE!</v>
      </c>
      <c r="I1458" s="737" t="str">
        <f>IF(D1458=1,$Q$12/'Data DownlinkStorage Budget'!$M$3,0)</f>
        <v>#VALUE!</v>
      </c>
      <c r="J1458" s="737" t="str">
        <f t="shared" si="388"/>
        <v>#VALUE!</v>
      </c>
      <c r="K1458" s="11"/>
      <c r="L1458" s="737" t="str">
        <f t="shared" si="385"/>
        <v>FOUND product plus housekeeping</v>
      </c>
      <c r="M1458" s="737" t="str">
        <f>MIN($Q$18,$Q$10*60)-IF(D1458=1,$Q$17/'Data DownlinkStorage Budget'!$M$3,0)</f>
        <v>#VALUE!</v>
      </c>
      <c r="N1458" s="182"/>
      <c r="O1458" s="737" t="str">
        <f t="shared" si="389"/>
        <v>#VALUE!</v>
      </c>
      <c r="P1458" s="11"/>
      <c r="Q1458" s="11"/>
      <c r="R1458" s="11"/>
      <c r="S1458" s="11"/>
      <c r="T1458" s="11"/>
      <c r="U1458" s="11"/>
      <c r="V1458" s="11"/>
      <c r="W1458" s="11"/>
      <c r="X1458" s="11"/>
      <c r="Y1458" s="11"/>
      <c r="Z1458" s="11"/>
      <c r="AA1458" s="11"/>
    </row>
    <row r="1459" ht="15.75" customHeight="1">
      <c r="A1459" s="737">
        <f t="shared" si="387"/>
        <v>0</v>
      </c>
      <c r="B1459" s="737">
        <f>A1459/'Orbit Info'!$G$10</f>
        <v>0</v>
      </c>
      <c r="C1459" s="737" t="str">
        <f t="shared" si="380"/>
        <v>Housekeeping and events only</v>
      </c>
      <c r="D1459" s="737">
        <f t="shared" si="381"/>
        <v>1</v>
      </c>
      <c r="E1459" s="737" t="str">
        <f t="shared" si="382"/>
        <v>#VALUE!</v>
      </c>
      <c r="F1459" s="737">
        <v>1.0</v>
      </c>
      <c r="G1459" s="737" t="str">
        <f t="shared" si="383"/>
        <v>#VALUE!</v>
      </c>
      <c r="H1459" s="737" t="str">
        <f>MIN($Q$11/('Orbit Info'!G$10),$Q$8*60)</f>
        <v>#VALUE!</v>
      </c>
      <c r="I1459" s="737" t="str">
        <f>IF(D1459=1,$Q$12/'Data DownlinkStorage Budget'!$M$3,0)</f>
        <v>#VALUE!</v>
      </c>
      <c r="J1459" s="737" t="str">
        <f t="shared" si="388"/>
        <v>#VALUE!</v>
      </c>
      <c r="K1459" s="11"/>
      <c r="L1459" s="737" t="str">
        <f t="shared" si="385"/>
        <v>FOUND product plus housekeeping</v>
      </c>
      <c r="M1459" s="737" t="str">
        <f>MIN($Q$18,$Q$10*60)-IF(D1459=1,$Q$17/'Data DownlinkStorage Budget'!$M$3,0)</f>
        <v>#VALUE!</v>
      </c>
      <c r="N1459" s="182"/>
      <c r="O1459" s="737" t="str">
        <f t="shared" si="389"/>
        <v>#VALUE!</v>
      </c>
      <c r="P1459" s="11"/>
      <c r="Q1459" s="11"/>
      <c r="R1459" s="11"/>
      <c r="S1459" s="11"/>
      <c r="T1459" s="11"/>
      <c r="U1459" s="11"/>
      <c r="V1459" s="11"/>
      <c r="W1459" s="11"/>
      <c r="X1459" s="11"/>
      <c r="Y1459" s="11"/>
      <c r="Z1459" s="11"/>
      <c r="AA1459" s="11"/>
    </row>
    <row r="1460" ht="15.75" customHeight="1">
      <c r="A1460" s="737">
        <f t="shared" si="387"/>
        <v>0</v>
      </c>
      <c r="B1460" s="737">
        <f>A1460/'Orbit Info'!$G$10</f>
        <v>0</v>
      </c>
      <c r="C1460" s="737" t="str">
        <f t="shared" si="380"/>
        <v>Housekeeping and events only</v>
      </c>
      <c r="D1460" s="737">
        <f t="shared" si="381"/>
        <v>1</v>
      </c>
      <c r="E1460" s="737" t="str">
        <f t="shared" si="382"/>
        <v>#VALUE!</v>
      </c>
      <c r="F1460" s="737">
        <v>1.0</v>
      </c>
      <c r="G1460" s="737" t="str">
        <f t="shared" si="383"/>
        <v>#VALUE!</v>
      </c>
      <c r="H1460" s="737" t="str">
        <f>MIN($Q$11/('Orbit Info'!G$10),$Q$8*60)</f>
        <v>#VALUE!</v>
      </c>
      <c r="I1460" s="737" t="str">
        <f>IF(D1460=1,$Q$12/'Data DownlinkStorage Budget'!$M$3,0)</f>
        <v>#VALUE!</v>
      </c>
      <c r="J1460" s="737" t="str">
        <f t="shared" si="388"/>
        <v>#VALUE!</v>
      </c>
      <c r="K1460" s="11"/>
      <c r="L1460" s="737" t="str">
        <f t="shared" si="385"/>
        <v>FOUND product plus housekeeping</v>
      </c>
      <c r="M1460" s="737" t="str">
        <f>MIN($Q$18,$Q$10*60)-IF(D1460=1,$Q$17/'Data DownlinkStorage Budget'!$M$3,0)</f>
        <v>#VALUE!</v>
      </c>
      <c r="N1460" s="182"/>
      <c r="O1460" s="737" t="str">
        <f t="shared" si="389"/>
        <v>#VALUE!</v>
      </c>
      <c r="P1460" s="11"/>
      <c r="Q1460" s="11"/>
      <c r="R1460" s="11"/>
      <c r="S1460" s="11"/>
      <c r="T1460" s="11"/>
      <c r="U1460" s="11"/>
      <c r="V1460" s="11"/>
      <c r="W1460" s="11"/>
      <c r="X1460" s="11"/>
      <c r="Y1460" s="11"/>
      <c r="Z1460" s="11"/>
      <c r="AA1460" s="11"/>
    </row>
    <row r="1461" ht="15.75" customHeight="1">
      <c r="A1461" s="737">
        <f t="shared" si="387"/>
        <v>0</v>
      </c>
      <c r="B1461" s="737">
        <f>A1461/'Orbit Info'!$G$10</f>
        <v>0</v>
      </c>
      <c r="C1461" s="737" t="str">
        <f t="shared" si="380"/>
        <v>Housekeeping and events only</v>
      </c>
      <c r="D1461" s="737">
        <f t="shared" si="381"/>
        <v>1</v>
      </c>
      <c r="E1461" s="737" t="str">
        <f t="shared" si="382"/>
        <v>#VALUE!</v>
      </c>
      <c r="F1461" s="737">
        <v>1.0</v>
      </c>
      <c r="G1461" s="737" t="str">
        <f t="shared" si="383"/>
        <v>#VALUE!</v>
      </c>
      <c r="H1461" s="737" t="str">
        <f>MIN($Q$11/('Orbit Info'!G$10),$Q$8*60)</f>
        <v>#VALUE!</v>
      </c>
      <c r="I1461" s="737" t="str">
        <f>IF(D1461=1,$Q$12/'Data DownlinkStorage Budget'!$M$3,0)</f>
        <v>#VALUE!</v>
      </c>
      <c r="J1461" s="737" t="str">
        <f t="shared" si="388"/>
        <v>#VALUE!</v>
      </c>
      <c r="K1461" s="11"/>
      <c r="L1461" s="737" t="str">
        <f t="shared" si="385"/>
        <v>FOUND product plus housekeeping</v>
      </c>
      <c r="M1461" s="737" t="str">
        <f>MIN($Q$18,$Q$10*60)-IF(D1461=1,$Q$17/'Data DownlinkStorage Budget'!$M$3,0)</f>
        <v>#VALUE!</v>
      </c>
      <c r="N1461" s="182"/>
      <c r="O1461" s="737" t="str">
        <f t="shared" si="389"/>
        <v>#VALUE!</v>
      </c>
      <c r="P1461" s="11"/>
      <c r="Q1461" s="11"/>
      <c r="R1461" s="11"/>
      <c r="S1461" s="11"/>
      <c r="T1461" s="11"/>
      <c r="U1461" s="11"/>
      <c r="V1461" s="11"/>
      <c r="W1461" s="11"/>
      <c r="X1461" s="11"/>
      <c r="Y1461" s="11"/>
      <c r="Z1461" s="11"/>
      <c r="AA1461" s="11"/>
    </row>
    <row r="1462" ht="15.75" customHeight="1">
      <c r="A1462" s="737">
        <f t="shared" si="387"/>
        <v>0</v>
      </c>
      <c r="B1462" s="737">
        <f>A1462/'Orbit Info'!$G$10</f>
        <v>0</v>
      </c>
      <c r="C1462" s="737" t="str">
        <f t="shared" si="380"/>
        <v>Housekeeping and events only</v>
      </c>
      <c r="D1462" s="737">
        <f t="shared" si="381"/>
        <v>1</v>
      </c>
      <c r="E1462" s="737" t="str">
        <f t="shared" si="382"/>
        <v>#VALUE!</v>
      </c>
      <c r="F1462" s="737">
        <v>1.0</v>
      </c>
      <c r="G1462" s="737" t="str">
        <f t="shared" si="383"/>
        <v>#VALUE!</v>
      </c>
      <c r="H1462" s="737" t="str">
        <f>MIN($Q$11/('Orbit Info'!G$10),$Q$8*60)</f>
        <v>#VALUE!</v>
      </c>
      <c r="I1462" s="737" t="str">
        <f>IF(D1462=1,$Q$12/'Data DownlinkStorage Budget'!$M$3,0)</f>
        <v>#VALUE!</v>
      </c>
      <c r="J1462" s="737" t="str">
        <f t="shared" si="388"/>
        <v>#VALUE!</v>
      </c>
      <c r="K1462" s="11"/>
      <c r="L1462" s="737" t="str">
        <f t="shared" si="385"/>
        <v>FOUND product plus housekeeping</v>
      </c>
      <c r="M1462" s="737" t="str">
        <f>MIN($Q$18,$Q$10*60)-IF(D1462=1,$Q$17/'Data DownlinkStorage Budget'!$M$3,0)</f>
        <v>#VALUE!</v>
      </c>
      <c r="N1462" s="182"/>
      <c r="O1462" s="737" t="str">
        <f t="shared" si="389"/>
        <v>#VALUE!</v>
      </c>
      <c r="P1462" s="11"/>
      <c r="Q1462" s="11"/>
      <c r="R1462" s="11"/>
      <c r="S1462" s="11"/>
      <c r="T1462" s="11"/>
      <c r="U1462" s="11"/>
      <c r="V1462" s="11"/>
      <c r="W1462" s="11"/>
      <c r="X1462" s="11"/>
      <c r="Y1462" s="11"/>
      <c r="Z1462" s="11"/>
      <c r="AA1462" s="11"/>
    </row>
    <row r="1463" ht="15.75" customHeight="1">
      <c r="A1463" s="737">
        <f t="shared" si="387"/>
        <v>0</v>
      </c>
      <c r="B1463" s="737">
        <f>A1463/'Orbit Info'!$G$10</f>
        <v>0</v>
      </c>
      <c r="C1463" s="737" t="str">
        <f t="shared" si="380"/>
        <v>Housekeeping and events only</v>
      </c>
      <c r="D1463" s="737">
        <f t="shared" si="381"/>
        <v>1</v>
      </c>
      <c r="E1463" s="737" t="str">
        <f t="shared" si="382"/>
        <v>#VALUE!</v>
      </c>
      <c r="F1463" s="737">
        <v>1.0</v>
      </c>
      <c r="G1463" s="737" t="str">
        <f t="shared" si="383"/>
        <v>#VALUE!</v>
      </c>
      <c r="H1463" s="737" t="str">
        <f>MIN($Q$11/('Orbit Info'!G$10),$Q$8*60)</f>
        <v>#VALUE!</v>
      </c>
      <c r="I1463" s="737" t="str">
        <f>IF(D1463=1,$Q$12/'Data DownlinkStorage Budget'!$M$3,0)</f>
        <v>#VALUE!</v>
      </c>
      <c r="J1463" s="737" t="str">
        <f t="shared" si="388"/>
        <v>#VALUE!</v>
      </c>
      <c r="K1463" s="11"/>
      <c r="L1463" s="737" t="str">
        <f t="shared" si="385"/>
        <v>FOUND product plus housekeeping</v>
      </c>
      <c r="M1463" s="737" t="str">
        <f>MIN($Q$18,$Q$10*60)-IF(D1463=1,$Q$17/'Data DownlinkStorage Budget'!$M$3,0)</f>
        <v>#VALUE!</v>
      </c>
      <c r="N1463" s="182"/>
      <c r="O1463" s="737" t="str">
        <f t="shared" si="389"/>
        <v>#VALUE!</v>
      </c>
      <c r="P1463" s="11"/>
      <c r="Q1463" s="11"/>
      <c r="R1463" s="11"/>
      <c r="S1463" s="11"/>
      <c r="T1463" s="11"/>
      <c r="U1463" s="11"/>
      <c r="V1463" s="11"/>
      <c r="W1463" s="11"/>
      <c r="X1463" s="11"/>
      <c r="Y1463" s="11"/>
      <c r="Z1463" s="11"/>
      <c r="AA1463" s="11"/>
    </row>
    <row r="1464" ht="15.75" customHeight="1">
      <c r="A1464" s="737">
        <f t="shared" si="387"/>
        <v>0</v>
      </c>
      <c r="B1464" s="737">
        <f>A1464/'Orbit Info'!$G$10</f>
        <v>0</v>
      </c>
      <c r="C1464" s="737" t="str">
        <f t="shared" si="380"/>
        <v>Housekeeping and events only</v>
      </c>
      <c r="D1464" s="737">
        <f t="shared" si="381"/>
        <v>1</v>
      </c>
      <c r="E1464" s="737" t="str">
        <f t="shared" si="382"/>
        <v>#VALUE!</v>
      </c>
      <c r="F1464" s="737">
        <v>1.0</v>
      </c>
      <c r="G1464" s="737" t="str">
        <f t="shared" si="383"/>
        <v>#VALUE!</v>
      </c>
      <c r="H1464" s="737" t="str">
        <f>MIN($Q$11/('Orbit Info'!G$10),$Q$8*60)</f>
        <v>#VALUE!</v>
      </c>
      <c r="I1464" s="737" t="str">
        <f>IF(D1464=1,$Q$12/'Data DownlinkStorage Budget'!$M$3,0)</f>
        <v>#VALUE!</v>
      </c>
      <c r="J1464" s="737" t="str">
        <f t="shared" si="388"/>
        <v>#VALUE!</v>
      </c>
      <c r="K1464" s="11"/>
      <c r="L1464" s="737" t="str">
        <f t="shared" si="385"/>
        <v>FOUND product plus housekeeping</v>
      </c>
      <c r="M1464" s="737" t="str">
        <f>MIN($Q$18,$Q$10*60)-IF(D1464=1,$Q$17/'Data DownlinkStorage Budget'!$M$3,0)</f>
        <v>#VALUE!</v>
      </c>
      <c r="N1464" s="182"/>
      <c r="O1464" s="737" t="str">
        <f t="shared" si="389"/>
        <v>#VALUE!</v>
      </c>
      <c r="P1464" s="11"/>
      <c r="Q1464" s="11"/>
      <c r="R1464" s="11"/>
      <c r="S1464" s="11"/>
      <c r="T1464" s="11"/>
      <c r="U1464" s="11"/>
      <c r="V1464" s="11"/>
      <c r="W1464" s="11"/>
      <c r="X1464" s="11"/>
      <c r="Y1464" s="11"/>
      <c r="Z1464" s="11"/>
      <c r="AA1464" s="11"/>
    </row>
    <row r="1465" ht="15.75" customHeight="1">
      <c r="A1465" s="737">
        <f t="shared" si="387"/>
        <v>0</v>
      </c>
      <c r="B1465" s="737">
        <f>A1465/'Orbit Info'!$G$10</f>
        <v>0</v>
      </c>
      <c r="C1465" s="737" t="str">
        <f t="shared" si="380"/>
        <v>Housekeeping and events only</v>
      </c>
      <c r="D1465" s="737">
        <f t="shared" si="381"/>
        <v>1</v>
      </c>
      <c r="E1465" s="737" t="str">
        <f t="shared" si="382"/>
        <v>#VALUE!</v>
      </c>
      <c r="F1465" s="737">
        <v>1.0</v>
      </c>
      <c r="G1465" s="737" t="str">
        <f t="shared" si="383"/>
        <v>#VALUE!</v>
      </c>
      <c r="H1465" s="737" t="str">
        <f>MIN($Q$11/('Orbit Info'!G$10),$Q$8*60)</f>
        <v>#VALUE!</v>
      </c>
      <c r="I1465" s="737" t="str">
        <f>IF(D1465=1,$Q$12/'Data DownlinkStorage Budget'!$M$3,0)</f>
        <v>#VALUE!</v>
      </c>
      <c r="J1465" s="737" t="str">
        <f t="shared" si="388"/>
        <v>#VALUE!</v>
      </c>
      <c r="K1465" s="11"/>
      <c r="L1465" s="737" t="str">
        <f t="shared" si="385"/>
        <v>FOUND product plus housekeeping</v>
      </c>
      <c r="M1465" s="737" t="str">
        <f>MIN($Q$18,$Q$10*60)-IF(D1465=1,$Q$17/'Data DownlinkStorage Budget'!$M$3,0)</f>
        <v>#VALUE!</v>
      </c>
      <c r="N1465" s="182"/>
      <c r="O1465" s="737" t="str">
        <f t="shared" si="389"/>
        <v>#VALUE!</v>
      </c>
      <c r="P1465" s="11"/>
      <c r="Q1465" s="11"/>
      <c r="R1465" s="11"/>
      <c r="S1465" s="11"/>
      <c r="T1465" s="11"/>
      <c r="U1465" s="11"/>
      <c r="V1465" s="11"/>
      <c r="W1465" s="11"/>
      <c r="X1465" s="11"/>
      <c r="Y1465" s="11"/>
      <c r="Z1465" s="11"/>
      <c r="AA1465" s="11"/>
    </row>
    <row r="1466" ht="15.75" customHeight="1">
      <c r="A1466" s="737">
        <f t="shared" si="387"/>
        <v>0</v>
      </c>
      <c r="B1466" s="737">
        <f>A1466/'Orbit Info'!$G$10</f>
        <v>0</v>
      </c>
      <c r="C1466" s="737" t="str">
        <f t="shared" si="380"/>
        <v>Housekeeping and events only</v>
      </c>
      <c r="D1466" s="737">
        <f t="shared" si="381"/>
        <v>1</v>
      </c>
      <c r="E1466" s="737" t="str">
        <f t="shared" si="382"/>
        <v>#VALUE!</v>
      </c>
      <c r="F1466" s="737">
        <v>1.0</v>
      </c>
      <c r="G1466" s="737" t="str">
        <f t="shared" si="383"/>
        <v>#VALUE!</v>
      </c>
      <c r="H1466" s="737" t="str">
        <f>MIN($Q$11/('Orbit Info'!G$10),$Q$8*60)</f>
        <v>#VALUE!</v>
      </c>
      <c r="I1466" s="737" t="str">
        <f>IF(D1466=1,$Q$12/'Data DownlinkStorage Budget'!$M$3,0)</f>
        <v>#VALUE!</v>
      </c>
      <c r="J1466" s="737" t="str">
        <f t="shared" si="388"/>
        <v>#VALUE!</v>
      </c>
      <c r="K1466" s="11"/>
      <c r="L1466" s="737" t="str">
        <f t="shared" si="385"/>
        <v>FOUND product plus housekeeping</v>
      </c>
      <c r="M1466" s="737" t="str">
        <f>MIN($Q$18,$Q$10*60)-IF(D1466=1,$Q$17/'Data DownlinkStorage Budget'!$M$3,0)</f>
        <v>#VALUE!</v>
      </c>
      <c r="N1466" s="182"/>
      <c r="O1466" s="737" t="str">
        <f t="shared" si="389"/>
        <v>#VALUE!</v>
      </c>
      <c r="P1466" s="11"/>
      <c r="Q1466" s="11"/>
      <c r="R1466" s="11"/>
      <c r="S1466" s="11"/>
      <c r="T1466" s="11"/>
      <c r="U1466" s="11"/>
      <c r="V1466" s="11"/>
      <c r="W1466" s="11"/>
      <c r="X1466" s="11"/>
      <c r="Y1466" s="11"/>
      <c r="Z1466" s="11"/>
      <c r="AA1466" s="11"/>
    </row>
    <row r="1467" ht="15.75" customHeight="1">
      <c r="A1467" s="737">
        <f t="shared" si="387"/>
        <v>0</v>
      </c>
      <c r="B1467" s="737">
        <f>A1467/'Orbit Info'!$G$10</f>
        <v>0</v>
      </c>
      <c r="C1467" s="737" t="str">
        <f t="shared" si="380"/>
        <v>Housekeeping and events only</v>
      </c>
      <c r="D1467" s="737">
        <f t="shared" si="381"/>
        <v>1</v>
      </c>
      <c r="E1467" s="737" t="str">
        <f t="shared" si="382"/>
        <v>#VALUE!</v>
      </c>
      <c r="F1467" s="737">
        <v>1.0</v>
      </c>
      <c r="G1467" s="737" t="str">
        <f t="shared" si="383"/>
        <v>#VALUE!</v>
      </c>
      <c r="H1467" s="737" t="str">
        <f>MIN($Q$11/('Orbit Info'!G$10),$Q$8*60)</f>
        <v>#VALUE!</v>
      </c>
      <c r="I1467" s="737" t="str">
        <f>IF(D1467=1,$Q$12/'Data DownlinkStorage Budget'!$M$3,0)</f>
        <v>#VALUE!</v>
      </c>
      <c r="J1467" s="737" t="str">
        <f t="shared" si="388"/>
        <v>#VALUE!</v>
      </c>
      <c r="K1467" s="11"/>
      <c r="L1467" s="737" t="str">
        <f t="shared" si="385"/>
        <v>FOUND product plus housekeeping</v>
      </c>
      <c r="M1467" s="737" t="str">
        <f>MIN($Q$18,$Q$10*60)-IF(D1467=1,$Q$17/'Data DownlinkStorage Budget'!$M$3,0)</f>
        <v>#VALUE!</v>
      </c>
      <c r="N1467" s="182"/>
      <c r="O1467" s="737" t="str">
        <f t="shared" si="389"/>
        <v>#VALUE!</v>
      </c>
      <c r="P1467" s="11"/>
      <c r="Q1467" s="11"/>
      <c r="R1467" s="11"/>
      <c r="S1467" s="11"/>
      <c r="T1467" s="11"/>
      <c r="U1467" s="11"/>
      <c r="V1467" s="11"/>
      <c r="W1467" s="11"/>
      <c r="X1467" s="11"/>
      <c r="Y1467" s="11"/>
      <c r="Z1467" s="11"/>
      <c r="AA1467" s="11"/>
    </row>
    <row r="1468" ht="15.75" customHeight="1">
      <c r="A1468" s="737">
        <f t="shared" si="387"/>
        <v>0</v>
      </c>
      <c r="B1468" s="737">
        <f>A1468/'Orbit Info'!$G$10</f>
        <v>0</v>
      </c>
      <c r="C1468" s="737" t="str">
        <f t="shared" si="380"/>
        <v>Housekeeping and events only</v>
      </c>
      <c r="D1468" s="737">
        <f t="shared" si="381"/>
        <v>1</v>
      </c>
      <c r="E1468" s="737" t="str">
        <f t="shared" si="382"/>
        <v>#VALUE!</v>
      </c>
      <c r="F1468" s="737">
        <v>1.0</v>
      </c>
      <c r="G1468" s="737" t="str">
        <f t="shared" si="383"/>
        <v>#VALUE!</v>
      </c>
      <c r="H1468" s="737" t="str">
        <f>MIN($Q$11/('Orbit Info'!G$10),$Q$8*60)</f>
        <v>#VALUE!</v>
      </c>
      <c r="I1468" s="737" t="str">
        <f>IF(D1468=1,$Q$12/'Data DownlinkStorage Budget'!$M$3,0)</f>
        <v>#VALUE!</v>
      </c>
      <c r="J1468" s="737" t="str">
        <f t="shared" si="388"/>
        <v>#VALUE!</v>
      </c>
      <c r="K1468" s="11"/>
      <c r="L1468" s="737" t="str">
        <f t="shared" si="385"/>
        <v>FOUND product plus housekeeping</v>
      </c>
      <c r="M1468" s="737" t="str">
        <f>MIN($Q$18,$Q$10*60)-IF(D1468=1,$Q$17/'Data DownlinkStorage Budget'!$M$3,0)</f>
        <v>#VALUE!</v>
      </c>
      <c r="N1468" s="182"/>
      <c r="O1468" s="737" t="str">
        <f t="shared" si="389"/>
        <v>#VALUE!</v>
      </c>
      <c r="P1468" s="11"/>
      <c r="Q1468" s="11"/>
      <c r="R1468" s="11"/>
      <c r="S1468" s="11"/>
      <c r="T1468" s="11"/>
      <c r="U1468" s="11"/>
      <c r="V1468" s="11"/>
      <c r="W1468" s="11"/>
      <c r="X1468" s="11"/>
      <c r="Y1468" s="11"/>
      <c r="Z1468" s="11"/>
      <c r="AA1468" s="11"/>
    </row>
    <row r="1469" ht="15.75" customHeight="1">
      <c r="A1469" s="737">
        <f t="shared" si="387"/>
        <v>0</v>
      </c>
      <c r="B1469" s="737">
        <f>A1469/'Orbit Info'!$G$10</f>
        <v>0</v>
      </c>
      <c r="C1469" s="737" t="str">
        <f t="shared" si="380"/>
        <v>Housekeeping and events only</v>
      </c>
      <c r="D1469" s="737">
        <f t="shared" si="381"/>
        <v>1</v>
      </c>
      <c r="E1469" s="737" t="str">
        <f t="shared" si="382"/>
        <v>#VALUE!</v>
      </c>
      <c r="F1469" s="737">
        <v>1.0</v>
      </c>
      <c r="G1469" s="737" t="str">
        <f t="shared" si="383"/>
        <v>#VALUE!</v>
      </c>
      <c r="H1469" s="737" t="str">
        <f>MIN($Q$11/('Orbit Info'!G$10),$Q$8*60)</f>
        <v>#VALUE!</v>
      </c>
      <c r="I1469" s="737" t="str">
        <f>IF(D1469=1,$Q$12/'Data DownlinkStorage Budget'!$M$3,0)</f>
        <v>#VALUE!</v>
      </c>
      <c r="J1469" s="737" t="str">
        <f t="shared" si="388"/>
        <v>#VALUE!</v>
      </c>
      <c r="K1469" s="11"/>
      <c r="L1469" s="737" t="str">
        <f t="shared" si="385"/>
        <v>FOUND product plus housekeeping</v>
      </c>
      <c r="M1469" s="737" t="str">
        <f>MIN($Q$18,$Q$10*60)-IF(D1469=1,$Q$17/'Data DownlinkStorage Budget'!$M$3,0)</f>
        <v>#VALUE!</v>
      </c>
      <c r="N1469" s="182"/>
      <c r="O1469" s="737" t="str">
        <f t="shared" si="389"/>
        <v>#VALUE!</v>
      </c>
      <c r="P1469" s="11"/>
      <c r="Q1469" s="11"/>
      <c r="R1469" s="11"/>
      <c r="S1469" s="11"/>
      <c r="T1469" s="11"/>
      <c r="U1469" s="11"/>
      <c r="V1469" s="11"/>
      <c r="W1469" s="11"/>
      <c r="X1469" s="11"/>
      <c r="Y1469" s="11"/>
      <c r="Z1469" s="11"/>
      <c r="AA1469" s="11"/>
    </row>
    <row r="1470" ht="15.75" customHeight="1">
      <c r="A1470" s="737">
        <f t="shared" si="387"/>
        <v>0</v>
      </c>
      <c r="B1470" s="737">
        <f>A1470/'Orbit Info'!$G$10</f>
        <v>0</v>
      </c>
      <c r="C1470" s="737" t="str">
        <f t="shared" si="380"/>
        <v>Housekeeping and events only</v>
      </c>
      <c r="D1470" s="737">
        <f t="shared" si="381"/>
        <v>1</v>
      </c>
      <c r="E1470" s="737" t="str">
        <f t="shared" si="382"/>
        <v>#VALUE!</v>
      </c>
      <c r="F1470" s="737">
        <v>1.0</v>
      </c>
      <c r="G1470" s="737" t="str">
        <f t="shared" si="383"/>
        <v>#VALUE!</v>
      </c>
      <c r="H1470" s="737" t="str">
        <f>MIN($Q$11/('Orbit Info'!G$10),$Q$8*60)</f>
        <v>#VALUE!</v>
      </c>
      <c r="I1470" s="737" t="str">
        <f>IF(D1470=1,$Q$12/'Data DownlinkStorage Budget'!$M$3,0)</f>
        <v>#VALUE!</v>
      </c>
      <c r="J1470" s="737" t="str">
        <f t="shared" si="388"/>
        <v>#VALUE!</v>
      </c>
      <c r="K1470" s="11"/>
      <c r="L1470" s="737" t="str">
        <f t="shared" si="385"/>
        <v>FOUND product plus housekeeping</v>
      </c>
      <c r="M1470" s="737" t="str">
        <f>MIN($Q$18,$Q$10*60)-IF(D1470=1,$Q$17/'Data DownlinkStorage Budget'!$M$3,0)</f>
        <v>#VALUE!</v>
      </c>
      <c r="N1470" s="182"/>
      <c r="O1470" s="737" t="str">
        <f t="shared" si="389"/>
        <v>#VALUE!</v>
      </c>
      <c r="P1470" s="11"/>
      <c r="Q1470" s="11"/>
      <c r="R1470" s="11"/>
      <c r="S1470" s="11"/>
      <c r="T1470" s="11"/>
      <c r="U1470" s="11"/>
      <c r="V1470" s="11"/>
      <c r="W1470" s="11"/>
      <c r="X1470" s="11"/>
      <c r="Y1470" s="11"/>
      <c r="Z1470" s="11"/>
      <c r="AA1470" s="11"/>
    </row>
    <row r="1471" ht="15.75" customHeight="1">
      <c r="A1471" s="737">
        <f t="shared" si="387"/>
        <v>0</v>
      </c>
      <c r="B1471" s="737">
        <f>A1471/'Orbit Info'!$G$10</f>
        <v>0</v>
      </c>
      <c r="C1471" s="737" t="str">
        <f t="shared" si="380"/>
        <v>Housekeeping and events only</v>
      </c>
      <c r="D1471" s="737">
        <f t="shared" si="381"/>
        <v>1</v>
      </c>
      <c r="E1471" s="737" t="str">
        <f t="shared" si="382"/>
        <v>#VALUE!</v>
      </c>
      <c r="F1471" s="737">
        <v>1.0</v>
      </c>
      <c r="G1471" s="737" t="str">
        <f t="shared" si="383"/>
        <v>#VALUE!</v>
      </c>
      <c r="H1471" s="737" t="str">
        <f>MIN($Q$11/('Orbit Info'!G$10),$Q$8*60)</f>
        <v>#VALUE!</v>
      </c>
      <c r="I1471" s="737" t="str">
        <f>IF(D1471=1,$Q$12/'Data DownlinkStorage Budget'!$M$3,0)</f>
        <v>#VALUE!</v>
      </c>
      <c r="J1471" s="737" t="str">
        <f t="shared" si="388"/>
        <v>#VALUE!</v>
      </c>
      <c r="K1471" s="11"/>
      <c r="L1471" s="737" t="str">
        <f t="shared" si="385"/>
        <v>FOUND product plus housekeeping</v>
      </c>
      <c r="M1471" s="737" t="str">
        <f>MIN($Q$18,$Q$10*60)-IF(D1471=1,$Q$17/'Data DownlinkStorage Budget'!$M$3,0)</f>
        <v>#VALUE!</v>
      </c>
      <c r="N1471" s="182"/>
      <c r="O1471" s="737" t="str">
        <f t="shared" si="389"/>
        <v>#VALUE!</v>
      </c>
      <c r="P1471" s="11"/>
      <c r="Q1471" s="11"/>
      <c r="R1471" s="11"/>
      <c r="S1471" s="11"/>
      <c r="T1471" s="11"/>
      <c r="U1471" s="11"/>
      <c r="V1471" s="11"/>
      <c r="W1471" s="11"/>
      <c r="X1471" s="11"/>
      <c r="Y1471" s="11"/>
      <c r="Z1471" s="11"/>
      <c r="AA1471" s="11"/>
    </row>
    <row r="1472" ht="15.75" customHeight="1">
      <c r="A1472" s="737">
        <f t="shared" si="387"/>
        <v>0</v>
      </c>
      <c r="B1472" s="737">
        <f>A1472/'Orbit Info'!$G$10</f>
        <v>0</v>
      </c>
      <c r="C1472" s="737" t="str">
        <f t="shared" si="380"/>
        <v>Housekeeping and events only</v>
      </c>
      <c r="D1472" s="737">
        <f t="shared" si="381"/>
        <v>1</v>
      </c>
      <c r="E1472" s="737" t="str">
        <f t="shared" si="382"/>
        <v>#VALUE!</v>
      </c>
      <c r="F1472" s="737">
        <v>1.0</v>
      </c>
      <c r="G1472" s="737" t="str">
        <f t="shared" si="383"/>
        <v>#VALUE!</v>
      </c>
      <c r="H1472" s="737" t="str">
        <f>MIN($Q$11/('Orbit Info'!G$10),$Q$8*60)</f>
        <v>#VALUE!</v>
      </c>
      <c r="I1472" s="737" t="str">
        <f>IF(D1472=1,$Q$12/'Data DownlinkStorage Budget'!$M$3,0)</f>
        <v>#VALUE!</v>
      </c>
      <c r="J1472" s="737" t="str">
        <f t="shared" si="388"/>
        <v>#VALUE!</v>
      </c>
      <c r="K1472" s="11"/>
      <c r="L1472" s="737" t="str">
        <f t="shared" si="385"/>
        <v>FOUND product plus housekeeping</v>
      </c>
      <c r="M1472" s="737" t="str">
        <f>MIN($Q$18,$Q$10*60)-IF(D1472=1,$Q$17/'Data DownlinkStorage Budget'!$M$3,0)</f>
        <v>#VALUE!</v>
      </c>
      <c r="N1472" s="182"/>
      <c r="O1472" s="737" t="str">
        <f t="shared" si="389"/>
        <v>#VALUE!</v>
      </c>
      <c r="P1472" s="11"/>
      <c r="Q1472" s="11"/>
      <c r="R1472" s="11"/>
      <c r="S1472" s="11"/>
      <c r="T1472" s="11"/>
      <c r="U1472" s="11"/>
      <c r="V1472" s="11"/>
      <c r="W1472" s="11"/>
      <c r="X1472" s="11"/>
      <c r="Y1472" s="11"/>
      <c r="Z1472" s="11"/>
      <c r="AA1472" s="11"/>
    </row>
    <row r="1473" ht="15.75" customHeight="1">
      <c r="A1473" s="737">
        <f t="shared" si="387"/>
        <v>0</v>
      </c>
      <c r="B1473" s="737">
        <f>A1473/'Orbit Info'!$G$10</f>
        <v>0</v>
      </c>
      <c r="C1473" s="737" t="str">
        <f t="shared" si="380"/>
        <v>Housekeeping and events only</v>
      </c>
      <c r="D1473" s="737">
        <f t="shared" si="381"/>
        <v>1</v>
      </c>
      <c r="E1473" s="737" t="str">
        <f t="shared" si="382"/>
        <v>#VALUE!</v>
      </c>
      <c r="F1473" s="737">
        <v>1.0</v>
      </c>
      <c r="G1473" s="737" t="str">
        <f t="shared" si="383"/>
        <v>#VALUE!</v>
      </c>
      <c r="H1473" s="737" t="str">
        <f>MIN($Q$11/('Orbit Info'!G$10),$Q$8*60)</f>
        <v>#VALUE!</v>
      </c>
      <c r="I1473" s="737" t="str">
        <f>IF(D1473=1,$Q$12/'Data DownlinkStorage Budget'!$M$3,0)</f>
        <v>#VALUE!</v>
      </c>
      <c r="J1473" s="737" t="str">
        <f t="shared" si="388"/>
        <v>#VALUE!</v>
      </c>
      <c r="K1473" s="11"/>
      <c r="L1473" s="737" t="str">
        <f t="shared" si="385"/>
        <v>FOUND product plus housekeeping</v>
      </c>
      <c r="M1473" s="737" t="str">
        <f>MIN($Q$18,$Q$10*60)-IF(D1473=1,$Q$17/'Data DownlinkStorage Budget'!$M$3,0)</f>
        <v>#VALUE!</v>
      </c>
      <c r="N1473" s="182"/>
      <c r="O1473" s="737" t="str">
        <f t="shared" si="389"/>
        <v>#VALUE!</v>
      </c>
      <c r="P1473" s="11"/>
      <c r="Q1473" s="11"/>
      <c r="R1473" s="11"/>
      <c r="S1473" s="11"/>
      <c r="T1473" s="11"/>
      <c r="U1473" s="11"/>
      <c r="V1473" s="11"/>
      <c r="W1473" s="11"/>
      <c r="X1473" s="11"/>
      <c r="Y1473" s="11"/>
      <c r="Z1473" s="11"/>
      <c r="AA1473" s="11"/>
    </row>
    <row r="1474" ht="15.75" customHeight="1">
      <c r="A1474" s="737">
        <f t="shared" si="387"/>
        <v>0</v>
      </c>
      <c r="B1474" s="737">
        <f>A1474/'Orbit Info'!$G$10</f>
        <v>0</v>
      </c>
      <c r="C1474" s="737" t="str">
        <f t="shared" si="380"/>
        <v>Housekeeping and events only</v>
      </c>
      <c r="D1474" s="737">
        <f t="shared" si="381"/>
        <v>1</v>
      </c>
      <c r="E1474" s="737" t="str">
        <f t="shared" si="382"/>
        <v>#VALUE!</v>
      </c>
      <c r="F1474" s="737">
        <v>1.0</v>
      </c>
      <c r="G1474" s="737" t="str">
        <f t="shared" si="383"/>
        <v>#VALUE!</v>
      </c>
      <c r="H1474" s="737" t="str">
        <f>MIN($Q$11/('Orbit Info'!G$10),$Q$8*60)</f>
        <v>#VALUE!</v>
      </c>
      <c r="I1474" s="737" t="str">
        <f>IF(D1474=1,$Q$12/'Data DownlinkStorage Budget'!$M$3,0)</f>
        <v>#VALUE!</v>
      </c>
      <c r="J1474" s="737" t="str">
        <f t="shared" si="388"/>
        <v>#VALUE!</v>
      </c>
      <c r="K1474" s="11"/>
      <c r="L1474" s="737" t="str">
        <f t="shared" si="385"/>
        <v>FOUND product plus housekeeping</v>
      </c>
      <c r="M1474" s="737" t="str">
        <f>MIN($Q$18,$Q$10*60)-IF(D1474=1,$Q$17/'Data DownlinkStorage Budget'!$M$3,0)</f>
        <v>#VALUE!</v>
      </c>
      <c r="N1474" s="182"/>
      <c r="O1474" s="737" t="str">
        <f t="shared" si="389"/>
        <v>#VALUE!</v>
      </c>
      <c r="P1474" s="11"/>
      <c r="Q1474" s="11"/>
      <c r="R1474" s="11"/>
      <c r="S1474" s="11"/>
      <c r="T1474" s="11"/>
      <c r="U1474" s="11"/>
      <c r="V1474" s="11"/>
      <c r="W1474" s="11"/>
      <c r="X1474" s="11"/>
      <c r="Y1474" s="11"/>
      <c r="Z1474" s="11"/>
      <c r="AA1474" s="11"/>
    </row>
    <row r="1475" ht="15.75" customHeight="1">
      <c r="A1475" s="737">
        <f t="shared" si="387"/>
        <v>0</v>
      </c>
      <c r="B1475" s="737">
        <f>A1475/'Orbit Info'!$G$10</f>
        <v>0</v>
      </c>
      <c r="C1475" s="737" t="str">
        <f t="shared" si="380"/>
        <v>Housekeeping and events only</v>
      </c>
      <c r="D1475" s="737">
        <f t="shared" si="381"/>
        <v>1</v>
      </c>
      <c r="E1475" s="737" t="str">
        <f t="shared" si="382"/>
        <v>#VALUE!</v>
      </c>
      <c r="F1475" s="737">
        <v>1.0</v>
      </c>
      <c r="G1475" s="737" t="str">
        <f t="shared" si="383"/>
        <v>#VALUE!</v>
      </c>
      <c r="H1475" s="737" t="str">
        <f>MIN($Q$11/('Orbit Info'!G$10),$Q$8*60)</f>
        <v>#VALUE!</v>
      </c>
      <c r="I1475" s="737" t="str">
        <f>IF(D1475=1,$Q$12/'Data DownlinkStorage Budget'!$M$3,0)</f>
        <v>#VALUE!</v>
      </c>
      <c r="J1475" s="737" t="str">
        <f t="shared" si="388"/>
        <v>#VALUE!</v>
      </c>
      <c r="K1475" s="11"/>
      <c r="L1475" s="737" t="str">
        <f t="shared" si="385"/>
        <v>FOUND product plus housekeeping</v>
      </c>
      <c r="M1475" s="737" t="str">
        <f>MIN($Q$18,$Q$10*60)-IF(D1475=1,$Q$17/'Data DownlinkStorage Budget'!$M$3,0)</f>
        <v>#VALUE!</v>
      </c>
      <c r="N1475" s="182"/>
      <c r="O1475" s="737" t="str">
        <f t="shared" si="389"/>
        <v>#VALUE!</v>
      </c>
      <c r="P1475" s="11"/>
      <c r="Q1475" s="11"/>
      <c r="R1475" s="11"/>
      <c r="S1475" s="11"/>
      <c r="T1475" s="11"/>
      <c r="U1475" s="11"/>
      <c r="V1475" s="11"/>
      <c r="W1475" s="11"/>
      <c r="X1475" s="11"/>
      <c r="Y1475" s="11"/>
      <c r="Z1475" s="11"/>
      <c r="AA1475" s="11"/>
    </row>
    <row r="1476" ht="15.75" customHeight="1">
      <c r="A1476" s="737">
        <f t="shared" si="387"/>
        <v>0</v>
      </c>
      <c r="B1476" s="737">
        <f>A1476/'Orbit Info'!$G$10</f>
        <v>0</v>
      </c>
      <c r="C1476" s="737" t="str">
        <f t="shared" si="380"/>
        <v>Housekeeping and events only</v>
      </c>
      <c r="D1476" s="737">
        <f t="shared" si="381"/>
        <v>1</v>
      </c>
      <c r="E1476" s="737" t="str">
        <f t="shared" si="382"/>
        <v>#VALUE!</v>
      </c>
      <c r="F1476" s="737">
        <v>1.0</v>
      </c>
      <c r="G1476" s="737" t="str">
        <f t="shared" si="383"/>
        <v>#VALUE!</v>
      </c>
      <c r="H1476" s="737" t="str">
        <f>MIN($Q$11/('Orbit Info'!G$10),$Q$8*60)</f>
        <v>#VALUE!</v>
      </c>
      <c r="I1476" s="737" t="str">
        <f>IF(D1476=1,$Q$12/'Data DownlinkStorage Budget'!$M$3,0)</f>
        <v>#VALUE!</v>
      </c>
      <c r="J1476" s="737" t="str">
        <f t="shared" si="388"/>
        <v>#VALUE!</v>
      </c>
      <c r="K1476" s="11"/>
      <c r="L1476" s="737" t="str">
        <f t="shared" si="385"/>
        <v>FOUND product plus housekeeping</v>
      </c>
      <c r="M1476" s="737" t="str">
        <f>MIN($Q$18,$Q$10*60)-IF(D1476=1,$Q$17/'Data DownlinkStorage Budget'!$M$3,0)</f>
        <v>#VALUE!</v>
      </c>
      <c r="N1476" s="182"/>
      <c r="O1476" s="737" t="str">
        <f t="shared" si="389"/>
        <v>#VALUE!</v>
      </c>
      <c r="P1476" s="11"/>
      <c r="Q1476" s="11"/>
      <c r="R1476" s="11"/>
      <c r="S1476" s="11"/>
      <c r="T1476" s="11"/>
      <c r="U1476" s="11"/>
      <c r="V1476" s="11"/>
      <c r="W1476" s="11"/>
      <c r="X1476" s="11"/>
      <c r="Y1476" s="11"/>
      <c r="Z1476" s="11"/>
      <c r="AA1476" s="11"/>
    </row>
    <row r="1477" ht="15.75" customHeight="1">
      <c r="A1477" s="737">
        <f t="shared" si="387"/>
        <v>0</v>
      </c>
      <c r="B1477" s="737">
        <f>A1477/'Orbit Info'!$G$10</f>
        <v>0</v>
      </c>
      <c r="C1477" s="737" t="str">
        <f t="shared" si="380"/>
        <v>Housekeeping and events only</v>
      </c>
      <c r="D1477" s="737">
        <f t="shared" si="381"/>
        <v>1</v>
      </c>
      <c r="E1477" s="737" t="str">
        <f t="shared" si="382"/>
        <v>#VALUE!</v>
      </c>
      <c r="F1477" s="737">
        <v>1.0</v>
      </c>
      <c r="G1477" s="737" t="str">
        <f t="shared" si="383"/>
        <v>#VALUE!</v>
      </c>
      <c r="H1477" s="737" t="str">
        <f>MIN($Q$11/('Orbit Info'!G$10),$Q$8*60)</f>
        <v>#VALUE!</v>
      </c>
      <c r="I1477" s="737" t="str">
        <f>IF(D1477=1,$Q$12/'Data DownlinkStorage Budget'!$M$3,0)</f>
        <v>#VALUE!</v>
      </c>
      <c r="J1477" s="737" t="str">
        <f t="shared" si="388"/>
        <v>#VALUE!</v>
      </c>
      <c r="K1477" s="11"/>
      <c r="L1477" s="737" t="str">
        <f t="shared" si="385"/>
        <v>FOUND product plus housekeeping</v>
      </c>
      <c r="M1477" s="737" t="str">
        <f>MIN($Q$18,$Q$10*60)-IF(D1477=1,$Q$17/'Data DownlinkStorage Budget'!$M$3,0)</f>
        <v>#VALUE!</v>
      </c>
      <c r="N1477" s="182"/>
      <c r="O1477" s="737" t="str">
        <f t="shared" si="389"/>
        <v>#VALUE!</v>
      </c>
      <c r="P1477" s="11"/>
      <c r="Q1477" s="11"/>
      <c r="R1477" s="11"/>
      <c r="S1477" s="11"/>
      <c r="T1477" s="11"/>
      <c r="U1477" s="11"/>
      <c r="V1477" s="11"/>
      <c r="W1477" s="11"/>
      <c r="X1477" s="11"/>
      <c r="Y1477" s="11"/>
      <c r="Z1477" s="11"/>
      <c r="AA1477" s="11"/>
    </row>
    <row r="1478" ht="15.75" customHeight="1">
      <c r="A1478" s="737">
        <f t="shared" si="387"/>
        <v>0</v>
      </c>
      <c r="B1478" s="737">
        <f>A1478/'Orbit Info'!$G$10</f>
        <v>0</v>
      </c>
      <c r="C1478" s="737" t="str">
        <f t="shared" si="380"/>
        <v>Housekeeping and events only</v>
      </c>
      <c r="D1478" s="737">
        <f t="shared" si="381"/>
        <v>1</v>
      </c>
      <c r="E1478" s="737" t="str">
        <f t="shared" si="382"/>
        <v>#VALUE!</v>
      </c>
      <c r="F1478" s="737">
        <v>1.0</v>
      </c>
      <c r="G1478" s="737" t="str">
        <f t="shared" si="383"/>
        <v>#VALUE!</v>
      </c>
      <c r="H1478" s="737" t="str">
        <f>MIN($Q$11/('Orbit Info'!G$10),$Q$8*60)</f>
        <v>#VALUE!</v>
      </c>
      <c r="I1478" s="737" t="str">
        <f>IF(D1478=1,$Q$12/'Data DownlinkStorage Budget'!$M$3,0)</f>
        <v>#VALUE!</v>
      </c>
      <c r="J1478" s="737" t="str">
        <f t="shared" si="388"/>
        <v>#VALUE!</v>
      </c>
      <c r="K1478" s="11"/>
      <c r="L1478" s="737" t="str">
        <f t="shared" si="385"/>
        <v>FOUND product plus housekeeping</v>
      </c>
      <c r="M1478" s="737" t="str">
        <f>MIN($Q$18,$Q$10*60)-IF(D1478=1,$Q$17/'Data DownlinkStorage Budget'!$M$3,0)</f>
        <v>#VALUE!</v>
      </c>
      <c r="N1478" s="182"/>
      <c r="O1478" s="737" t="str">
        <f t="shared" si="389"/>
        <v>#VALUE!</v>
      </c>
      <c r="P1478" s="11"/>
      <c r="Q1478" s="11"/>
      <c r="R1478" s="11"/>
      <c r="S1478" s="11"/>
      <c r="T1478" s="11"/>
      <c r="U1478" s="11"/>
      <c r="V1478" s="11"/>
      <c r="W1478" s="11"/>
      <c r="X1478" s="11"/>
      <c r="Y1478" s="11"/>
      <c r="Z1478" s="11"/>
      <c r="AA1478" s="11"/>
    </row>
    <row r="1479" ht="15.75" customHeight="1">
      <c r="A1479" s="737">
        <f t="shared" si="387"/>
        <v>0</v>
      </c>
      <c r="B1479" s="737">
        <f>A1479/'Orbit Info'!$G$10</f>
        <v>0</v>
      </c>
      <c r="C1479" s="737" t="str">
        <f t="shared" si="380"/>
        <v>Housekeeping and events only</v>
      </c>
      <c r="D1479" s="737">
        <f t="shared" si="381"/>
        <v>1</v>
      </c>
      <c r="E1479" s="737" t="str">
        <f t="shared" si="382"/>
        <v>#VALUE!</v>
      </c>
      <c r="F1479" s="737">
        <v>1.0</v>
      </c>
      <c r="G1479" s="737" t="str">
        <f t="shared" si="383"/>
        <v>#VALUE!</v>
      </c>
      <c r="H1479" s="737" t="str">
        <f>MIN($Q$11/('Orbit Info'!G$10),$Q$8*60)</f>
        <v>#VALUE!</v>
      </c>
      <c r="I1479" s="737" t="str">
        <f>IF(D1479=1,$Q$12/'Data DownlinkStorage Budget'!$M$3,0)</f>
        <v>#VALUE!</v>
      </c>
      <c r="J1479" s="737" t="str">
        <f t="shared" si="388"/>
        <v>#VALUE!</v>
      </c>
      <c r="K1479" s="11"/>
      <c r="L1479" s="737" t="str">
        <f t="shared" si="385"/>
        <v>FOUND product plus housekeeping</v>
      </c>
      <c r="M1479" s="737" t="str">
        <f>MIN($Q$18,$Q$10*60)-IF(D1479=1,$Q$17/'Data DownlinkStorage Budget'!$M$3,0)</f>
        <v>#VALUE!</v>
      </c>
      <c r="N1479" s="182"/>
      <c r="O1479" s="737" t="str">
        <f t="shared" si="389"/>
        <v>#VALUE!</v>
      </c>
      <c r="P1479" s="11"/>
      <c r="Q1479" s="11"/>
      <c r="R1479" s="11"/>
      <c r="S1479" s="11"/>
      <c r="T1479" s="11"/>
      <c r="U1479" s="11"/>
      <c r="V1479" s="11"/>
      <c r="W1479" s="11"/>
      <c r="X1479" s="11"/>
      <c r="Y1479" s="11"/>
      <c r="Z1479" s="11"/>
      <c r="AA1479" s="11"/>
    </row>
    <row r="1480" ht="15.75" customHeight="1">
      <c r="A1480" s="737">
        <f t="shared" si="387"/>
        <v>0</v>
      </c>
      <c r="B1480" s="737">
        <f>A1480/'Orbit Info'!$G$10</f>
        <v>0</v>
      </c>
      <c r="C1480" s="737" t="str">
        <f t="shared" si="380"/>
        <v>Housekeeping and events only</v>
      </c>
      <c r="D1480" s="737">
        <f t="shared" si="381"/>
        <v>1</v>
      </c>
      <c r="E1480" s="737" t="str">
        <f t="shared" si="382"/>
        <v>#VALUE!</v>
      </c>
      <c r="F1480" s="737">
        <v>1.0</v>
      </c>
      <c r="G1480" s="737" t="str">
        <f t="shared" si="383"/>
        <v>#VALUE!</v>
      </c>
      <c r="H1480" s="737" t="str">
        <f>MIN($Q$11/('Orbit Info'!G$10),$Q$8*60)</f>
        <v>#VALUE!</v>
      </c>
      <c r="I1480" s="737" t="str">
        <f>IF(D1480=1,$Q$12/'Data DownlinkStorage Budget'!$M$3,0)</f>
        <v>#VALUE!</v>
      </c>
      <c r="J1480" s="737" t="str">
        <f t="shared" si="388"/>
        <v>#VALUE!</v>
      </c>
      <c r="K1480" s="11"/>
      <c r="L1480" s="737" t="str">
        <f t="shared" si="385"/>
        <v>FOUND product plus housekeeping</v>
      </c>
      <c r="M1480" s="737" t="str">
        <f>MIN($Q$18,$Q$10*60)-IF(D1480=1,$Q$17/'Data DownlinkStorage Budget'!$M$3,0)</f>
        <v>#VALUE!</v>
      </c>
      <c r="N1480" s="182"/>
      <c r="O1480" s="737" t="str">
        <f t="shared" si="389"/>
        <v>#VALUE!</v>
      </c>
      <c r="P1480" s="11"/>
      <c r="Q1480" s="11"/>
      <c r="R1480" s="11"/>
      <c r="S1480" s="11"/>
      <c r="T1480" s="11"/>
      <c r="U1480" s="11"/>
      <c r="V1480" s="11"/>
      <c r="W1480" s="11"/>
      <c r="X1480" s="11"/>
      <c r="Y1480" s="11"/>
      <c r="Z1480" s="11"/>
      <c r="AA1480" s="11"/>
    </row>
    <row r="1481" ht="15.75" customHeight="1">
      <c r="A1481" s="737">
        <f t="shared" si="387"/>
        <v>0</v>
      </c>
      <c r="B1481" s="737">
        <f>A1481/'Orbit Info'!$G$10</f>
        <v>0</v>
      </c>
      <c r="C1481" s="737" t="str">
        <f t="shared" si="380"/>
        <v>Housekeeping and events only</v>
      </c>
      <c r="D1481" s="737">
        <f t="shared" si="381"/>
        <v>1</v>
      </c>
      <c r="E1481" s="737" t="str">
        <f t="shared" si="382"/>
        <v>#VALUE!</v>
      </c>
      <c r="F1481" s="737">
        <v>1.0</v>
      </c>
      <c r="G1481" s="737" t="str">
        <f t="shared" si="383"/>
        <v>#VALUE!</v>
      </c>
      <c r="H1481" s="737" t="str">
        <f>MIN($Q$11/('Orbit Info'!G$10),$Q$8*60)</f>
        <v>#VALUE!</v>
      </c>
      <c r="I1481" s="737" t="str">
        <f>IF(D1481=1,$Q$12/'Data DownlinkStorage Budget'!$M$3,0)</f>
        <v>#VALUE!</v>
      </c>
      <c r="J1481" s="737" t="str">
        <f t="shared" si="388"/>
        <v>#VALUE!</v>
      </c>
      <c r="K1481" s="11"/>
      <c r="L1481" s="737" t="str">
        <f t="shared" si="385"/>
        <v>FOUND product plus housekeeping</v>
      </c>
      <c r="M1481" s="737" t="str">
        <f>MIN($Q$18,$Q$10*60)-IF(D1481=1,$Q$17/'Data DownlinkStorage Budget'!$M$3,0)</f>
        <v>#VALUE!</v>
      </c>
      <c r="N1481" s="182"/>
      <c r="O1481" s="737" t="str">
        <f t="shared" si="389"/>
        <v>#VALUE!</v>
      </c>
      <c r="P1481" s="11"/>
      <c r="Q1481" s="11"/>
      <c r="R1481" s="11"/>
      <c r="S1481" s="11"/>
      <c r="T1481" s="11"/>
      <c r="U1481" s="11"/>
      <c r="V1481" s="11"/>
      <c r="W1481" s="11"/>
      <c r="X1481" s="11"/>
      <c r="Y1481" s="11"/>
      <c r="Z1481" s="11"/>
      <c r="AA1481" s="11"/>
    </row>
    <row r="1482" ht="15.75" customHeight="1">
      <c r="A1482" s="737">
        <f t="shared" si="387"/>
        <v>0</v>
      </c>
      <c r="B1482" s="737">
        <f>A1482/'Orbit Info'!$G$10</f>
        <v>0</v>
      </c>
      <c r="C1482" s="737" t="str">
        <f t="shared" si="380"/>
        <v>Housekeeping and events only</v>
      </c>
      <c r="D1482" s="737">
        <f t="shared" si="381"/>
        <v>1</v>
      </c>
      <c r="E1482" s="737" t="str">
        <f t="shared" si="382"/>
        <v>#VALUE!</v>
      </c>
      <c r="F1482" s="737">
        <v>1.0</v>
      </c>
      <c r="G1482" s="737" t="str">
        <f t="shared" si="383"/>
        <v>#VALUE!</v>
      </c>
      <c r="H1482" s="737" t="str">
        <f>MIN($Q$11/('Orbit Info'!G$10),$Q$8*60)</f>
        <v>#VALUE!</v>
      </c>
      <c r="I1482" s="737" t="str">
        <f>IF(D1482=1,$Q$12/'Data DownlinkStorage Budget'!$M$3,0)</f>
        <v>#VALUE!</v>
      </c>
      <c r="J1482" s="737" t="str">
        <f t="shared" si="388"/>
        <v>#VALUE!</v>
      </c>
      <c r="K1482" s="11"/>
      <c r="L1482" s="737" t="str">
        <f t="shared" si="385"/>
        <v>FOUND product plus housekeeping</v>
      </c>
      <c r="M1482" s="737" t="str">
        <f>MIN($Q$18,$Q$10*60)-IF(D1482=1,$Q$17/'Data DownlinkStorage Budget'!$M$3,0)</f>
        <v>#VALUE!</v>
      </c>
      <c r="N1482" s="182"/>
      <c r="O1482" s="737" t="str">
        <f t="shared" si="389"/>
        <v>#VALUE!</v>
      </c>
      <c r="P1482" s="11"/>
      <c r="Q1482" s="11"/>
      <c r="R1482" s="11"/>
      <c r="S1482" s="11"/>
      <c r="T1482" s="11"/>
      <c r="U1482" s="11"/>
      <c r="V1482" s="11"/>
      <c r="W1482" s="11"/>
      <c r="X1482" s="11"/>
      <c r="Y1482" s="11"/>
      <c r="Z1482" s="11"/>
      <c r="AA1482" s="11"/>
    </row>
    <row r="1483" ht="15.75" customHeight="1">
      <c r="A1483" s="737">
        <f t="shared" si="387"/>
        <v>0</v>
      </c>
      <c r="B1483" s="737">
        <f>A1483/'Orbit Info'!$G$10</f>
        <v>0</v>
      </c>
      <c r="C1483" s="737" t="str">
        <f t="shared" si="380"/>
        <v>Housekeeping and events only</v>
      </c>
      <c r="D1483" s="737">
        <f t="shared" si="381"/>
        <v>1</v>
      </c>
      <c r="E1483" s="737" t="str">
        <f t="shared" si="382"/>
        <v>#VALUE!</v>
      </c>
      <c r="F1483" s="737">
        <v>1.0</v>
      </c>
      <c r="G1483" s="737" t="str">
        <f t="shared" si="383"/>
        <v>#VALUE!</v>
      </c>
      <c r="H1483" s="737" t="str">
        <f>MIN($Q$11/('Orbit Info'!G$10),$Q$8*60)</f>
        <v>#VALUE!</v>
      </c>
      <c r="I1483" s="737" t="str">
        <f>IF(D1483=1,$Q$12/'Data DownlinkStorage Budget'!$M$3,0)</f>
        <v>#VALUE!</v>
      </c>
      <c r="J1483" s="737" t="str">
        <f t="shared" si="388"/>
        <v>#VALUE!</v>
      </c>
      <c r="K1483" s="11"/>
      <c r="L1483" s="737" t="str">
        <f t="shared" si="385"/>
        <v>FOUND product plus housekeeping</v>
      </c>
      <c r="M1483" s="737" t="str">
        <f>MIN($Q$18,$Q$10*60)-IF(D1483=1,$Q$17/'Data DownlinkStorage Budget'!$M$3,0)</f>
        <v>#VALUE!</v>
      </c>
      <c r="N1483" s="182"/>
      <c r="O1483" s="737" t="str">
        <f t="shared" si="389"/>
        <v>#VALUE!</v>
      </c>
      <c r="P1483" s="11"/>
      <c r="Q1483" s="11"/>
      <c r="R1483" s="11"/>
      <c r="S1483" s="11"/>
      <c r="T1483" s="11"/>
      <c r="U1483" s="11"/>
      <c r="V1483" s="11"/>
      <c r="W1483" s="11"/>
      <c r="X1483" s="11"/>
      <c r="Y1483" s="11"/>
      <c r="Z1483" s="11"/>
      <c r="AA1483" s="11"/>
    </row>
    <row r="1484" ht="15.75" customHeight="1">
      <c r="A1484" s="737">
        <f t="shared" si="387"/>
        <v>0</v>
      </c>
      <c r="B1484" s="737">
        <f>A1484/'Orbit Info'!$G$10</f>
        <v>0</v>
      </c>
      <c r="C1484" s="737" t="str">
        <f t="shared" si="380"/>
        <v>Housekeeping and events only</v>
      </c>
      <c r="D1484" s="737">
        <f t="shared" si="381"/>
        <v>1</v>
      </c>
      <c r="E1484" s="737" t="str">
        <f t="shared" si="382"/>
        <v>#VALUE!</v>
      </c>
      <c r="F1484" s="737">
        <v>1.0</v>
      </c>
      <c r="G1484" s="737" t="str">
        <f t="shared" si="383"/>
        <v>#VALUE!</v>
      </c>
      <c r="H1484" s="737" t="str">
        <f>MIN($Q$11/('Orbit Info'!G$10),$Q$8*60)</f>
        <v>#VALUE!</v>
      </c>
      <c r="I1484" s="737" t="str">
        <f>IF(D1484=1,$Q$12/'Data DownlinkStorage Budget'!$M$3,0)</f>
        <v>#VALUE!</v>
      </c>
      <c r="J1484" s="737" t="str">
        <f t="shared" si="388"/>
        <v>#VALUE!</v>
      </c>
      <c r="K1484" s="11"/>
      <c r="L1484" s="737" t="str">
        <f t="shared" si="385"/>
        <v>FOUND product plus housekeeping</v>
      </c>
      <c r="M1484" s="737" t="str">
        <f>MIN($Q$18,$Q$10*60)-IF(D1484=1,$Q$17/'Data DownlinkStorage Budget'!$M$3,0)</f>
        <v>#VALUE!</v>
      </c>
      <c r="N1484" s="182"/>
      <c r="O1484" s="737" t="str">
        <f t="shared" si="389"/>
        <v>#VALUE!</v>
      </c>
      <c r="P1484" s="11"/>
      <c r="Q1484" s="11"/>
      <c r="R1484" s="11"/>
      <c r="S1484" s="11"/>
      <c r="T1484" s="11"/>
      <c r="U1484" s="11"/>
      <c r="V1484" s="11"/>
      <c r="W1484" s="11"/>
      <c r="X1484" s="11"/>
      <c r="Y1484" s="11"/>
      <c r="Z1484" s="11"/>
      <c r="AA1484" s="11"/>
    </row>
    <row r="1485" ht="15.75" customHeight="1">
      <c r="A1485" s="737">
        <f t="shared" si="387"/>
        <v>0</v>
      </c>
      <c r="B1485" s="737">
        <f>A1485/'Orbit Info'!$G$10</f>
        <v>0</v>
      </c>
      <c r="C1485" s="737" t="str">
        <f t="shared" si="380"/>
        <v>Housekeeping and events only</v>
      </c>
      <c r="D1485" s="737">
        <f t="shared" si="381"/>
        <v>1</v>
      </c>
      <c r="E1485" s="737" t="str">
        <f t="shared" si="382"/>
        <v>#VALUE!</v>
      </c>
      <c r="F1485" s="737">
        <v>1.0</v>
      </c>
      <c r="G1485" s="737" t="str">
        <f t="shared" si="383"/>
        <v>#VALUE!</v>
      </c>
      <c r="H1485" s="737" t="str">
        <f>MIN($Q$11/('Orbit Info'!G$10),$Q$8*60)</f>
        <v>#VALUE!</v>
      </c>
      <c r="I1485" s="737" t="str">
        <f>IF(D1485=1,$Q$12/'Data DownlinkStorage Budget'!$M$3,0)</f>
        <v>#VALUE!</v>
      </c>
      <c r="J1485" s="737" t="str">
        <f t="shared" si="388"/>
        <v>#VALUE!</v>
      </c>
      <c r="K1485" s="11"/>
      <c r="L1485" s="737" t="str">
        <f t="shared" si="385"/>
        <v>FOUND product plus housekeeping</v>
      </c>
      <c r="M1485" s="737" t="str">
        <f>MIN($Q$18,$Q$10*60)-IF(D1485=1,$Q$17/'Data DownlinkStorage Budget'!$M$3,0)</f>
        <v>#VALUE!</v>
      </c>
      <c r="N1485" s="182"/>
      <c r="O1485" s="737" t="str">
        <f t="shared" si="389"/>
        <v>#VALUE!</v>
      </c>
      <c r="P1485" s="11"/>
      <c r="Q1485" s="11"/>
      <c r="R1485" s="11"/>
      <c r="S1485" s="11"/>
      <c r="T1485" s="11"/>
      <c r="U1485" s="11"/>
      <c r="V1485" s="11"/>
      <c r="W1485" s="11"/>
      <c r="X1485" s="11"/>
      <c r="Y1485" s="11"/>
      <c r="Z1485" s="11"/>
      <c r="AA1485" s="11"/>
    </row>
    <row r="1486" ht="15.75" customHeight="1">
      <c r="A1486" s="737">
        <f t="shared" si="387"/>
        <v>0</v>
      </c>
      <c r="B1486" s="737">
        <f>A1486/'Orbit Info'!$G$10</f>
        <v>0</v>
      </c>
      <c r="C1486" s="737" t="str">
        <f t="shared" si="380"/>
        <v>Housekeeping and events only</v>
      </c>
      <c r="D1486" s="737">
        <f t="shared" si="381"/>
        <v>1</v>
      </c>
      <c r="E1486" s="737" t="str">
        <f t="shared" si="382"/>
        <v>#VALUE!</v>
      </c>
      <c r="F1486" s="737">
        <v>1.0</v>
      </c>
      <c r="G1486" s="737" t="str">
        <f t="shared" si="383"/>
        <v>#VALUE!</v>
      </c>
      <c r="H1486" s="737" t="str">
        <f>MIN($Q$11/('Orbit Info'!G$10),$Q$8*60)</f>
        <v>#VALUE!</v>
      </c>
      <c r="I1486" s="737" t="str">
        <f>IF(D1486=1,$Q$12/'Data DownlinkStorage Budget'!$M$3,0)</f>
        <v>#VALUE!</v>
      </c>
      <c r="J1486" s="737" t="str">
        <f t="shared" si="388"/>
        <v>#VALUE!</v>
      </c>
      <c r="K1486" s="11"/>
      <c r="L1486" s="737" t="str">
        <f t="shared" si="385"/>
        <v>FOUND product plus housekeeping</v>
      </c>
      <c r="M1486" s="737" t="str">
        <f>MIN($Q$18,$Q$10*60)-IF(D1486=1,$Q$17/'Data DownlinkStorage Budget'!$M$3,0)</f>
        <v>#VALUE!</v>
      </c>
      <c r="N1486" s="182"/>
      <c r="O1486" s="737" t="str">
        <f t="shared" si="389"/>
        <v>#VALUE!</v>
      </c>
      <c r="P1486" s="11"/>
      <c r="Q1486" s="11"/>
      <c r="R1486" s="11"/>
      <c r="S1486" s="11"/>
      <c r="T1486" s="11"/>
      <c r="U1486" s="11"/>
      <c r="V1486" s="11"/>
      <c r="W1486" s="11"/>
      <c r="X1486" s="11"/>
      <c r="Y1486" s="11"/>
      <c r="Z1486" s="11"/>
      <c r="AA1486" s="11"/>
    </row>
    <row r="1487" ht="15.75" customHeight="1">
      <c r="A1487" s="737">
        <f t="shared" si="387"/>
        <v>0</v>
      </c>
      <c r="B1487" s="737">
        <f>A1487/'Orbit Info'!$G$10</f>
        <v>0</v>
      </c>
      <c r="C1487" s="737" t="str">
        <f t="shared" si="380"/>
        <v>Housekeeping and events only</v>
      </c>
      <c r="D1487" s="737">
        <f t="shared" si="381"/>
        <v>1</v>
      </c>
      <c r="E1487" s="737" t="str">
        <f t="shared" si="382"/>
        <v>#VALUE!</v>
      </c>
      <c r="F1487" s="737">
        <v>1.0</v>
      </c>
      <c r="G1487" s="737" t="str">
        <f t="shared" si="383"/>
        <v>#VALUE!</v>
      </c>
      <c r="H1487" s="737" t="str">
        <f>MIN($Q$11/('Orbit Info'!G$10),$Q$8*60)</f>
        <v>#VALUE!</v>
      </c>
      <c r="I1487" s="737" t="str">
        <f>IF(D1487=1,$Q$12/'Data DownlinkStorage Budget'!$M$3,0)</f>
        <v>#VALUE!</v>
      </c>
      <c r="J1487" s="737" t="str">
        <f t="shared" si="388"/>
        <v>#VALUE!</v>
      </c>
      <c r="K1487" s="11"/>
      <c r="L1487" s="737" t="str">
        <f t="shared" si="385"/>
        <v>FOUND product plus housekeeping</v>
      </c>
      <c r="M1487" s="737" t="str">
        <f>MIN($Q$18,$Q$10*60)-IF(D1487=1,$Q$17/'Data DownlinkStorage Budget'!$M$3,0)</f>
        <v>#VALUE!</v>
      </c>
      <c r="N1487" s="182"/>
      <c r="O1487" s="737" t="str">
        <f t="shared" si="389"/>
        <v>#VALUE!</v>
      </c>
      <c r="P1487" s="11"/>
      <c r="Q1487" s="11"/>
      <c r="R1487" s="11"/>
      <c r="S1487" s="11"/>
      <c r="T1487" s="11"/>
      <c r="U1487" s="11"/>
      <c r="V1487" s="11"/>
      <c r="W1487" s="11"/>
      <c r="X1487" s="11"/>
      <c r="Y1487" s="11"/>
      <c r="Z1487" s="11"/>
      <c r="AA1487" s="11"/>
    </row>
    <row r="1488" ht="15.75" customHeight="1">
      <c r="A1488" s="737">
        <f t="shared" si="387"/>
        <v>0</v>
      </c>
      <c r="B1488" s="737">
        <f>A1488/'Orbit Info'!$G$10</f>
        <v>0</v>
      </c>
      <c r="C1488" s="737" t="str">
        <f t="shared" si="380"/>
        <v>Housekeeping and events only</v>
      </c>
      <c r="D1488" s="737">
        <f t="shared" si="381"/>
        <v>1</v>
      </c>
      <c r="E1488" s="737" t="str">
        <f t="shared" si="382"/>
        <v>#VALUE!</v>
      </c>
      <c r="F1488" s="737">
        <v>1.0</v>
      </c>
      <c r="G1488" s="737" t="str">
        <f t="shared" si="383"/>
        <v>#VALUE!</v>
      </c>
      <c r="H1488" s="737" t="str">
        <f>MIN($Q$11/('Orbit Info'!G$10),$Q$8*60)</f>
        <v>#VALUE!</v>
      </c>
      <c r="I1488" s="737" t="str">
        <f>IF(D1488=1,$Q$12/'Data DownlinkStorage Budget'!$M$3,0)</f>
        <v>#VALUE!</v>
      </c>
      <c r="J1488" s="737" t="str">
        <f t="shared" si="388"/>
        <v>#VALUE!</v>
      </c>
      <c r="K1488" s="11"/>
      <c r="L1488" s="737" t="str">
        <f t="shared" si="385"/>
        <v>FOUND product plus housekeeping</v>
      </c>
      <c r="M1488" s="737" t="str">
        <f>MIN($Q$18,$Q$10*60)-IF(D1488=1,$Q$17/'Data DownlinkStorage Budget'!$M$3,0)</f>
        <v>#VALUE!</v>
      </c>
      <c r="N1488" s="182"/>
      <c r="O1488" s="737" t="str">
        <f t="shared" si="389"/>
        <v>#VALUE!</v>
      </c>
      <c r="P1488" s="11"/>
      <c r="Q1488" s="11"/>
      <c r="R1488" s="11"/>
      <c r="S1488" s="11"/>
      <c r="T1488" s="11"/>
      <c r="U1488" s="11"/>
      <c r="V1488" s="11"/>
      <c r="W1488" s="11"/>
      <c r="X1488" s="11"/>
      <c r="Y1488" s="11"/>
      <c r="Z1488" s="11"/>
      <c r="AA1488" s="11"/>
    </row>
    <row r="1489" ht="15.75" customHeight="1">
      <c r="A1489" s="737">
        <f t="shared" si="387"/>
        <v>0</v>
      </c>
      <c r="B1489" s="737">
        <f>A1489/'Orbit Info'!$G$10</f>
        <v>0</v>
      </c>
      <c r="C1489" s="737" t="str">
        <f t="shared" si="380"/>
        <v>Housekeeping and events only</v>
      </c>
      <c r="D1489" s="737">
        <f t="shared" si="381"/>
        <v>1</v>
      </c>
      <c r="E1489" s="737" t="str">
        <f t="shared" si="382"/>
        <v>#VALUE!</v>
      </c>
      <c r="F1489" s="737">
        <v>1.0</v>
      </c>
      <c r="G1489" s="737" t="str">
        <f t="shared" si="383"/>
        <v>#VALUE!</v>
      </c>
      <c r="H1489" s="737" t="str">
        <f>MIN($Q$11/('Orbit Info'!G$10),$Q$8*60)</f>
        <v>#VALUE!</v>
      </c>
      <c r="I1489" s="737" t="str">
        <f>IF(D1489=1,$Q$12/'Data DownlinkStorage Budget'!$M$3,0)</f>
        <v>#VALUE!</v>
      </c>
      <c r="J1489" s="737" t="str">
        <f t="shared" si="388"/>
        <v>#VALUE!</v>
      </c>
      <c r="K1489" s="11"/>
      <c r="L1489" s="737" t="str">
        <f t="shared" si="385"/>
        <v>FOUND product plus housekeeping</v>
      </c>
      <c r="M1489" s="737" t="str">
        <f>MIN($Q$18,$Q$10*60)-IF(D1489=1,$Q$17/'Data DownlinkStorage Budget'!$M$3,0)</f>
        <v>#VALUE!</v>
      </c>
      <c r="N1489" s="182"/>
      <c r="O1489" s="737" t="str">
        <f t="shared" si="389"/>
        <v>#VALUE!</v>
      </c>
      <c r="P1489" s="11"/>
      <c r="Q1489" s="11"/>
      <c r="R1489" s="11"/>
      <c r="S1489" s="11"/>
      <c r="T1489" s="11"/>
      <c r="U1489" s="11"/>
      <c r="V1489" s="11"/>
      <c r="W1489" s="11"/>
      <c r="X1489" s="11"/>
      <c r="Y1489" s="11"/>
      <c r="Z1489" s="11"/>
      <c r="AA1489" s="11"/>
    </row>
    <row r="1490" ht="15.75" customHeight="1">
      <c r="A1490" s="737">
        <f t="shared" si="387"/>
        <v>0</v>
      </c>
      <c r="B1490" s="737">
        <f>A1490/'Orbit Info'!$G$10</f>
        <v>0</v>
      </c>
      <c r="C1490" s="737" t="str">
        <f t="shared" si="380"/>
        <v>Housekeeping and events only</v>
      </c>
      <c r="D1490" s="737">
        <f t="shared" si="381"/>
        <v>1</v>
      </c>
      <c r="E1490" s="737" t="str">
        <f t="shared" si="382"/>
        <v>#VALUE!</v>
      </c>
      <c r="F1490" s="737">
        <v>1.0</v>
      </c>
      <c r="G1490" s="737" t="str">
        <f t="shared" si="383"/>
        <v>#VALUE!</v>
      </c>
      <c r="H1490" s="737" t="str">
        <f>MIN($Q$11/('Orbit Info'!G$10),$Q$8*60)</f>
        <v>#VALUE!</v>
      </c>
      <c r="I1490" s="737" t="str">
        <f>IF(D1490=1,$Q$12/'Data DownlinkStorage Budget'!$M$3,0)</f>
        <v>#VALUE!</v>
      </c>
      <c r="J1490" s="737" t="str">
        <f t="shared" si="388"/>
        <v>#VALUE!</v>
      </c>
      <c r="K1490" s="11"/>
      <c r="L1490" s="737" t="str">
        <f t="shared" si="385"/>
        <v>FOUND product plus housekeeping</v>
      </c>
      <c r="M1490" s="737" t="str">
        <f>MIN($Q$18,$Q$10*60)-IF(D1490=1,$Q$17/'Data DownlinkStorage Budget'!$M$3,0)</f>
        <v>#VALUE!</v>
      </c>
      <c r="N1490" s="182"/>
      <c r="O1490" s="737" t="str">
        <f t="shared" si="389"/>
        <v>#VALUE!</v>
      </c>
      <c r="P1490" s="11"/>
      <c r="Q1490" s="11"/>
      <c r="R1490" s="11"/>
      <c r="S1490" s="11"/>
      <c r="T1490" s="11"/>
      <c r="U1490" s="11"/>
      <c r="V1490" s="11"/>
      <c r="W1490" s="11"/>
      <c r="X1490" s="11"/>
      <c r="Y1490" s="11"/>
      <c r="Z1490" s="11"/>
      <c r="AA1490" s="11"/>
    </row>
    <row r="1491" ht="15.75" customHeight="1">
      <c r="A1491" s="737">
        <f t="shared" si="387"/>
        <v>0</v>
      </c>
      <c r="B1491" s="737">
        <f>A1491/'Orbit Info'!$G$10</f>
        <v>0</v>
      </c>
      <c r="C1491" s="737" t="str">
        <f t="shared" si="380"/>
        <v>Housekeeping and events only</v>
      </c>
      <c r="D1491" s="737">
        <f t="shared" si="381"/>
        <v>1</v>
      </c>
      <c r="E1491" s="737" t="str">
        <f t="shared" si="382"/>
        <v>#VALUE!</v>
      </c>
      <c r="F1491" s="737">
        <v>1.0</v>
      </c>
      <c r="G1491" s="737" t="str">
        <f t="shared" si="383"/>
        <v>#VALUE!</v>
      </c>
      <c r="H1491" s="737" t="str">
        <f>MIN($Q$11/('Orbit Info'!G$10),$Q$8*60)</f>
        <v>#VALUE!</v>
      </c>
      <c r="I1491" s="737" t="str">
        <f>IF(D1491=1,$Q$12/'Data DownlinkStorage Budget'!$M$3,0)</f>
        <v>#VALUE!</v>
      </c>
      <c r="J1491" s="737" t="str">
        <f t="shared" si="388"/>
        <v>#VALUE!</v>
      </c>
      <c r="K1491" s="11"/>
      <c r="L1491" s="737" t="str">
        <f t="shared" si="385"/>
        <v>FOUND product plus housekeeping</v>
      </c>
      <c r="M1491" s="737" t="str">
        <f>MIN($Q$18,$Q$10*60)-IF(D1491=1,$Q$17/'Data DownlinkStorage Budget'!$M$3,0)</f>
        <v>#VALUE!</v>
      </c>
      <c r="N1491" s="182"/>
      <c r="O1491" s="737" t="str">
        <f t="shared" si="389"/>
        <v>#VALUE!</v>
      </c>
      <c r="P1491" s="11"/>
      <c r="Q1491" s="11"/>
      <c r="R1491" s="11"/>
      <c r="S1491" s="11"/>
      <c r="T1491" s="11"/>
      <c r="U1491" s="11"/>
      <c r="V1491" s="11"/>
      <c r="W1491" s="11"/>
      <c r="X1491" s="11"/>
      <c r="Y1491" s="11"/>
      <c r="Z1491" s="11"/>
      <c r="AA1491" s="11"/>
    </row>
    <row r="1492" ht="15.75" customHeight="1">
      <c r="A1492" s="737">
        <f t="shared" si="387"/>
        <v>0</v>
      </c>
      <c r="B1492" s="737">
        <f>A1492/'Orbit Info'!$G$10</f>
        <v>0</v>
      </c>
      <c r="C1492" s="737" t="str">
        <f t="shared" si="380"/>
        <v>Housekeeping and events only</v>
      </c>
      <c r="D1492" s="737">
        <f t="shared" si="381"/>
        <v>1</v>
      </c>
      <c r="E1492" s="737" t="str">
        <f t="shared" si="382"/>
        <v>#VALUE!</v>
      </c>
      <c r="F1492" s="737">
        <v>1.0</v>
      </c>
      <c r="G1492" s="737" t="str">
        <f t="shared" si="383"/>
        <v>#VALUE!</v>
      </c>
      <c r="H1492" s="737" t="str">
        <f>MIN($Q$11/('Orbit Info'!G$10),$Q$8*60)</f>
        <v>#VALUE!</v>
      </c>
      <c r="I1492" s="737" t="str">
        <f>IF(D1492=1,$Q$12/'Data DownlinkStorage Budget'!$M$3,0)</f>
        <v>#VALUE!</v>
      </c>
      <c r="J1492" s="737" t="str">
        <f t="shared" si="388"/>
        <v>#VALUE!</v>
      </c>
      <c r="K1492" s="11"/>
      <c r="L1492" s="737" t="str">
        <f t="shared" si="385"/>
        <v>FOUND product plus housekeeping</v>
      </c>
      <c r="M1492" s="737" t="str">
        <f>MIN($Q$18,$Q$10*60)-IF(D1492=1,$Q$17/'Data DownlinkStorage Budget'!$M$3,0)</f>
        <v>#VALUE!</v>
      </c>
      <c r="N1492" s="182"/>
      <c r="O1492" s="737" t="str">
        <f t="shared" si="389"/>
        <v>#VALUE!</v>
      </c>
      <c r="P1492" s="11"/>
      <c r="Q1492" s="11"/>
      <c r="R1492" s="11"/>
      <c r="S1492" s="11"/>
      <c r="T1492" s="11"/>
      <c r="U1492" s="11"/>
      <c r="V1492" s="11"/>
      <c r="W1492" s="11"/>
      <c r="X1492" s="11"/>
      <c r="Y1492" s="11"/>
      <c r="Z1492" s="11"/>
      <c r="AA1492" s="11"/>
    </row>
    <row r="1493" ht="15.75" customHeight="1">
      <c r="A1493" s="737">
        <f t="shared" si="387"/>
        <v>0</v>
      </c>
      <c r="B1493" s="737">
        <f>A1493/'Orbit Info'!$G$10</f>
        <v>0</v>
      </c>
      <c r="C1493" s="737" t="str">
        <f t="shared" si="380"/>
        <v>Housekeeping and events only</v>
      </c>
      <c r="D1493" s="737">
        <f t="shared" si="381"/>
        <v>1</v>
      </c>
      <c r="E1493" s="737" t="str">
        <f t="shared" si="382"/>
        <v>#VALUE!</v>
      </c>
      <c r="F1493" s="737">
        <v>1.0</v>
      </c>
      <c r="G1493" s="737" t="str">
        <f t="shared" si="383"/>
        <v>#VALUE!</v>
      </c>
      <c r="H1493" s="737" t="str">
        <f>MIN($Q$11/('Orbit Info'!G$10),$Q$8*60)</f>
        <v>#VALUE!</v>
      </c>
      <c r="I1493" s="737" t="str">
        <f>IF(D1493=1,$Q$12/'Data DownlinkStorage Budget'!$M$3,0)</f>
        <v>#VALUE!</v>
      </c>
      <c r="J1493" s="737" t="str">
        <f t="shared" si="388"/>
        <v>#VALUE!</v>
      </c>
      <c r="K1493" s="11"/>
      <c r="L1493" s="737" t="str">
        <f t="shared" si="385"/>
        <v>FOUND product plus housekeeping</v>
      </c>
      <c r="M1493" s="737" t="str">
        <f>MIN($Q$18,$Q$10*60)-IF(D1493=1,$Q$17/'Data DownlinkStorage Budget'!$M$3,0)</f>
        <v>#VALUE!</v>
      </c>
      <c r="N1493" s="182"/>
      <c r="O1493" s="737" t="str">
        <f t="shared" si="389"/>
        <v>#VALUE!</v>
      </c>
      <c r="P1493" s="11"/>
      <c r="Q1493" s="11"/>
      <c r="R1493" s="11"/>
      <c r="S1493" s="11"/>
      <c r="T1493" s="11"/>
      <c r="U1493" s="11"/>
      <c r="V1493" s="11"/>
      <c r="W1493" s="11"/>
      <c r="X1493" s="11"/>
      <c r="Y1493" s="11"/>
      <c r="Z1493" s="11"/>
      <c r="AA1493" s="11"/>
    </row>
    <row r="1494" ht="15.75" customHeight="1">
      <c r="A1494" s="737">
        <f t="shared" si="387"/>
        <v>0</v>
      </c>
      <c r="B1494" s="737">
        <f>A1494/'Orbit Info'!$G$10</f>
        <v>0</v>
      </c>
      <c r="C1494" s="737" t="str">
        <f t="shared" si="380"/>
        <v>Housekeeping and events only</v>
      </c>
      <c r="D1494" s="737">
        <f t="shared" si="381"/>
        <v>1</v>
      </c>
      <c r="E1494" s="737" t="str">
        <f t="shared" si="382"/>
        <v>#VALUE!</v>
      </c>
      <c r="F1494" s="737">
        <v>1.0</v>
      </c>
      <c r="G1494" s="737" t="str">
        <f t="shared" si="383"/>
        <v>#VALUE!</v>
      </c>
      <c r="H1494" s="737" t="str">
        <f>MIN($Q$11/('Orbit Info'!G$10),$Q$8*60)</f>
        <v>#VALUE!</v>
      </c>
      <c r="I1494" s="737" t="str">
        <f>IF(D1494=1,$Q$12/'Data DownlinkStorage Budget'!$M$3,0)</f>
        <v>#VALUE!</v>
      </c>
      <c r="J1494" s="737" t="str">
        <f t="shared" si="388"/>
        <v>#VALUE!</v>
      </c>
      <c r="K1494" s="11"/>
      <c r="L1494" s="737" t="str">
        <f t="shared" si="385"/>
        <v>FOUND product plus housekeeping</v>
      </c>
      <c r="M1494" s="737" t="str">
        <f>MIN($Q$18,$Q$10*60)-IF(D1494=1,$Q$17/'Data DownlinkStorage Budget'!$M$3,0)</f>
        <v>#VALUE!</v>
      </c>
      <c r="N1494" s="182"/>
      <c r="O1494" s="737" t="str">
        <f t="shared" si="389"/>
        <v>#VALUE!</v>
      </c>
      <c r="P1494" s="11"/>
      <c r="Q1494" s="11"/>
      <c r="R1494" s="11"/>
      <c r="S1494" s="11"/>
      <c r="T1494" s="11"/>
      <c r="U1494" s="11"/>
      <c r="V1494" s="11"/>
      <c r="W1494" s="11"/>
      <c r="X1494" s="11"/>
      <c r="Y1494" s="11"/>
      <c r="Z1494" s="11"/>
      <c r="AA1494" s="11"/>
    </row>
    <row r="1495" ht="15.75" customHeight="1">
      <c r="A1495" s="737">
        <f t="shared" si="387"/>
        <v>0</v>
      </c>
      <c r="B1495" s="737">
        <f>A1495/'Orbit Info'!$G$10</f>
        <v>0</v>
      </c>
      <c r="C1495" s="737" t="str">
        <f t="shared" si="380"/>
        <v>Housekeeping and events only</v>
      </c>
      <c r="D1495" s="737">
        <f t="shared" si="381"/>
        <v>1</v>
      </c>
      <c r="E1495" s="737" t="str">
        <f t="shared" si="382"/>
        <v>#VALUE!</v>
      </c>
      <c r="F1495" s="737">
        <v>1.0</v>
      </c>
      <c r="G1495" s="737" t="str">
        <f t="shared" si="383"/>
        <v>#VALUE!</v>
      </c>
      <c r="H1495" s="737" t="str">
        <f>MIN($Q$11/('Orbit Info'!G$10),$Q$8*60)</f>
        <v>#VALUE!</v>
      </c>
      <c r="I1495" s="737" t="str">
        <f>IF(D1495=1,$Q$12/'Data DownlinkStorage Budget'!$M$3,0)</f>
        <v>#VALUE!</v>
      </c>
      <c r="J1495" s="737" t="str">
        <f t="shared" si="388"/>
        <v>#VALUE!</v>
      </c>
      <c r="K1495" s="11"/>
      <c r="L1495" s="737" t="str">
        <f t="shared" si="385"/>
        <v>FOUND product plus housekeeping</v>
      </c>
      <c r="M1495" s="737" t="str">
        <f>MIN($Q$18,$Q$10*60)-IF(D1495=1,$Q$17/'Data DownlinkStorage Budget'!$M$3,0)</f>
        <v>#VALUE!</v>
      </c>
      <c r="N1495" s="182"/>
      <c r="O1495" s="737" t="str">
        <f t="shared" si="389"/>
        <v>#VALUE!</v>
      </c>
      <c r="P1495" s="11"/>
      <c r="Q1495" s="11"/>
      <c r="R1495" s="11"/>
      <c r="S1495" s="11"/>
      <c r="T1495" s="11"/>
      <c r="U1495" s="11"/>
      <c r="V1495" s="11"/>
      <c r="W1495" s="11"/>
      <c r="X1495" s="11"/>
      <c r="Y1495" s="11"/>
      <c r="Z1495" s="11"/>
      <c r="AA1495" s="11"/>
    </row>
    <row r="1496" ht="15.75" customHeight="1">
      <c r="A1496" s="737">
        <f t="shared" si="387"/>
        <v>0</v>
      </c>
      <c r="B1496" s="737">
        <f>A1496/'Orbit Info'!$G$10</f>
        <v>0</v>
      </c>
      <c r="C1496" s="737" t="str">
        <f t="shared" si="380"/>
        <v>Housekeeping and events only</v>
      </c>
      <c r="D1496" s="737">
        <f t="shared" si="381"/>
        <v>1</v>
      </c>
      <c r="E1496" s="737" t="str">
        <f t="shared" si="382"/>
        <v>#VALUE!</v>
      </c>
      <c r="F1496" s="737">
        <v>1.0</v>
      </c>
      <c r="G1496" s="737" t="str">
        <f t="shared" si="383"/>
        <v>#VALUE!</v>
      </c>
      <c r="H1496" s="737" t="str">
        <f>MIN($Q$11/('Orbit Info'!G$10),$Q$8*60)</f>
        <v>#VALUE!</v>
      </c>
      <c r="I1496" s="737" t="str">
        <f>IF(D1496=1,$Q$12/'Data DownlinkStorage Budget'!$M$3,0)</f>
        <v>#VALUE!</v>
      </c>
      <c r="J1496" s="737" t="str">
        <f t="shared" si="388"/>
        <v>#VALUE!</v>
      </c>
      <c r="K1496" s="11"/>
      <c r="L1496" s="737" t="str">
        <f t="shared" si="385"/>
        <v>FOUND product plus housekeeping</v>
      </c>
      <c r="M1496" s="737" t="str">
        <f>MIN($Q$18,$Q$10*60)-IF(D1496=1,$Q$17/'Data DownlinkStorage Budget'!$M$3,0)</f>
        <v>#VALUE!</v>
      </c>
      <c r="N1496" s="182"/>
      <c r="O1496" s="737" t="str">
        <f t="shared" si="389"/>
        <v>#VALUE!</v>
      </c>
      <c r="P1496" s="11"/>
      <c r="Q1496" s="11"/>
      <c r="R1496" s="11"/>
      <c r="S1496" s="11"/>
      <c r="T1496" s="11"/>
      <c r="U1496" s="11"/>
      <c r="V1496" s="11"/>
      <c r="W1496" s="11"/>
      <c r="X1496" s="11"/>
      <c r="Y1496" s="11"/>
      <c r="Z1496" s="11"/>
      <c r="AA1496" s="11"/>
    </row>
    <row r="1497" ht="15.75" customHeight="1">
      <c r="A1497" s="737">
        <f t="shared" si="387"/>
        <v>0</v>
      </c>
      <c r="B1497" s="737">
        <f>A1497/'Orbit Info'!$G$10</f>
        <v>0</v>
      </c>
      <c r="C1497" s="737" t="str">
        <f t="shared" si="380"/>
        <v>Housekeeping and events only</v>
      </c>
      <c r="D1497" s="737">
        <f t="shared" si="381"/>
        <v>1</v>
      </c>
      <c r="E1497" s="737" t="str">
        <f t="shared" si="382"/>
        <v>#VALUE!</v>
      </c>
      <c r="F1497" s="737">
        <v>1.0</v>
      </c>
      <c r="G1497" s="737" t="str">
        <f t="shared" si="383"/>
        <v>#VALUE!</v>
      </c>
      <c r="H1497" s="737" t="str">
        <f>MIN($Q$11/('Orbit Info'!G$10),$Q$8*60)</f>
        <v>#VALUE!</v>
      </c>
      <c r="I1497" s="737" t="str">
        <f>IF(D1497=1,$Q$12/'Data DownlinkStorage Budget'!$M$3,0)</f>
        <v>#VALUE!</v>
      </c>
      <c r="J1497" s="737" t="str">
        <f t="shared" si="388"/>
        <v>#VALUE!</v>
      </c>
      <c r="K1497" s="11"/>
      <c r="L1497" s="737" t="str">
        <f t="shared" si="385"/>
        <v>FOUND product plus housekeeping</v>
      </c>
      <c r="M1497" s="737" t="str">
        <f>MIN($Q$18,$Q$10*60)-IF(D1497=1,$Q$17/'Data DownlinkStorage Budget'!$M$3,0)</f>
        <v>#VALUE!</v>
      </c>
      <c r="N1497" s="182"/>
      <c r="O1497" s="737" t="str">
        <f t="shared" si="389"/>
        <v>#VALUE!</v>
      </c>
      <c r="P1497" s="11"/>
      <c r="Q1497" s="11"/>
      <c r="R1497" s="11"/>
      <c r="S1497" s="11"/>
      <c r="T1497" s="11"/>
      <c r="U1497" s="11"/>
      <c r="V1497" s="11"/>
      <c r="W1497" s="11"/>
      <c r="X1497" s="11"/>
      <c r="Y1497" s="11"/>
      <c r="Z1497" s="11"/>
      <c r="AA1497" s="11"/>
    </row>
    <row r="1498" ht="15.75" customHeight="1">
      <c r="A1498" s="737">
        <f t="shared" si="387"/>
        <v>0</v>
      </c>
      <c r="B1498" s="737">
        <f>A1498/'Orbit Info'!$G$10</f>
        <v>0</v>
      </c>
      <c r="C1498" s="737" t="str">
        <f t="shared" si="380"/>
        <v>Housekeeping and events only</v>
      </c>
      <c r="D1498" s="737">
        <f t="shared" si="381"/>
        <v>1</v>
      </c>
      <c r="E1498" s="737" t="str">
        <f t="shared" si="382"/>
        <v>#VALUE!</v>
      </c>
      <c r="F1498" s="737">
        <v>1.0</v>
      </c>
      <c r="G1498" s="737" t="str">
        <f t="shared" si="383"/>
        <v>#VALUE!</v>
      </c>
      <c r="H1498" s="737" t="str">
        <f>MIN($Q$11/('Orbit Info'!G$10),$Q$8*60)</f>
        <v>#VALUE!</v>
      </c>
      <c r="I1498" s="737" t="str">
        <f>IF(D1498=1,$Q$12/'Data DownlinkStorage Budget'!$M$3,0)</f>
        <v>#VALUE!</v>
      </c>
      <c r="J1498" s="737" t="str">
        <f t="shared" si="388"/>
        <v>#VALUE!</v>
      </c>
      <c r="K1498" s="11"/>
      <c r="L1498" s="737" t="str">
        <f t="shared" si="385"/>
        <v>FOUND product plus housekeeping</v>
      </c>
      <c r="M1498" s="737" t="str">
        <f>MIN($Q$18,$Q$10*60)-IF(D1498=1,$Q$17/'Data DownlinkStorage Budget'!$M$3,0)</f>
        <v>#VALUE!</v>
      </c>
      <c r="N1498" s="182"/>
      <c r="O1498" s="737" t="str">
        <f t="shared" si="389"/>
        <v>#VALUE!</v>
      </c>
      <c r="P1498" s="11"/>
      <c r="Q1498" s="11"/>
      <c r="R1498" s="11"/>
      <c r="S1498" s="11"/>
      <c r="T1498" s="11"/>
      <c r="U1498" s="11"/>
      <c r="V1498" s="11"/>
      <c r="W1498" s="11"/>
      <c r="X1498" s="11"/>
      <c r="Y1498" s="11"/>
      <c r="Z1498" s="11"/>
      <c r="AA1498" s="11"/>
    </row>
    <row r="1499" ht="15.75" customHeight="1">
      <c r="A1499" s="737">
        <f t="shared" si="387"/>
        <v>0</v>
      </c>
      <c r="B1499" s="737">
        <f>A1499/'Orbit Info'!$G$10</f>
        <v>0</v>
      </c>
      <c r="C1499" s="737" t="str">
        <f t="shared" si="380"/>
        <v>Housekeeping and events only</v>
      </c>
      <c r="D1499" s="737">
        <f t="shared" si="381"/>
        <v>1</v>
      </c>
      <c r="E1499" s="737" t="str">
        <f t="shared" si="382"/>
        <v>#VALUE!</v>
      </c>
      <c r="F1499" s="737">
        <v>1.0</v>
      </c>
      <c r="G1499" s="737" t="str">
        <f t="shared" si="383"/>
        <v>#VALUE!</v>
      </c>
      <c r="H1499" s="737" t="str">
        <f>MIN($Q$11/('Orbit Info'!G$10),$Q$8*60)</f>
        <v>#VALUE!</v>
      </c>
      <c r="I1499" s="737" t="str">
        <f>IF(D1499=1,$Q$12/'Data DownlinkStorage Budget'!$M$3,0)</f>
        <v>#VALUE!</v>
      </c>
      <c r="J1499" s="737" t="str">
        <f t="shared" si="388"/>
        <v>#VALUE!</v>
      </c>
      <c r="K1499" s="11"/>
      <c r="L1499" s="737" t="str">
        <f t="shared" si="385"/>
        <v>FOUND product plus housekeeping</v>
      </c>
      <c r="M1499" s="737" t="str">
        <f>MIN($Q$18,$Q$10*60)-IF(D1499=1,$Q$17/'Data DownlinkStorage Budget'!$M$3,0)</f>
        <v>#VALUE!</v>
      </c>
      <c r="N1499" s="182"/>
      <c r="O1499" s="737" t="str">
        <f t="shared" si="389"/>
        <v>#VALUE!</v>
      </c>
      <c r="P1499" s="11"/>
      <c r="Q1499" s="11"/>
      <c r="R1499" s="11"/>
      <c r="S1499" s="11"/>
      <c r="T1499" s="11"/>
      <c r="U1499" s="11"/>
      <c r="V1499" s="11"/>
      <c r="W1499" s="11"/>
      <c r="X1499" s="11"/>
      <c r="Y1499" s="11"/>
      <c r="Z1499" s="11"/>
      <c r="AA1499" s="11"/>
    </row>
    <row r="1500" ht="15.75" customHeight="1">
      <c r="A1500" s="737">
        <f t="shared" si="387"/>
        <v>0</v>
      </c>
      <c r="B1500" s="737">
        <f>A1500/'Orbit Info'!$G$10</f>
        <v>0</v>
      </c>
      <c r="C1500" s="737" t="str">
        <f t="shared" si="380"/>
        <v>Housekeeping and events only</v>
      </c>
      <c r="D1500" s="737">
        <f t="shared" si="381"/>
        <v>1</v>
      </c>
      <c r="E1500" s="737" t="str">
        <f t="shared" si="382"/>
        <v>#VALUE!</v>
      </c>
      <c r="F1500" s="737">
        <v>1.0</v>
      </c>
      <c r="G1500" s="737" t="str">
        <f t="shared" si="383"/>
        <v>#VALUE!</v>
      </c>
      <c r="H1500" s="737" t="str">
        <f>MIN($Q$11/('Orbit Info'!G$10),$Q$8*60)</f>
        <v>#VALUE!</v>
      </c>
      <c r="I1500" s="737" t="str">
        <f>IF(D1500=1,$Q$12/'Data DownlinkStorage Budget'!$M$3,0)</f>
        <v>#VALUE!</v>
      </c>
      <c r="J1500" s="737" t="str">
        <f t="shared" si="388"/>
        <v>#VALUE!</v>
      </c>
      <c r="K1500" s="11"/>
      <c r="L1500" s="737" t="str">
        <f t="shared" si="385"/>
        <v>FOUND product plus housekeeping</v>
      </c>
      <c r="M1500" s="737" t="str">
        <f>MIN($Q$18,$Q$10*60)-IF(D1500=1,$Q$17/'Data DownlinkStorage Budget'!$M$3,0)</f>
        <v>#VALUE!</v>
      </c>
      <c r="N1500" s="182"/>
      <c r="O1500" s="737" t="str">
        <f t="shared" si="389"/>
        <v>#VALUE!</v>
      </c>
      <c r="P1500" s="11"/>
      <c r="Q1500" s="11"/>
      <c r="R1500" s="11"/>
      <c r="S1500" s="11"/>
      <c r="T1500" s="11"/>
      <c r="U1500" s="11"/>
      <c r="V1500" s="11"/>
      <c r="W1500" s="11"/>
      <c r="X1500" s="11"/>
      <c r="Y1500" s="11"/>
      <c r="Z1500" s="11"/>
      <c r="AA1500" s="11"/>
    </row>
    <row r="1501" ht="15.75" customHeight="1">
      <c r="A1501" s="737">
        <f t="shared" si="387"/>
        <v>0</v>
      </c>
      <c r="B1501" s="737">
        <f>A1501/'Orbit Info'!$G$10</f>
        <v>0</v>
      </c>
      <c r="C1501" s="737" t="str">
        <f t="shared" si="380"/>
        <v>Housekeeping and events only</v>
      </c>
      <c r="D1501" s="737">
        <f t="shared" si="381"/>
        <v>1</v>
      </c>
      <c r="E1501" s="737" t="str">
        <f t="shared" si="382"/>
        <v>#VALUE!</v>
      </c>
      <c r="F1501" s="737">
        <v>1.0</v>
      </c>
      <c r="G1501" s="737" t="str">
        <f t="shared" si="383"/>
        <v>#VALUE!</v>
      </c>
      <c r="H1501" s="737" t="str">
        <f>MIN($Q$11/('Orbit Info'!G$10),$Q$8*60)</f>
        <v>#VALUE!</v>
      </c>
      <c r="I1501" s="737" t="str">
        <f>IF(D1501=1,$Q$12/'Data DownlinkStorage Budget'!$M$3,0)</f>
        <v>#VALUE!</v>
      </c>
      <c r="J1501" s="737" t="str">
        <f t="shared" si="388"/>
        <v>#VALUE!</v>
      </c>
      <c r="K1501" s="11"/>
      <c r="L1501" s="737" t="str">
        <f t="shared" si="385"/>
        <v>FOUND product plus housekeeping</v>
      </c>
      <c r="M1501" s="737" t="str">
        <f>MIN($Q$18,$Q$10*60)-IF(D1501=1,$Q$17/'Data DownlinkStorage Budget'!$M$3,0)</f>
        <v>#VALUE!</v>
      </c>
      <c r="N1501" s="182"/>
      <c r="O1501" s="737" t="str">
        <f t="shared" si="389"/>
        <v>#VALUE!</v>
      </c>
      <c r="P1501" s="11"/>
      <c r="Q1501" s="11"/>
      <c r="R1501" s="11"/>
      <c r="S1501" s="11"/>
      <c r="T1501" s="11"/>
      <c r="U1501" s="11"/>
      <c r="V1501" s="11"/>
      <c r="W1501" s="11"/>
      <c r="X1501" s="11"/>
      <c r="Y1501" s="11"/>
      <c r="Z1501" s="11"/>
      <c r="AA1501" s="11"/>
    </row>
    <row r="1502" ht="15.75" customHeight="1">
      <c r="A1502" s="737">
        <f t="shared" si="387"/>
        <v>0</v>
      </c>
      <c r="B1502" s="737">
        <f>A1502/'Orbit Info'!$G$10</f>
        <v>0</v>
      </c>
      <c r="C1502" s="737" t="str">
        <f t="shared" si="380"/>
        <v>Housekeeping and events only</v>
      </c>
      <c r="D1502" s="737">
        <f t="shared" si="381"/>
        <v>1</v>
      </c>
      <c r="E1502" s="737" t="str">
        <f t="shared" si="382"/>
        <v>#VALUE!</v>
      </c>
      <c r="F1502" s="737">
        <v>1.0</v>
      </c>
      <c r="G1502" s="737" t="str">
        <f t="shared" si="383"/>
        <v>#VALUE!</v>
      </c>
      <c r="H1502" s="737" t="str">
        <f>MIN($Q$11/('Orbit Info'!G$10),$Q$8*60)</f>
        <v>#VALUE!</v>
      </c>
      <c r="I1502" s="737" t="str">
        <f>IF(D1502=1,$Q$12/'Data DownlinkStorage Budget'!$M$3,0)</f>
        <v>#VALUE!</v>
      </c>
      <c r="J1502" s="737" t="str">
        <f t="shared" si="388"/>
        <v>#VALUE!</v>
      </c>
      <c r="K1502" s="11"/>
      <c r="L1502" s="737" t="str">
        <f t="shared" si="385"/>
        <v>FOUND product plus housekeeping</v>
      </c>
      <c r="M1502" s="737" t="str">
        <f>MIN($Q$18,$Q$10*60)-IF(D1502=1,$Q$17/'Data DownlinkStorage Budget'!$M$3,0)</f>
        <v>#VALUE!</v>
      </c>
      <c r="N1502" s="182"/>
      <c r="O1502" s="737" t="str">
        <f t="shared" si="389"/>
        <v>#VALUE!</v>
      </c>
      <c r="P1502" s="11"/>
      <c r="Q1502" s="11"/>
      <c r="R1502" s="11"/>
      <c r="S1502" s="11"/>
      <c r="T1502" s="11"/>
      <c r="U1502" s="11"/>
      <c r="V1502" s="11"/>
      <c r="W1502" s="11"/>
      <c r="X1502" s="11"/>
      <c r="Y1502" s="11"/>
      <c r="Z1502" s="11"/>
      <c r="AA1502" s="11"/>
    </row>
    <row r="1503" ht="15.75" customHeight="1">
      <c r="A1503" s="737">
        <f t="shared" si="387"/>
        <v>0</v>
      </c>
      <c r="B1503" s="737">
        <f>A1503/'Orbit Info'!$G$10</f>
        <v>0</v>
      </c>
      <c r="C1503" s="737" t="str">
        <f t="shared" si="380"/>
        <v>Housekeeping and events only</v>
      </c>
      <c r="D1503" s="737">
        <f t="shared" si="381"/>
        <v>1</v>
      </c>
      <c r="E1503" s="737" t="str">
        <f t="shared" si="382"/>
        <v>#VALUE!</v>
      </c>
      <c r="F1503" s="737">
        <v>1.0</v>
      </c>
      <c r="G1503" s="737" t="str">
        <f t="shared" si="383"/>
        <v>#VALUE!</v>
      </c>
      <c r="H1503" s="737" t="str">
        <f>MIN($Q$11/('Orbit Info'!G$10),$Q$8*60)</f>
        <v>#VALUE!</v>
      </c>
      <c r="I1503" s="737" t="str">
        <f>IF(D1503=1,$Q$12/'Data DownlinkStorage Budget'!$M$3,0)</f>
        <v>#VALUE!</v>
      </c>
      <c r="J1503" s="737" t="str">
        <f t="shared" si="388"/>
        <v>#VALUE!</v>
      </c>
      <c r="K1503" s="11"/>
      <c r="L1503" s="737" t="str">
        <f t="shared" si="385"/>
        <v>FOUND product plus housekeeping</v>
      </c>
      <c r="M1503" s="737" t="str">
        <f>MIN($Q$18,$Q$10*60)-IF(D1503=1,$Q$17/'Data DownlinkStorage Budget'!$M$3,0)</f>
        <v>#VALUE!</v>
      </c>
      <c r="N1503" s="182"/>
      <c r="O1503" s="737" t="str">
        <f t="shared" si="389"/>
        <v>#VALUE!</v>
      </c>
      <c r="P1503" s="11"/>
      <c r="Q1503" s="11"/>
      <c r="R1503" s="11"/>
      <c r="S1503" s="11"/>
      <c r="T1503" s="11"/>
      <c r="U1503" s="11"/>
      <c r="V1503" s="11"/>
      <c r="W1503" s="11"/>
      <c r="X1503" s="11"/>
      <c r="Y1503" s="11"/>
      <c r="Z1503" s="11"/>
      <c r="AA1503" s="11"/>
    </row>
    <row r="1504" ht="15.75" customHeight="1">
      <c r="A1504" s="737">
        <f t="shared" si="387"/>
        <v>0</v>
      </c>
      <c r="B1504" s="737">
        <f>A1504/'Orbit Info'!$G$10</f>
        <v>0</v>
      </c>
      <c r="C1504" s="737" t="str">
        <f t="shared" si="380"/>
        <v>Housekeeping and events only</v>
      </c>
      <c r="D1504" s="737">
        <f t="shared" si="381"/>
        <v>1</v>
      </c>
      <c r="E1504" s="737" t="str">
        <f t="shared" si="382"/>
        <v>#VALUE!</v>
      </c>
      <c r="F1504" s="737">
        <v>1.0</v>
      </c>
      <c r="G1504" s="737" t="str">
        <f t="shared" si="383"/>
        <v>#VALUE!</v>
      </c>
      <c r="H1504" s="737" t="str">
        <f>MIN($Q$11/('Orbit Info'!G$10),$Q$8*60)</f>
        <v>#VALUE!</v>
      </c>
      <c r="I1504" s="737" t="str">
        <f>IF(D1504=1,$Q$12/'Data DownlinkStorage Budget'!$M$3,0)</f>
        <v>#VALUE!</v>
      </c>
      <c r="J1504" s="737" t="str">
        <f t="shared" si="388"/>
        <v>#VALUE!</v>
      </c>
      <c r="K1504" s="11"/>
      <c r="L1504" s="737" t="str">
        <f t="shared" si="385"/>
        <v>FOUND product plus housekeeping</v>
      </c>
      <c r="M1504" s="737" t="str">
        <f>MIN($Q$18,$Q$10*60)-IF(D1504=1,$Q$17/'Data DownlinkStorage Budget'!$M$3,0)</f>
        <v>#VALUE!</v>
      </c>
      <c r="N1504" s="182"/>
      <c r="O1504" s="737" t="str">
        <f t="shared" si="389"/>
        <v>#VALUE!</v>
      </c>
      <c r="P1504" s="11"/>
      <c r="Q1504" s="11"/>
      <c r="R1504" s="11"/>
      <c r="S1504" s="11"/>
      <c r="T1504" s="11"/>
      <c r="U1504" s="11"/>
      <c r="V1504" s="11"/>
      <c r="W1504" s="11"/>
      <c r="X1504" s="11"/>
      <c r="Y1504" s="11"/>
      <c r="Z1504" s="11"/>
      <c r="AA1504" s="11"/>
    </row>
    <row r="1505" ht="15.75" customHeight="1">
      <c r="A1505" s="737">
        <f t="shared" si="387"/>
        <v>0</v>
      </c>
      <c r="B1505" s="737">
        <f>A1505/'Orbit Info'!$G$10</f>
        <v>0</v>
      </c>
      <c r="C1505" s="737" t="str">
        <f t="shared" si="380"/>
        <v>Housekeeping and events only</v>
      </c>
      <c r="D1505" s="737">
        <f t="shared" si="381"/>
        <v>1</v>
      </c>
      <c r="E1505" s="737" t="str">
        <f t="shared" si="382"/>
        <v>#VALUE!</v>
      </c>
      <c r="F1505" s="737">
        <v>1.0</v>
      </c>
      <c r="G1505" s="737" t="str">
        <f t="shared" si="383"/>
        <v>#VALUE!</v>
      </c>
      <c r="H1505" s="737" t="str">
        <f>MIN($Q$11/('Orbit Info'!G$10),$Q$8*60)</f>
        <v>#VALUE!</v>
      </c>
      <c r="I1505" s="737" t="str">
        <f>IF(D1505=1,$Q$12/'Data DownlinkStorage Budget'!$M$3,0)</f>
        <v>#VALUE!</v>
      </c>
      <c r="J1505" s="737" t="str">
        <f t="shared" si="388"/>
        <v>#VALUE!</v>
      </c>
      <c r="K1505" s="11"/>
      <c r="L1505" s="737" t="str">
        <f t="shared" si="385"/>
        <v>FOUND product plus housekeeping</v>
      </c>
      <c r="M1505" s="737" t="str">
        <f>MIN($Q$18,$Q$10*60)-IF(D1505=1,$Q$17/'Data DownlinkStorage Budget'!$M$3,0)</f>
        <v>#VALUE!</v>
      </c>
      <c r="N1505" s="182"/>
      <c r="O1505" s="737" t="str">
        <f t="shared" si="389"/>
        <v>#VALUE!</v>
      </c>
      <c r="P1505" s="11"/>
      <c r="Q1505" s="11"/>
      <c r="R1505" s="11"/>
      <c r="S1505" s="11"/>
      <c r="T1505" s="11"/>
      <c r="U1505" s="11"/>
      <c r="V1505" s="11"/>
      <c r="W1505" s="11"/>
      <c r="X1505" s="11"/>
      <c r="Y1505" s="11"/>
      <c r="Z1505" s="11"/>
      <c r="AA1505" s="11"/>
    </row>
    <row r="1506" ht="15.75" customHeight="1">
      <c r="A1506" s="737">
        <f t="shared" si="387"/>
        <v>0</v>
      </c>
      <c r="B1506" s="737">
        <f>A1506/'Orbit Info'!$G$10</f>
        <v>0</v>
      </c>
      <c r="C1506" s="737" t="str">
        <f t="shared" si="380"/>
        <v>Housekeeping and events only</v>
      </c>
      <c r="D1506" s="737">
        <f t="shared" si="381"/>
        <v>1</v>
      </c>
      <c r="E1506" s="737" t="str">
        <f t="shared" si="382"/>
        <v>#VALUE!</v>
      </c>
      <c r="F1506" s="737">
        <v>1.0</v>
      </c>
      <c r="G1506" s="737" t="str">
        <f t="shared" si="383"/>
        <v>#VALUE!</v>
      </c>
      <c r="H1506" s="737" t="str">
        <f>MIN($Q$11/('Orbit Info'!G$10),$Q$8*60)</f>
        <v>#VALUE!</v>
      </c>
      <c r="I1506" s="737" t="str">
        <f>IF(D1506=1,$Q$12/'Data DownlinkStorage Budget'!$M$3,0)</f>
        <v>#VALUE!</v>
      </c>
      <c r="J1506" s="737" t="str">
        <f t="shared" si="388"/>
        <v>#VALUE!</v>
      </c>
      <c r="K1506" s="11"/>
      <c r="L1506" s="737" t="str">
        <f t="shared" si="385"/>
        <v>FOUND product plus housekeeping</v>
      </c>
      <c r="M1506" s="737" t="str">
        <f>MIN($Q$18,$Q$10*60)-IF(D1506=1,$Q$17/'Data DownlinkStorage Budget'!$M$3,0)</f>
        <v>#VALUE!</v>
      </c>
      <c r="N1506" s="182"/>
      <c r="O1506" s="737" t="str">
        <f t="shared" si="389"/>
        <v>#VALUE!</v>
      </c>
      <c r="P1506" s="11"/>
      <c r="Q1506" s="11"/>
      <c r="R1506" s="11"/>
      <c r="S1506" s="11"/>
      <c r="T1506" s="11"/>
      <c r="U1506" s="11"/>
      <c r="V1506" s="11"/>
      <c r="W1506" s="11"/>
      <c r="X1506" s="11"/>
      <c r="Y1506" s="11"/>
      <c r="Z1506" s="11"/>
      <c r="AA1506" s="11"/>
    </row>
    <row r="1507" ht="15.75" customHeight="1">
      <c r="A1507" s="737">
        <f t="shared" si="387"/>
        <v>0</v>
      </c>
      <c r="B1507" s="737">
        <f>A1507/'Orbit Info'!$G$10</f>
        <v>0</v>
      </c>
      <c r="C1507" s="737" t="str">
        <f t="shared" si="380"/>
        <v>Housekeeping and events only</v>
      </c>
      <c r="D1507" s="737">
        <f t="shared" si="381"/>
        <v>1</v>
      </c>
      <c r="E1507" s="737" t="str">
        <f t="shared" si="382"/>
        <v>#VALUE!</v>
      </c>
      <c r="F1507" s="737">
        <v>1.0</v>
      </c>
      <c r="G1507" s="737" t="str">
        <f t="shared" si="383"/>
        <v>#VALUE!</v>
      </c>
      <c r="H1507" s="737" t="str">
        <f>MIN($Q$11/('Orbit Info'!G$10),$Q$8*60)</f>
        <v>#VALUE!</v>
      </c>
      <c r="I1507" s="737" t="str">
        <f>IF(D1507=1,$Q$12/'Data DownlinkStorage Budget'!$M$3,0)</f>
        <v>#VALUE!</v>
      </c>
      <c r="J1507" s="737" t="str">
        <f t="shared" si="388"/>
        <v>#VALUE!</v>
      </c>
      <c r="K1507" s="11"/>
      <c r="L1507" s="737" t="str">
        <f t="shared" si="385"/>
        <v>FOUND product plus housekeeping</v>
      </c>
      <c r="M1507" s="737" t="str">
        <f>MIN($Q$18,$Q$10*60)-IF(D1507=1,$Q$17/'Data DownlinkStorage Budget'!$M$3,0)</f>
        <v>#VALUE!</v>
      </c>
      <c r="N1507" s="182"/>
      <c r="O1507" s="737" t="str">
        <f t="shared" si="389"/>
        <v>#VALUE!</v>
      </c>
      <c r="P1507" s="11"/>
      <c r="Q1507" s="11"/>
      <c r="R1507" s="11"/>
      <c r="S1507" s="11"/>
      <c r="T1507" s="11"/>
      <c r="U1507" s="11"/>
      <c r="V1507" s="11"/>
      <c r="W1507" s="11"/>
      <c r="X1507" s="11"/>
      <c r="Y1507" s="11"/>
      <c r="Z1507" s="11"/>
      <c r="AA1507" s="11"/>
    </row>
    <row r="1508" ht="15.75" customHeight="1">
      <c r="A1508" s="737">
        <f t="shared" si="387"/>
        <v>0</v>
      </c>
      <c r="B1508" s="737">
        <f>A1508/'Orbit Info'!$G$10</f>
        <v>0</v>
      </c>
      <c r="C1508" s="737" t="str">
        <f t="shared" si="380"/>
        <v>Housekeeping and events only</v>
      </c>
      <c r="D1508" s="737">
        <f t="shared" si="381"/>
        <v>1</v>
      </c>
      <c r="E1508" s="737" t="str">
        <f t="shared" si="382"/>
        <v>#VALUE!</v>
      </c>
      <c r="F1508" s="737">
        <v>1.0</v>
      </c>
      <c r="G1508" s="737" t="str">
        <f t="shared" si="383"/>
        <v>#VALUE!</v>
      </c>
      <c r="H1508" s="737" t="str">
        <f>MIN($Q$11/('Orbit Info'!G$10),$Q$8*60)</f>
        <v>#VALUE!</v>
      </c>
      <c r="I1508" s="737" t="str">
        <f>IF(D1508=1,$Q$12/'Data DownlinkStorage Budget'!$M$3,0)</f>
        <v>#VALUE!</v>
      </c>
      <c r="J1508" s="737" t="str">
        <f t="shared" si="388"/>
        <v>#VALUE!</v>
      </c>
      <c r="K1508" s="11"/>
      <c r="L1508" s="737" t="str">
        <f t="shared" si="385"/>
        <v>FOUND product plus housekeeping</v>
      </c>
      <c r="M1508" s="737" t="str">
        <f>MIN($Q$18,$Q$10*60)-IF(D1508=1,$Q$17/'Data DownlinkStorage Budget'!$M$3,0)</f>
        <v>#VALUE!</v>
      </c>
      <c r="N1508" s="182"/>
      <c r="O1508" s="737" t="str">
        <f t="shared" si="389"/>
        <v>#VALUE!</v>
      </c>
      <c r="P1508" s="11"/>
      <c r="Q1508" s="11"/>
      <c r="R1508" s="11"/>
      <c r="S1508" s="11"/>
      <c r="T1508" s="11"/>
      <c r="U1508" s="11"/>
      <c r="V1508" s="11"/>
      <c r="W1508" s="11"/>
      <c r="X1508" s="11"/>
      <c r="Y1508" s="11"/>
      <c r="Z1508" s="11"/>
      <c r="AA1508" s="11"/>
    </row>
    <row r="1509" ht="15.75" customHeight="1">
      <c r="A1509" s="737">
        <f t="shared" si="387"/>
        <v>0</v>
      </c>
      <c r="B1509" s="737">
        <f>A1509/'Orbit Info'!$G$10</f>
        <v>0</v>
      </c>
      <c r="C1509" s="737" t="str">
        <f t="shared" si="380"/>
        <v>Housekeeping and events only</v>
      </c>
      <c r="D1509" s="737">
        <f t="shared" si="381"/>
        <v>1</v>
      </c>
      <c r="E1509" s="737" t="str">
        <f t="shared" si="382"/>
        <v>#VALUE!</v>
      </c>
      <c r="F1509" s="737">
        <v>1.0</v>
      </c>
      <c r="G1509" s="737" t="str">
        <f t="shared" si="383"/>
        <v>#VALUE!</v>
      </c>
      <c r="H1509" s="737" t="str">
        <f>MIN($Q$11/('Orbit Info'!G$10),$Q$8*60)</f>
        <v>#VALUE!</v>
      </c>
      <c r="I1509" s="737" t="str">
        <f>IF(D1509=1,$Q$12/'Data DownlinkStorage Budget'!$M$3,0)</f>
        <v>#VALUE!</v>
      </c>
      <c r="J1509" s="737" t="str">
        <f t="shared" si="388"/>
        <v>#VALUE!</v>
      </c>
      <c r="K1509" s="11"/>
      <c r="L1509" s="737" t="str">
        <f t="shared" si="385"/>
        <v>FOUND product plus housekeeping</v>
      </c>
      <c r="M1509" s="737" t="str">
        <f>MIN($Q$18,$Q$10*60)-IF(D1509=1,$Q$17/'Data DownlinkStorage Budget'!$M$3,0)</f>
        <v>#VALUE!</v>
      </c>
      <c r="N1509" s="182"/>
      <c r="O1509" s="737" t="str">
        <f t="shared" si="389"/>
        <v>#VALUE!</v>
      </c>
      <c r="P1509" s="11"/>
      <c r="Q1509" s="11"/>
      <c r="R1509" s="11"/>
      <c r="S1509" s="11"/>
      <c r="T1509" s="11"/>
      <c r="U1509" s="11"/>
      <c r="V1509" s="11"/>
      <c r="W1509" s="11"/>
      <c r="X1509" s="11"/>
      <c r="Y1509" s="11"/>
      <c r="Z1509" s="11"/>
      <c r="AA1509" s="11"/>
    </row>
    <row r="1510" ht="15.75" customHeight="1">
      <c r="A1510" s="737">
        <f t="shared" si="387"/>
        <v>0</v>
      </c>
      <c r="B1510" s="737">
        <f>A1510/'Orbit Info'!$G$10</f>
        <v>0</v>
      </c>
      <c r="C1510" s="737" t="str">
        <f t="shared" si="380"/>
        <v>Housekeeping and events only</v>
      </c>
      <c r="D1510" s="737">
        <f t="shared" si="381"/>
        <v>1</v>
      </c>
      <c r="E1510" s="737" t="str">
        <f t="shared" si="382"/>
        <v>#VALUE!</v>
      </c>
      <c r="F1510" s="737">
        <v>1.0</v>
      </c>
      <c r="G1510" s="737" t="str">
        <f t="shared" si="383"/>
        <v>#VALUE!</v>
      </c>
      <c r="H1510" s="737" t="str">
        <f>MIN($Q$11/('Orbit Info'!G$10),$Q$8*60)</f>
        <v>#VALUE!</v>
      </c>
      <c r="I1510" s="737" t="str">
        <f>IF(D1510=1,$Q$12/'Data DownlinkStorage Budget'!$M$3,0)</f>
        <v>#VALUE!</v>
      </c>
      <c r="J1510" s="737" t="str">
        <f t="shared" si="388"/>
        <v>#VALUE!</v>
      </c>
      <c r="K1510" s="11"/>
      <c r="L1510" s="737" t="str">
        <f t="shared" si="385"/>
        <v>FOUND product plus housekeeping</v>
      </c>
      <c r="M1510" s="737" t="str">
        <f>MIN($Q$18,$Q$10*60)-IF(D1510=1,$Q$17/'Data DownlinkStorage Budget'!$M$3,0)</f>
        <v>#VALUE!</v>
      </c>
      <c r="N1510" s="182"/>
      <c r="O1510" s="737" t="str">
        <f t="shared" si="389"/>
        <v>#VALUE!</v>
      </c>
      <c r="P1510" s="11"/>
      <c r="Q1510" s="11"/>
      <c r="R1510" s="11"/>
      <c r="S1510" s="11"/>
      <c r="T1510" s="11"/>
      <c r="U1510" s="11"/>
      <c r="V1510" s="11"/>
      <c r="W1510" s="11"/>
      <c r="X1510" s="11"/>
      <c r="Y1510" s="11"/>
      <c r="Z1510" s="11"/>
      <c r="AA1510" s="11"/>
    </row>
    <row r="1511" ht="15.75" customHeight="1">
      <c r="A1511" s="737">
        <f t="shared" si="387"/>
        <v>0</v>
      </c>
      <c r="B1511" s="737">
        <f>A1511/'Orbit Info'!$G$10</f>
        <v>0</v>
      </c>
      <c r="C1511" s="737" t="str">
        <f t="shared" si="380"/>
        <v>Housekeeping and events only</v>
      </c>
      <c r="D1511" s="737">
        <f t="shared" si="381"/>
        <v>1</v>
      </c>
      <c r="E1511" s="737" t="str">
        <f t="shared" si="382"/>
        <v>#VALUE!</v>
      </c>
      <c r="F1511" s="737">
        <v>1.0</v>
      </c>
      <c r="G1511" s="737" t="str">
        <f t="shared" si="383"/>
        <v>#VALUE!</v>
      </c>
      <c r="H1511" s="737" t="str">
        <f>MIN($Q$11/('Orbit Info'!G$10),$Q$8*60)</f>
        <v>#VALUE!</v>
      </c>
      <c r="I1511" s="737" t="str">
        <f>IF(D1511=1,$Q$12/'Data DownlinkStorage Budget'!$M$3,0)</f>
        <v>#VALUE!</v>
      </c>
      <c r="J1511" s="737" t="str">
        <f t="shared" si="388"/>
        <v>#VALUE!</v>
      </c>
      <c r="K1511" s="11"/>
      <c r="L1511" s="737" t="str">
        <f t="shared" si="385"/>
        <v>FOUND product plus housekeeping</v>
      </c>
      <c r="M1511" s="737" t="str">
        <f>MIN($Q$18,$Q$10*60)-IF(D1511=1,$Q$17/'Data DownlinkStorage Budget'!$M$3,0)</f>
        <v>#VALUE!</v>
      </c>
      <c r="N1511" s="182"/>
      <c r="O1511" s="737" t="str">
        <f t="shared" si="389"/>
        <v>#VALUE!</v>
      </c>
      <c r="P1511" s="11"/>
      <c r="Q1511" s="11"/>
      <c r="R1511" s="11"/>
      <c r="S1511" s="11"/>
      <c r="T1511" s="11"/>
      <c r="U1511" s="11"/>
      <c r="V1511" s="11"/>
      <c r="W1511" s="11"/>
      <c r="X1511" s="11"/>
      <c r="Y1511" s="11"/>
      <c r="Z1511" s="11"/>
      <c r="AA1511" s="11"/>
    </row>
    <row r="1512" ht="15.75" customHeight="1">
      <c r="A1512" s="737">
        <f t="shared" si="387"/>
        <v>0</v>
      </c>
      <c r="B1512" s="737">
        <f>A1512/'Orbit Info'!$G$10</f>
        <v>0</v>
      </c>
      <c r="C1512" s="737" t="str">
        <f t="shared" si="380"/>
        <v>Housekeeping and events only</v>
      </c>
      <c r="D1512" s="737">
        <f t="shared" si="381"/>
        <v>1</v>
      </c>
      <c r="E1512" s="737" t="str">
        <f t="shared" si="382"/>
        <v>#VALUE!</v>
      </c>
      <c r="F1512" s="737">
        <v>1.0</v>
      </c>
      <c r="G1512" s="737" t="str">
        <f t="shared" si="383"/>
        <v>#VALUE!</v>
      </c>
      <c r="H1512" s="737" t="str">
        <f>MIN($Q$11/('Orbit Info'!G$10),$Q$8*60)</f>
        <v>#VALUE!</v>
      </c>
      <c r="I1512" s="737" t="str">
        <f>IF(D1512=1,$Q$12/'Data DownlinkStorage Budget'!$M$3,0)</f>
        <v>#VALUE!</v>
      </c>
      <c r="J1512" s="737" t="str">
        <f t="shared" si="388"/>
        <v>#VALUE!</v>
      </c>
      <c r="K1512" s="11"/>
      <c r="L1512" s="737" t="str">
        <f t="shared" si="385"/>
        <v>FOUND product plus housekeeping</v>
      </c>
      <c r="M1512" s="737" t="str">
        <f>MIN($Q$18,$Q$10*60)-IF(D1512=1,$Q$17/'Data DownlinkStorage Budget'!$M$3,0)</f>
        <v>#VALUE!</v>
      </c>
      <c r="N1512" s="182"/>
      <c r="O1512" s="737" t="str">
        <f t="shared" si="389"/>
        <v>#VALUE!</v>
      </c>
      <c r="P1512" s="11"/>
      <c r="Q1512" s="11"/>
      <c r="R1512" s="11"/>
      <c r="S1512" s="11"/>
      <c r="T1512" s="11"/>
      <c r="U1512" s="11"/>
      <c r="V1512" s="11"/>
      <c r="W1512" s="11"/>
      <c r="X1512" s="11"/>
      <c r="Y1512" s="11"/>
      <c r="Z1512" s="11"/>
      <c r="AA1512" s="11"/>
    </row>
    <row r="1513" ht="15.75" customHeight="1">
      <c r="A1513" s="737">
        <f t="shared" si="387"/>
        <v>0</v>
      </c>
      <c r="B1513" s="737">
        <f>A1513/'Orbit Info'!$G$10</f>
        <v>0</v>
      </c>
      <c r="C1513" s="737" t="str">
        <f t="shared" si="380"/>
        <v>Housekeeping and events only</v>
      </c>
      <c r="D1513" s="737">
        <f t="shared" si="381"/>
        <v>1</v>
      </c>
      <c r="E1513" s="737" t="str">
        <f t="shared" si="382"/>
        <v>#VALUE!</v>
      </c>
      <c r="F1513" s="737">
        <v>1.0</v>
      </c>
      <c r="G1513" s="737" t="str">
        <f t="shared" si="383"/>
        <v>#VALUE!</v>
      </c>
      <c r="H1513" s="737" t="str">
        <f>MIN($Q$11/('Orbit Info'!G$10),$Q$8*60)</f>
        <v>#VALUE!</v>
      </c>
      <c r="I1513" s="737" t="str">
        <f>IF(D1513=1,$Q$12/'Data DownlinkStorage Budget'!$M$3,0)</f>
        <v>#VALUE!</v>
      </c>
      <c r="J1513" s="737" t="str">
        <f t="shared" si="388"/>
        <v>#VALUE!</v>
      </c>
      <c r="K1513" s="11"/>
      <c r="L1513" s="737" t="str">
        <f t="shared" si="385"/>
        <v>FOUND product plus housekeeping</v>
      </c>
      <c r="M1513" s="737" t="str">
        <f>MIN($Q$18,$Q$10*60)-IF(D1513=1,$Q$17/'Data DownlinkStorage Budget'!$M$3,0)</f>
        <v>#VALUE!</v>
      </c>
      <c r="N1513" s="182"/>
      <c r="O1513" s="737" t="str">
        <f t="shared" si="389"/>
        <v>#VALUE!</v>
      </c>
      <c r="P1513" s="11"/>
      <c r="Q1513" s="11"/>
      <c r="R1513" s="11"/>
      <c r="S1513" s="11"/>
      <c r="T1513" s="11"/>
      <c r="U1513" s="11"/>
      <c r="V1513" s="11"/>
      <c r="W1513" s="11"/>
      <c r="X1513" s="11"/>
      <c r="Y1513" s="11"/>
      <c r="Z1513" s="11"/>
      <c r="AA1513" s="11"/>
    </row>
    <row r="1514" ht="15.75" customHeight="1">
      <c r="A1514" s="737">
        <f t="shared" si="387"/>
        <v>0</v>
      </c>
      <c r="B1514" s="737">
        <f>A1514/'Orbit Info'!$G$10</f>
        <v>0</v>
      </c>
      <c r="C1514" s="737" t="str">
        <f t="shared" si="380"/>
        <v>Housekeeping and events only</v>
      </c>
      <c r="D1514" s="737">
        <f t="shared" si="381"/>
        <v>1</v>
      </c>
      <c r="E1514" s="737" t="str">
        <f t="shared" si="382"/>
        <v>#VALUE!</v>
      </c>
      <c r="F1514" s="737">
        <v>1.0</v>
      </c>
      <c r="G1514" s="737" t="str">
        <f t="shared" si="383"/>
        <v>#VALUE!</v>
      </c>
      <c r="H1514" s="737" t="str">
        <f>MIN($Q$11/('Orbit Info'!G$10),$Q$8*60)</f>
        <v>#VALUE!</v>
      </c>
      <c r="I1514" s="737" t="str">
        <f>IF(D1514=1,$Q$12/'Data DownlinkStorage Budget'!$M$3,0)</f>
        <v>#VALUE!</v>
      </c>
      <c r="J1514" s="737" t="str">
        <f t="shared" si="388"/>
        <v>#VALUE!</v>
      </c>
      <c r="K1514" s="11"/>
      <c r="L1514" s="737" t="str">
        <f t="shared" si="385"/>
        <v>FOUND product plus housekeeping</v>
      </c>
      <c r="M1514" s="737" t="str">
        <f>MIN($Q$18,$Q$10*60)-IF(D1514=1,$Q$17/'Data DownlinkStorage Budget'!$M$3,0)</f>
        <v>#VALUE!</v>
      </c>
      <c r="N1514" s="182"/>
      <c r="O1514" s="737" t="str">
        <f t="shared" si="389"/>
        <v>#VALUE!</v>
      </c>
      <c r="P1514" s="11"/>
      <c r="Q1514" s="11"/>
      <c r="R1514" s="11"/>
      <c r="S1514" s="11"/>
      <c r="T1514" s="11"/>
      <c r="U1514" s="11"/>
      <c r="V1514" s="11"/>
      <c r="W1514" s="11"/>
      <c r="X1514" s="11"/>
      <c r="Y1514" s="11"/>
      <c r="Z1514" s="11"/>
      <c r="AA1514" s="11"/>
    </row>
    <row r="1515" ht="15.75" customHeight="1">
      <c r="A1515" s="737">
        <f t="shared" si="387"/>
        <v>0</v>
      </c>
      <c r="B1515" s="737">
        <f>A1515/'Orbit Info'!$G$10</f>
        <v>0</v>
      </c>
      <c r="C1515" s="737" t="str">
        <f t="shared" si="380"/>
        <v>Housekeeping and events only</v>
      </c>
      <c r="D1515" s="737">
        <f t="shared" si="381"/>
        <v>1</v>
      </c>
      <c r="E1515" s="737" t="str">
        <f t="shared" si="382"/>
        <v>#VALUE!</v>
      </c>
      <c r="F1515" s="737">
        <v>1.0</v>
      </c>
      <c r="G1515" s="737" t="str">
        <f t="shared" si="383"/>
        <v>#VALUE!</v>
      </c>
      <c r="H1515" s="737" t="str">
        <f>MIN($Q$11/('Orbit Info'!G$10),$Q$8*60)</f>
        <v>#VALUE!</v>
      </c>
      <c r="I1515" s="737" t="str">
        <f>IF(D1515=1,$Q$12/'Data DownlinkStorage Budget'!$M$3,0)</f>
        <v>#VALUE!</v>
      </c>
      <c r="J1515" s="737" t="str">
        <f t="shared" si="388"/>
        <v>#VALUE!</v>
      </c>
      <c r="K1515" s="11"/>
      <c r="L1515" s="737" t="str">
        <f t="shared" si="385"/>
        <v>FOUND product plus housekeeping</v>
      </c>
      <c r="M1515" s="737" t="str">
        <f>MIN($Q$18,$Q$10*60)-IF(D1515=1,$Q$17/'Data DownlinkStorage Budget'!$M$3,0)</f>
        <v>#VALUE!</v>
      </c>
      <c r="N1515" s="182"/>
      <c r="O1515" s="737" t="str">
        <f t="shared" si="389"/>
        <v>#VALUE!</v>
      </c>
      <c r="P1515" s="11"/>
      <c r="Q1515" s="11"/>
      <c r="R1515" s="11"/>
      <c r="S1515" s="11"/>
      <c r="T1515" s="11"/>
      <c r="U1515" s="11"/>
      <c r="V1515" s="11"/>
      <c r="W1515" s="11"/>
      <c r="X1515" s="11"/>
      <c r="Y1515" s="11"/>
      <c r="Z1515" s="11"/>
      <c r="AA1515" s="11"/>
    </row>
    <row r="1516" ht="15.75" customHeight="1">
      <c r="A1516" s="737">
        <f t="shared" si="387"/>
        <v>0</v>
      </c>
      <c r="B1516" s="737">
        <f>A1516/'Orbit Info'!$G$10</f>
        <v>0</v>
      </c>
      <c r="C1516" s="737" t="str">
        <f t="shared" si="380"/>
        <v>Housekeeping and events only</v>
      </c>
      <c r="D1516" s="737">
        <f t="shared" si="381"/>
        <v>1</v>
      </c>
      <c r="E1516" s="737" t="str">
        <f t="shared" si="382"/>
        <v>#VALUE!</v>
      </c>
      <c r="F1516" s="737">
        <v>1.0</v>
      </c>
      <c r="G1516" s="737" t="str">
        <f t="shared" si="383"/>
        <v>#VALUE!</v>
      </c>
      <c r="H1516" s="737" t="str">
        <f>MIN($Q$11/('Orbit Info'!G$10),$Q$8*60)</f>
        <v>#VALUE!</v>
      </c>
      <c r="I1516" s="737" t="str">
        <f>IF(D1516=1,$Q$12/'Data DownlinkStorage Budget'!$M$3,0)</f>
        <v>#VALUE!</v>
      </c>
      <c r="J1516" s="737" t="str">
        <f t="shared" si="388"/>
        <v>#VALUE!</v>
      </c>
      <c r="K1516" s="11"/>
      <c r="L1516" s="737" t="str">
        <f t="shared" si="385"/>
        <v>FOUND product plus housekeeping</v>
      </c>
      <c r="M1516" s="737" t="str">
        <f>MIN($Q$18,$Q$10*60)-IF(D1516=1,$Q$17/'Data DownlinkStorage Budget'!$M$3,0)</f>
        <v>#VALUE!</v>
      </c>
      <c r="N1516" s="182"/>
      <c r="O1516" s="737" t="str">
        <f t="shared" si="389"/>
        <v>#VALUE!</v>
      </c>
      <c r="P1516" s="11"/>
      <c r="Q1516" s="11"/>
      <c r="R1516" s="11"/>
      <c r="S1516" s="11"/>
      <c r="T1516" s="11"/>
      <c r="U1516" s="11"/>
      <c r="V1516" s="11"/>
      <c r="W1516" s="11"/>
      <c r="X1516" s="11"/>
      <c r="Y1516" s="11"/>
      <c r="Z1516" s="11"/>
      <c r="AA1516" s="11"/>
    </row>
    <row r="1517" ht="15.75" customHeight="1">
      <c r="A1517" s="737">
        <f t="shared" si="387"/>
        <v>0</v>
      </c>
      <c r="B1517" s="737">
        <f>A1517/'Orbit Info'!$G$10</f>
        <v>0</v>
      </c>
      <c r="C1517" s="737" t="str">
        <f t="shared" si="380"/>
        <v>Housekeeping and events only</v>
      </c>
      <c r="D1517" s="737">
        <f t="shared" si="381"/>
        <v>1</v>
      </c>
      <c r="E1517" s="737" t="str">
        <f t="shared" si="382"/>
        <v>#VALUE!</v>
      </c>
      <c r="F1517" s="737">
        <v>1.0</v>
      </c>
      <c r="G1517" s="737" t="str">
        <f t="shared" si="383"/>
        <v>#VALUE!</v>
      </c>
      <c r="H1517" s="737" t="str">
        <f>MIN($Q$11/('Orbit Info'!G$10),$Q$8*60)</f>
        <v>#VALUE!</v>
      </c>
      <c r="I1517" s="737" t="str">
        <f>IF(D1517=1,$Q$12/'Data DownlinkStorage Budget'!$M$3,0)</f>
        <v>#VALUE!</v>
      </c>
      <c r="J1517" s="737" t="str">
        <f t="shared" si="388"/>
        <v>#VALUE!</v>
      </c>
      <c r="K1517" s="11"/>
      <c r="L1517" s="737" t="str">
        <f t="shared" si="385"/>
        <v>FOUND product plus housekeeping</v>
      </c>
      <c r="M1517" s="737" t="str">
        <f>MIN($Q$18,$Q$10*60)-IF(D1517=1,$Q$17/'Data DownlinkStorage Budget'!$M$3,0)</f>
        <v>#VALUE!</v>
      </c>
      <c r="N1517" s="182"/>
      <c r="O1517" s="737" t="str">
        <f t="shared" si="389"/>
        <v>#VALUE!</v>
      </c>
      <c r="P1517" s="11"/>
      <c r="Q1517" s="11"/>
      <c r="R1517" s="11"/>
      <c r="S1517" s="11"/>
      <c r="T1517" s="11"/>
      <c r="U1517" s="11"/>
      <c r="V1517" s="11"/>
      <c r="W1517" s="11"/>
      <c r="X1517" s="11"/>
      <c r="Y1517" s="11"/>
      <c r="Z1517" s="11"/>
      <c r="AA1517" s="11"/>
    </row>
    <row r="1518" ht="15.75" customHeight="1">
      <c r="A1518" s="737">
        <f t="shared" si="387"/>
        <v>0</v>
      </c>
      <c r="B1518" s="737">
        <f>A1518/'Orbit Info'!$G$10</f>
        <v>0</v>
      </c>
      <c r="C1518" s="737" t="str">
        <f t="shared" si="380"/>
        <v>Housekeeping and events only</v>
      </c>
      <c r="D1518" s="737">
        <f t="shared" si="381"/>
        <v>1</v>
      </c>
      <c r="E1518" s="737" t="str">
        <f t="shared" si="382"/>
        <v>#VALUE!</v>
      </c>
      <c r="F1518" s="737">
        <v>1.0</v>
      </c>
      <c r="G1518" s="737" t="str">
        <f t="shared" si="383"/>
        <v>#VALUE!</v>
      </c>
      <c r="H1518" s="737" t="str">
        <f>MIN($Q$11/('Orbit Info'!G$10),$Q$8*60)</f>
        <v>#VALUE!</v>
      </c>
      <c r="I1518" s="737" t="str">
        <f>IF(D1518=1,$Q$12/'Data DownlinkStorage Budget'!$M$3,0)</f>
        <v>#VALUE!</v>
      </c>
      <c r="J1518" s="737" t="str">
        <f t="shared" si="388"/>
        <v>#VALUE!</v>
      </c>
      <c r="K1518" s="11"/>
      <c r="L1518" s="737" t="str">
        <f t="shared" si="385"/>
        <v>FOUND product plus housekeeping</v>
      </c>
      <c r="M1518" s="737" t="str">
        <f>MIN($Q$18,$Q$10*60)-IF(D1518=1,$Q$17/'Data DownlinkStorage Budget'!$M$3,0)</f>
        <v>#VALUE!</v>
      </c>
      <c r="N1518" s="182"/>
      <c r="O1518" s="737" t="str">
        <f t="shared" si="389"/>
        <v>#VALUE!</v>
      </c>
      <c r="P1518" s="11"/>
      <c r="Q1518" s="11"/>
      <c r="R1518" s="11"/>
      <c r="S1518" s="11"/>
      <c r="T1518" s="11"/>
      <c r="U1518" s="11"/>
      <c r="V1518" s="11"/>
      <c r="W1518" s="11"/>
      <c r="X1518" s="11"/>
      <c r="Y1518" s="11"/>
      <c r="Z1518" s="11"/>
      <c r="AA1518" s="11"/>
    </row>
    <row r="1519" ht="15.75" customHeight="1">
      <c r="A1519" s="737">
        <f t="shared" si="387"/>
        <v>0</v>
      </c>
      <c r="B1519" s="737">
        <f>A1519/'Orbit Info'!$G$10</f>
        <v>0</v>
      </c>
      <c r="C1519" s="737" t="str">
        <f t="shared" si="380"/>
        <v>Housekeeping and events only</v>
      </c>
      <c r="D1519" s="737">
        <f t="shared" si="381"/>
        <v>1</v>
      </c>
      <c r="E1519" s="737" t="str">
        <f t="shared" si="382"/>
        <v>#VALUE!</v>
      </c>
      <c r="F1519" s="737">
        <v>1.0</v>
      </c>
      <c r="G1519" s="737" t="str">
        <f t="shared" si="383"/>
        <v>#VALUE!</v>
      </c>
      <c r="H1519" s="737" t="str">
        <f>MIN($Q$11/('Orbit Info'!G$10),$Q$8*60)</f>
        <v>#VALUE!</v>
      </c>
      <c r="I1519" s="737" t="str">
        <f>IF(D1519=1,$Q$12/'Data DownlinkStorage Budget'!$M$3,0)</f>
        <v>#VALUE!</v>
      </c>
      <c r="J1519" s="737" t="str">
        <f t="shared" si="388"/>
        <v>#VALUE!</v>
      </c>
      <c r="K1519" s="11"/>
      <c r="L1519" s="737" t="str">
        <f t="shared" si="385"/>
        <v>FOUND product plus housekeeping</v>
      </c>
      <c r="M1519" s="737" t="str">
        <f>MIN($Q$18,$Q$10*60)-IF(D1519=1,$Q$17/'Data DownlinkStorage Budget'!$M$3,0)</f>
        <v>#VALUE!</v>
      </c>
      <c r="N1519" s="182"/>
      <c r="O1519" s="737" t="str">
        <f t="shared" si="389"/>
        <v>#VALUE!</v>
      </c>
      <c r="P1519" s="11"/>
      <c r="Q1519" s="11"/>
      <c r="R1519" s="11"/>
      <c r="S1519" s="11"/>
      <c r="T1519" s="11"/>
      <c r="U1519" s="11"/>
      <c r="V1519" s="11"/>
      <c r="W1519" s="11"/>
      <c r="X1519" s="11"/>
      <c r="Y1519" s="11"/>
      <c r="Z1519" s="11"/>
      <c r="AA1519" s="11"/>
    </row>
    <row r="1520" ht="15.75" customHeight="1">
      <c r="A1520" s="737">
        <f t="shared" si="387"/>
        <v>0</v>
      </c>
      <c r="B1520" s="737">
        <f>A1520/'Orbit Info'!$G$10</f>
        <v>0</v>
      </c>
      <c r="C1520" s="737" t="str">
        <f t="shared" si="380"/>
        <v>Housekeeping and events only</v>
      </c>
      <c r="D1520" s="737">
        <f t="shared" si="381"/>
        <v>1</v>
      </c>
      <c r="E1520" s="737" t="str">
        <f t="shared" si="382"/>
        <v>#VALUE!</v>
      </c>
      <c r="F1520" s="737">
        <v>1.0</v>
      </c>
      <c r="G1520" s="737" t="str">
        <f t="shared" si="383"/>
        <v>#VALUE!</v>
      </c>
      <c r="H1520" s="737" t="str">
        <f>MIN($Q$11/('Orbit Info'!G$10),$Q$8*60)</f>
        <v>#VALUE!</v>
      </c>
      <c r="I1520" s="737" t="str">
        <f>IF(D1520=1,$Q$12/'Data DownlinkStorage Budget'!$M$3,0)</f>
        <v>#VALUE!</v>
      </c>
      <c r="J1520" s="737" t="str">
        <f t="shared" si="388"/>
        <v>#VALUE!</v>
      </c>
      <c r="K1520" s="11"/>
      <c r="L1520" s="737" t="str">
        <f t="shared" si="385"/>
        <v>FOUND product plus housekeeping</v>
      </c>
      <c r="M1520" s="737" t="str">
        <f>MIN($Q$18,$Q$10*60)-IF(D1520=1,$Q$17/'Data DownlinkStorage Budget'!$M$3,0)</f>
        <v>#VALUE!</v>
      </c>
      <c r="N1520" s="182"/>
      <c r="O1520" s="737" t="str">
        <f t="shared" si="389"/>
        <v>#VALUE!</v>
      </c>
      <c r="P1520" s="11"/>
      <c r="Q1520" s="11"/>
      <c r="R1520" s="11"/>
      <c r="S1520" s="11"/>
      <c r="T1520" s="11"/>
      <c r="U1520" s="11"/>
      <c r="V1520" s="11"/>
      <c r="W1520" s="11"/>
      <c r="X1520" s="11"/>
      <c r="Y1520" s="11"/>
      <c r="Z1520" s="11"/>
      <c r="AA1520" s="11"/>
    </row>
    <row r="1521" ht="15.75" customHeight="1">
      <c r="A1521" s="737">
        <f t="shared" si="387"/>
        <v>0</v>
      </c>
      <c r="B1521" s="737">
        <f>A1521/'Orbit Info'!$G$10</f>
        <v>0</v>
      </c>
      <c r="C1521" s="737" t="str">
        <f t="shared" si="380"/>
        <v>Housekeeping and events only</v>
      </c>
      <c r="D1521" s="737">
        <f t="shared" si="381"/>
        <v>1</v>
      </c>
      <c r="E1521" s="737" t="str">
        <f t="shared" si="382"/>
        <v>#VALUE!</v>
      </c>
      <c r="F1521" s="737">
        <v>1.0</v>
      </c>
      <c r="G1521" s="737" t="str">
        <f t="shared" si="383"/>
        <v>#VALUE!</v>
      </c>
      <c r="H1521" s="737" t="str">
        <f>MIN($Q$11/('Orbit Info'!G$10),$Q$8*60)</f>
        <v>#VALUE!</v>
      </c>
      <c r="I1521" s="737" t="str">
        <f>IF(D1521=1,$Q$12/'Data DownlinkStorage Budget'!$M$3,0)</f>
        <v>#VALUE!</v>
      </c>
      <c r="J1521" s="737" t="str">
        <f t="shared" si="388"/>
        <v>#VALUE!</v>
      </c>
      <c r="K1521" s="11"/>
      <c r="L1521" s="737" t="str">
        <f t="shared" si="385"/>
        <v>FOUND product plus housekeeping</v>
      </c>
      <c r="M1521" s="737" t="str">
        <f>MIN($Q$18,$Q$10*60)-IF(D1521=1,$Q$17/'Data DownlinkStorage Budget'!$M$3,0)</f>
        <v>#VALUE!</v>
      </c>
      <c r="N1521" s="182"/>
      <c r="O1521" s="737" t="str">
        <f t="shared" si="389"/>
        <v>#VALUE!</v>
      </c>
      <c r="P1521" s="11"/>
      <c r="Q1521" s="11"/>
      <c r="R1521" s="11"/>
      <c r="S1521" s="11"/>
      <c r="T1521" s="11"/>
      <c r="U1521" s="11"/>
      <c r="V1521" s="11"/>
      <c r="W1521" s="11"/>
      <c r="X1521" s="11"/>
      <c r="Y1521" s="11"/>
      <c r="Z1521" s="11"/>
      <c r="AA1521" s="11"/>
    </row>
    <row r="1522" ht="15.75" customHeight="1">
      <c r="A1522" s="737">
        <f t="shared" si="387"/>
        <v>0</v>
      </c>
      <c r="B1522" s="737">
        <f>A1522/'Orbit Info'!$G$10</f>
        <v>0</v>
      </c>
      <c r="C1522" s="737" t="str">
        <f t="shared" si="380"/>
        <v>Housekeeping and events only</v>
      </c>
      <c r="D1522" s="737">
        <f t="shared" si="381"/>
        <v>1</v>
      </c>
      <c r="E1522" s="737" t="str">
        <f t="shared" si="382"/>
        <v>#VALUE!</v>
      </c>
      <c r="F1522" s="737">
        <v>1.0</v>
      </c>
      <c r="G1522" s="737" t="str">
        <f t="shared" si="383"/>
        <v>#VALUE!</v>
      </c>
      <c r="H1522" s="737" t="str">
        <f>MIN($Q$11/('Orbit Info'!G$10),$Q$8*60)</f>
        <v>#VALUE!</v>
      </c>
      <c r="I1522" s="737" t="str">
        <f>IF(D1522=1,$Q$12/'Data DownlinkStorage Budget'!$M$3,0)</f>
        <v>#VALUE!</v>
      </c>
      <c r="J1522" s="737" t="str">
        <f t="shared" si="388"/>
        <v>#VALUE!</v>
      </c>
      <c r="K1522" s="11"/>
      <c r="L1522" s="737" t="str">
        <f t="shared" si="385"/>
        <v>FOUND product plus housekeeping</v>
      </c>
      <c r="M1522" s="737" t="str">
        <f>MIN($Q$18,$Q$10*60)-IF(D1522=1,$Q$17/'Data DownlinkStorage Budget'!$M$3,0)</f>
        <v>#VALUE!</v>
      </c>
      <c r="N1522" s="182"/>
      <c r="O1522" s="737" t="str">
        <f t="shared" si="389"/>
        <v>#VALUE!</v>
      </c>
      <c r="P1522" s="11"/>
      <c r="Q1522" s="11"/>
      <c r="R1522" s="11"/>
      <c r="S1522" s="11"/>
      <c r="T1522" s="11"/>
      <c r="U1522" s="11"/>
      <c r="V1522" s="11"/>
      <c r="W1522" s="11"/>
      <c r="X1522" s="11"/>
      <c r="Y1522" s="11"/>
      <c r="Z1522" s="11"/>
      <c r="AA1522" s="11"/>
    </row>
    <row r="1523" ht="15.75" customHeight="1">
      <c r="A1523" s="737">
        <f t="shared" si="387"/>
        <v>0</v>
      </c>
      <c r="B1523" s="737">
        <f>A1523/'Orbit Info'!$G$10</f>
        <v>0</v>
      </c>
      <c r="C1523" s="737" t="str">
        <f t="shared" si="380"/>
        <v>Housekeeping and events only</v>
      </c>
      <c r="D1523" s="737">
        <f t="shared" si="381"/>
        <v>1</v>
      </c>
      <c r="E1523" s="737" t="str">
        <f t="shared" si="382"/>
        <v>#VALUE!</v>
      </c>
      <c r="F1523" s="737">
        <v>1.0</v>
      </c>
      <c r="G1523" s="737" t="str">
        <f t="shared" si="383"/>
        <v>#VALUE!</v>
      </c>
      <c r="H1523" s="737" t="str">
        <f>MIN($Q$11/('Orbit Info'!G$10),$Q$8*60)</f>
        <v>#VALUE!</v>
      </c>
      <c r="I1523" s="737" t="str">
        <f>IF(D1523=1,$Q$12/'Data DownlinkStorage Budget'!$M$3,0)</f>
        <v>#VALUE!</v>
      </c>
      <c r="J1523" s="737" t="str">
        <f t="shared" si="388"/>
        <v>#VALUE!</v>
      </c>
      <c r="K1523" s="11"/>
      <c r="L1523" s="737" t="str">
        <f t="shared" si="385"/>
        <v>FOUND product plus housekeeping</v>
      </c>
      <c r="M1523" s="737" t="str">
        <f>MIN($Q$18,$Q$10*60)-IF(D1523=1,$Q$17/'Data DownlinkStorage Budget'!$M$3,0)</f>
        <v>#VALUE!</v>
      </c>
      <c r="N1523" s="182"/>
      <c r="O1523" s="737" t="str">
        <f t="shared" si="389"/>
        <v>#VALUE!</v>
      </c>
      <c r="P1523" s="11"/>
      <c r="Q1523" s="11"/>
      <c r="R1523" s="11"/>
      <c r="S1523" s="11"/>
      <c r="T1523" s="11"/>
      <c r="U1523" s="11"/>
      <c r="V1523" s="11"/>
      <c r="W1523" s="11"/>
      <c r="X1523" s="11"/>
      <c r="Y1523" s="11"/>
      <c r="Z1523" s="11"/>
      <c r="AA1523" s="11"/>
    </row>
    <row r="1524" ht="15.75" customHeight="1">
      <c r="A1524" s="737">
        <f t="shared" si="387"/>
        <v>0</v>
      </c>
      <c r="B1524" s="737">
        <f>A1524/'Orbit Info'!$G$10</f>
        <v>0</v>
      </c>
      <c r="C1524" s="737" t="str">
        <f t="shared" si="380"/>
        <v>Housekeeping and events only</v>
      </c>
      <c r="D1524" s="737">
        <f t="shared" si="381"/>
        <v>1</v>
      </c>
      <c r="E1524" s="737" t="str">
        <f t="shared" si="382"/>
        <v>#VALUE!</v>
      </c>
      <c r="F1524" s="737">
        <v>1.0</v>
      </c>
      <c r="G1524" s="737" t="str">
        <f t="shared" si="383"/>
        <v>#VALUE!</v>
      </c>
      <c r="H1524" s="737" t="str">
        <f>MIN($Q$11/('Orbit Info'!G$10),$Q$8*60)</f>
        <v>#VALUE!</v>
      </c>
      <c r="I1524" s="737" t="str">
        <f>IF(D1524=1,$Q$12/'Data DownlinkStorage Budget'!$M$3,0)</f>
        <v>#VALUE!</v>
      </c>
      <c r="J1524" s="737" t="str">
        <f t="shared" si="388"/>
        <v>#VALUE!</v>
      </c>
      <c r="K1524" s="11"/>
      <c r="L1524" s="737" t="str">
        <f t="shared" si="385"/>
        <v>FOUND product plus housekeeping</v>
      </c>
      <c r="M1524" s="737" t="str">
        <f>MIN($Q$18,$Q$10*60)-IF(D1524=1,$Q$17/'Data DownlinkStorage Budget'!$M$3,0)</f>
        <v>#VALUE!</v>
      </c>
      <c r="N1524" s="182"/>
      <c r="O1524" s="737" t="str">
        <f t="shared" si="389"/>
        <v>#VALUE!</v>
      </c>
      <c r="P1524" s="11"/>
      <c r="Q1524" s="11"/>
      <c r="R1524" s="11"/>
      <c r="S1524" s="11"/>
      <c r="T1524" s="11"/>
      <c r="U1524" s="11"/>
      <c r="V1524" s="11"/>
      <c r="W1524" s="11"/>
      <c r="X1524" s="11"/>
      <c r="Y1524" s="11"/>
      <c r="Z1524" s="11"/>
      <c r="AA1524" s="11"/>
    </row>
    <row r="1525" ht="15.75" customHeight="1">
      <c r="A1525" s="737">
        <f t="shared" si="387"/>
        <v>0</v>
      </c>
      <c r="B1525" s="737">
        <f>A1525/'Orbit Info'!$G$10</f>
        <v>0</v>
      </c>
      <c r="C1525" s="737" t="str">
        <f t="shared" si="380"/>
        <v>Housekeeping and events only</v>
      </c>
      <c r="D1525" s="737">
        <f t="shared" si="381"/>
        <v>1</v>
      </c>
      <c r="E1525" s="737" t="str">
        <f t="shared" si="382"/>
        <v>#VALUE!</v>
      </c>
      <c r="F1525" s="737">
        <v>1.0</v>
      </c>
      <c r="G1525" s="737" t="str">
        <f t="shared" si="383"/>
        <v>#VALUE!</v>
      </c>
      <c r="H1525" s="737" t="str">
        <f>MIN($Q$11/('Orbit Info'!G$10),$Q$8*60)</f>
        <v>#VALUE!</v>
      </c>
      <c r="I1525" s="737" t="str">
        <f>IF(D1525=1,$Q$12/'Data DownlinkStorage Budget'!$M$3,0)</f>
        <v>#VALUE!</v>
      </c>
      <c r="J1525" s="737" t="str">
        <f t="shared" si="388"/>
        <v>#VALUE!</v>
      </c>
      <c r="K1525" s="11"/>
      <c r="L1525" s="737" t="str">
        <f t="shared" si="385"/>
        <v>FOUND product plus housekeeping</v>
      </c>
      <c r="M1525" s="737" t="str">
        <f>MIN($Q$18,$Q$10*60)-IF(D1525=1,$Q$17/'Data DownlinkStorage Budget'!$M$3,0)</f>
        <v>#VALUE!</v>
      </c>
      <c r="N1525" s="182"/>
      <c r="O1525" s="737" t="str">
        <f t="shared" si="389"/>
        <v>#VALUE!</v>
      </c>
      <c r="P1525" s="11"/>
      <c r="Q1525" s="11"/>
      <c r="R1525" s="11"/>
      <c r="S1525" s="11"/>
      <c r="T1525" s="11"/>
      <c r="U1525" s="11"/>
      <c r="V1525" s="11"/>
      <c r="W1525" s="11"/>
      <c r="X1525" s="11"/>
      <c r="Y1525" s="11"/>
      <c r="Z1525" s="11"/>
      <c r="AA1525" s="11"/>
    </row>
    <row r="1526" ht="15.75" customHeight="1">
      <c r="A1526" s="737">
        <f t="shared" si="387"/>
        <v>0</v>
      </c>
      <c r="B1526" s="737">
        <f>A1526/'Orbit Info'!$G$10</f>
        <v>0</v>
      </c>
      <c r="C1526" s="737" t="str">
        <f t="shared" si="380"/>
        <v>Housekeeping and events only</v>
      </c>
      <c r="D1526" s="737">
        <f t="shared" si="381"/>
        <v>1</v>
      </c>
      <c r="E1526" s="737" t="str">
        <f t="shared" si="382"/>
        <v>#VALUE!</v>
      </c>
      <c r="F1526" s="737">
        <v>1.0</v>
      </c>
      <c r="G1526" s="737" t="str">
        <f t="shared" si="383"/>
        <v>#VALUE!</v>
      </c>
      <c r="H1526" s="737" t="str">
        <f>MIN($Q$11/('Orbit Info'!G$10),$Q$8*60)</f>
        <v>#VALUE!</v>
      </c>
      <c r="I1526" s="737" t="str">
        <f>IF(D1526=1,$Q$12/'Data DownlinkStorage Budget'!$M$3,0)</f>
        <v>#VALUE!</v>
      </c>
      <c r="J1526" s="737" t="str">
        <f t="shared" si="388"/>
        <v>#VALUE!</v>
      </c>
      <c r="K1526" s="11"/>
      <c r="L1526" s="737" t="str">
        <f t="shared" si="385"/>
        <v>FOUND product plus housekeeping</v>
      </c>
      <c r="M1526" s="737" t="str">
        <f>MIN($Q$18,$Q$10*60)-IF(D1526=1,$Q$17/'Data DownlinkStorage Budget'!$M$3,0)</f>
        <v>#VALUE!</v>
      </c>
      <c r="N1526" s="182"/>
      <c r="O1526" s="737" t="str">
        <f t="shared" si="389"/>
        <v>#VALUE!</v>
      </c>
      <c r="P1526" s="11"/>
      <c r="Q1526" s="11"/>
      <c r="R1526" s="11"/>
      <c r="S1526" s="11"/>
      <c r="T1526" s="11"/>
      <c r="U1526" s="11"/>
      <c r="V1526" s="11"/>
      <c r="W1526" s="11"/>
      <c r="X1526" s="11"/>
      <c r="Y1526" s="11"/>
      <c r="Z1526" s="11"/>
      <c r="AA1526" s="11"/>
    </row>
    <row r="1527" ht="15.75" customHeight="1">
      <c r="A1527" s="737">
        <f t="shared" si="387"/>
        <v>0</v>
      </c>
      <c r="B1527" s="737">
        <f>A1527/'Orbit Info'!$G$10</f>
        <v>0</v>
      </c>
      <c r="C1527" s="737" t="str">
        <f t="shared" si="380"/>
        <v>Housekeeping and events only</v>
      </c>
      <c r="D1527" s="737">
        <f t="shared" si="381"/>
        <v>1</v>
      </c>
      <c r="E1527" s="737" t="str">
        <f t="shared" si="382"/>
        <v>#VALUE!</v>
      </c>
      <c r="F1527" s="737">
        <v>1.0</v>
      </c>
      <c r="G1527" s="737" t="str">
        <f t="shared" si="383"/>
        <v>#VALUE!</v>
      </c>
      <c r="H1527" s="737" t="str">
        <f>MIN($Q$11/('Orbit Info'!G$10),$Q$8*60)</f>
        <v>#VALUE!</v>
      </c>
      <c r="I1527" s="737" t="str">
        <f>IF(D1527=1,$Q$12/'Data DownlinkStorage Budget'!$M$3,0)</f>
        <v>#VALUE!</v>
      </c>
      <c r="J1527" s="737" t="str">
        <f t="shared" si="388"/>
        <v>#VALUE!</v>
      </c>
      <c r="K1527" s="11"/>
      <c r="L1527" s="737" t="str">
        <f t="shared" si="385"/>
        <v>FOUND product plus housekeeping</v>
      </c>
      <c r="M1527" s="737" t="str">
        <f>MIN($Q$18,$Q$10*60)-IF(D1527=1,$Q$17/'Data DownlinkStorage Budget'!$M$3,0)</f>
        <v>#VALUE!</v>
      </c>
      <c r="N1527" s="182"/>
      <c r="O1527" s="737" t="str">
        <f t="shared" si="389"/>
        <v>#VALUE!</v>
      </c>
      <c r="P1527" s="11"/>
      <c r="Q1527" s="11"/>
      <c r="R1527" s="11"/>
      <c r="S1527" s="11"/>
      <c r="T1527" s="11"/>
      <c r="U1527" s="11"/>
      <c r="V1527" s="11"/>
      <c r="W1527" s="11"/>
      <c r="X1527" s="11"/>
      <c r="Y1527" s="11"/>
      <c r="Z1527" s="11"/>
      <c r="AA1527" s="11"/>
    </row>
    <row r="1528" ht="15.75" customHeight="1">
      <c r="A1528" s="737">
        <f t="shared" si="387"/>
        <v>0</v>
      </c>
      <c r="B1528" s="737">
        <f>A1528/'Orbit Info'!$G$10</f>
        <v>0</v>
      </c>
      <c r="C1528" s="737" t="str">
        <f t="shared" si="380"/>
        <v>Housekeeping and events only</v>
      </c>
      <c r="D1528" s="737">
        <f t="shared" si="381"/>
        <v>1</v>
      </c>
      <c r="E1528" s="737" t="str">
        <f t="shared" si="382"/>
        <v>#VALUE!</v>
      </c>
      <c r="F1528" s="737">
        <v>1.0</v>
      </c>
      <c r="G1528" s="737" t="str">
        <f t="shared" si="383"/>
        <v>#VALUE!</v>
      </c>
      <c r="H1528" s="737" t="str">
        <f>MIN($Q$11/('Orbit Info'!G$10),$Q$8*60)</f>
        <v>#VALUE!</v>
      </c>
      <c r="I1528" s="737" t="str">
        <f>IF(D1528=1,$Q$12/'Data DownlinkStorage Budget'!$M$3,0)</f>
        <v>#VALUE!</v>
      </c>
      <c r="J1528" s="737" t="str">
        <f t="shared" si="388"/>
        <v>#VALUE!</v>
      </c>
      <c r="K1528" s="11"/>
      <c r="L1528" s="737" t="str">
        <f t="shared" si="385"/>
        <v>FOUND product plus housekeeping</v>
      </c>
      <c r="M1528" s="737" t="str">
        <f>MIN($Q$18,$Q$10*60)-IF(D1528=1,$Q$17/'Data DownlinkStorage Budget'!$M$3,0)</f>
        <v>#VALUE!</v>
      </c>
      <c r="N1528" s="182"/>
      <c r="O1528" s="737" t="str">
        <f t="shared" si="389"/>
        <v>#VALUE!</v>
      </c>
      <c r="P1528" s="11"/>
      <c r="Q1528" s="11"/>
      <c r="R1528" s="11"/>
      <c r="S1528" s="11"/>
      <c r="T1528" s="11"/>
      <c r="U1528" s="11"/>
      <c r="V1528" s="11"/>
      <c r="W1528" s="11"/>
      <c r="X1528" s="11"/>
      <c r="Y1528" s="11"/>
      <c r="Z1528" s="11"/>
      <c r="AA1528" s="11"/>
    </row>
    <row r="1529" ht="15.75" customHeight="1">
      <c r="A1529" s="737">
        <f t="shared" si="387"/>
        <v>0</v>
      </c>
      <c r="B1529" s="737">
        <f>A1529/'Orbit Info'!$G$10</f>
        <v>0</v>
      </c>
      <c r="C1529" s="737" t="str">
        <f t="shared" si="380"/>
        <v>Housekeeping and events only</v>
      </c>
      <c r="D1529" s="737">
        <f t="shared" si="381"/>
        <v>1</v>
      </c>
      <c r="E1529" s="737" t="str">
        <f t="shared" si="382"/>
        <v>#VALUE!</v>
      </c>
      <c r="F1529" s="737">
        <v>1.0</v>
      </c>
      <c r="G1529" s="737" t="str">
        <f t="shared" si="383"/>
        <v>#VALUE!</v>
      </c>
      <c r="H1529" s="737" t="str">
        <f>MIN($Q$11/('Orbit Info'!G$10),$Q$8*60)</f>
        <v>#VALUE!</v>
      </c>
      <c r="I1529" s="737" t="str">
        <f>IF(D1529=1,$Q$12/'Data DownlinkStorage Budget'!$M$3,0)</f>
        <v>#VALUE!</v>
      </c>
      <c r="J1529" s="737" t="str">
        <f t="shared" si="388"/>
        <v>#VALUE!</v>
      </c>
      <c r="K1529" s="11"/>
      <c r="L1529" s="737" t="str">
        <f t="shared" si="385"/>
        <v>FOUND product plus housekeeping</v>
      </c>
      <c r="M1529" s="737" t="str">
        <f>MIN($Q$18,$Q$10*60)-IF(D1529=1,$Q$17/'Data DownlinkStorage Budget'!$M$3,0)</f>
        <v>#VALUE!</v>
      </c>
      <c r="N1529" s="182"/>
      <c r="O1529" s="737" t="str">
        <f t="shared" si="389"/>
        <v>#VALUE!</v>
      </c>
      <c r="P1529" s="11"/>
      <c r="Q1529" s="11"/>
      <c r="R1529" s="11"/>
      <c r="S1529" s="11"/>
      <c r="T1529" s="11"/>
      <c r="U1529" s="11"/>
      <c r="V1529" s="11"/>
      <c r="W1529" s="11"/>
      <c r="X1529" s="11"/>
      <c r="Y1529" s="11"/>
      <c r="Z1529" s="11"/>
      <c r="AA1529" s="11"/>
    </row>
    <row r="1530" ht="15.75" customHeight="1">
      <c r="A1530" s="737">
        <f t="shared" si="387"/>
        <v>0</v>
      </c>
      <c r="B1530" s="737">
        <f>A1530/'Orbit Info'!$G$10</f>
        <v>0</v>
      </c>
      <c r="C1530" s="737" t="str">
        <f t="shared" si="380"/>
        <v>Housekeeping and events only</v>
      </c>
      <c r="D1530" s="737">
        <f t="shared" si="381"/>
        <v>1</v>
      </c>
      <c r="E1530" s="737" t="str">
        <f t="shared" si="382"/>
        <v>#VALUE!</v>
      </c>
      <c r="F1530" s="737">
        <v>1.0</v>
      </c>
      <c r="G1530" s="737" t="str">
        <f t="shared" si="383"/>
        <v>#VALUE!</v>
      </c>
      <c r="H1530" s="737" t="str">
        <f>MIN($Q$11/('Orbit Info'!G$10),$Q$8*60)</f>
        <v>#VALUE!</v>
      </c>
      <c r="I1530" s="737" t="str">
        <f>IF(D1530=1,$Q$12/'Data DownlinkStorage Budget'!$M$3,0)</f>
        <v>#VALUE!</v>
      </c>
      <c r="J1530" s="737" t="str">
        <f t="shared" si="388"/>
        <v>#VALUE!</v>
      </c>
      <c r="K1530" s="11"/>
      <c r="L1530" s="737" t="str">
        <f t="shared" si="385"/>
        <v>FOUND product plus housekeeping</v>
      </c>
      <c r="M1530" s="737" t="str">
        <f>MIN($Q$18,$Q$10*60)-IF(D1530=1,$Q$17/'Data DownlinkStorage Budget'!$M$3,0)</f>
        <v>#VALUE!</v>
      </c>
      <c r="N1530" s="182"/>
      <c r="O1530" s="737" t="str">
        <f t="shared" si="389"/>
        <v>#VALUE!</v>
      </c>
      <c r="P1530" s="11"/>
      <c r="Q1530" s="11"/>
      <c r="R1530" s="11"/>
      <c r="S1530" s="11"/>
      <c r="T1530" s="11"/>
      <c r="U1530" s="11"/>
      <c r="V1530" s="11"/>
      <c r="W1530" s="11"/>
      <c r="X1530" s="11"/>
      <c r="Y1530" s="11"/>
      <c r="Z1530" s="11"/>
      <c r="AA1530" s="11"/>
    </row>
    <row r="1531" ht="15.75" customHeight="1">
      <c r="A1531" s="737">
        <f t="shared" si="387"/>
        <v>0</v>
      </c>
      <c r="B1531" s="737">
        <f>A1531/'Orbit Info'!$G$10</f>
        <v>0</v>
      </c>
      <c r="C1531" s="737" t="str">
        <f t="shared" si="380"/>
        <v>Housekeeping and events only</v>
      </c>
      <c r="D1531" s="737">
        <f t="shared" si="381"/>
        <v>1</v>
      </c>
      <c r="E1531" s="737" t="str">
        <f t="shared" si="382"/>
        <v>#VALUE!</v>
      </c>
      <c r="F1531" s="737">
        <v>1.0</v>
      </c>
      <c r="G1531" s="737" t="str">
        <f t="shared" si="383"/>
        <v>#VALUE!</v>
      </c>
      <c r="H1531" s="737" t="str">
        <f>MIN($Q$11/('Orbit Info'!G$10),$Q$8*60)</f>
        <v>#VALUE!</v>
      </c>
      <c r="I1531" s="737" t="str">
        <f>IF(D1531=1,$Q$12/'Data DownlinkStorage Budget'!$M$3,0)</f>
        <v>#VALUE!</v>
      </c>
      <c r="J1531" s="737" t="str">
        <f t="shared" si="388"/>
        <v>#VALUE!</v>
      </c>
      <c r="K1531" s="11"/>
      <c r="L1531" s="737" t="str">
        <f t="shared" si="385"/>
        <v>FOUND product plus housekeeping</v>
      </c>
      <c r="M1531" s="737" t="str">
        <f>MIN($Q$18,$Q$10*60)-IF(D1531=1,$Q$17/'Data DownlinkStorage Budget'!$M$3,0)</f>
        <v>#VALUE!</v>
      </c>
      <c r="N1531" s="182"/>
      <c r="O1531" s="737" t="str">
        <f t="shared" si="389"/>
        <v>#VALUE!</v>
      </c>
      <c r="P1531" s="11"/>
      <c r="Q1531" s="11"/>
      <c r="R1531" s="11"/>
      <c r="S1531" s="11"/>
      <c r="T1531" s="11"/>
      <c r="U1531" s="11"/>
      <c r="V1531" s="11"/>
      <c r="W1531" s="11"/>
      <c r="X1531" s="11"/>
      <c r="Y1531" s="11"/>
      <c r="Z1531" s="11"/>
      <c r="AA1531" s="11"/>
    </row>
    <row r="1532" ht="15.75" customHeight="1">
      <c r="A1532" s="737">
        <f t="shared" si="387"/>
        <v>0</v>
      </c>
      <c r="B1532" s="737">
        <f>A1532/'Orbit Info'!$G$10</f>
        <v>0</v>
      </c>
      <c r="C1532" s="737" t="str">
        <f t="shared" si="380"/>
        <v>Housekeeping and events only</v>
      </c>
      <c r="D1532" s="737">
        <f t="shared" si="381"/>
        <v>1</v>
      </c>
      <c r="E1532" s="737" t="str">
        <f t="shared" si="382"/>
        <v>#VALUE!</v>
      </c>
      <c r="F1532" s="737">
        <v>1.0</v>
      </c>
      <c r="G1532" s="737" t="str">
        <f t="shared" si="383"/>
        <v>#VALUE!</v>
      </c>
      <c r="H1532" s="737" t="str">
        <f>MIN($Q$11/('Orbit Info'!G$10),$Q$8*60)</f>
        <v>#VALUE!</v>
      </c>
      <c r="I1532" s="737" t="str">
        <f>IF(D1532=1,$Q$12/'Data DownlinkStorage Budget'!$M$3,0)</f>
        <v>#VALUE!</v>
      </c>
      <c r="J1532" s="737" t="str">
        <f t="shared" si="388"/>
        <v>#VALUE!</v>
      </c>
      <c r="K1532" s="11"/>
      <c r="L1532" s="737" t="str">
        <f t="shared" si="385"/>
        <v>FOUND product plus housekeeping</v>
      </c>
      <c r="M1532" s="737" t="str">
        <f>MIN($Q$18,$Q$10*60)-IF(D1532=1,$Q$17/'Data DownlinkStorage Budget'!$M$3,0)</f>
        <v>#VALUE!</v>
      </c>
      <c r="N1532" s="182"/>
      <c r="O1532" s="737" t="str">
        <f t="shared" si="389"/>
        <v>#VALUE!</v>
      </c>
      <c r="P1532" s="11"/>
      <c r="Q1532" s="11"/>
      <c r="R1532" s="11"/>
      <c r="S1532" s="11"/>
      <c r="T1532" s="11"/>
      <c r="U1532" s="11"/>
      <c r="V1532" s="11"/>
      <c r="W1532" s="11"/>
      <c r="X1532" s="11"/>
      <c r="Y1532" s="11"/>
      <c r="Z1532" s="11"/>
      <c r="AA1532" s="11"/>
    </row>
    <row r="1533" ht="15.75" customHeight="1">
      <c r="A1533" s="737">
        <f t="shared" si="387"/>
        <v>0</v>
      </c>
      <c r="B1533" s="737">
        <f>A1533/'Orbit Info'!$G$10</f>
        <v>0</v>
      </c>
      <c r="C1533" s="737" t="str">
        <f t="shared" si="380"/>
        <v>Housekeeping and events only</v>
      </c>
      <c r="D1533" s="737">
        <f t="shared" si="381"/>
        <v>1</v>
      </c>
      <c r="E1533" s="737" t="str">
        <f t="shared" si="382"/>
        <v>#VALUE!</v>
      </c>
      <c r="F1533" s="737">
        <v>1.0</v>
      </c>
      <c r="G1533" s="737" t="str">
        <f t="shared" si="383"/>
        <v>#VALUE!</v>
      </c>
      <c r="H1533" s="737" t="str">
        <f>MIN($Q$11/('Orbit Info'!G$10),$Q$8*60)</f>
        <v>#VALUE!</v>
      </c>
      <c r="I1533" s="737" t="str">
        <f>IF(D1533=1,$Q$12/'Data DownlinkStorage Budget'!$M$3,0)</f>
        <v>#VALUE!</v>
      </c>
      <c r="J1533" s="737" t="str">
        <f t="shared" si="388"/>
        <v>#VALUE!</v>
      </c>
      <c r="K1533" s="11"/>
      <c r="L1533" s="737" t="str">
        <f t="shared" si="385"/>
        <v>FOUND product plus housekeeping</v>
      </c>
      <c r="M1533" s="737" t="str">
        <f>MIN($Q$18,$Q$10*60)-IF(D1533=1,$Q$17/'Data DownlinkStorage Budget'!$M$3,0)</f>
        <v>#VALUE!</v>
      </c>
      <c r="N1533" s="182"/>
      <c r="O1533" s="737" t="str">
        <f t="shared" si="389"/>
        <v>#VALUE!</v>
      </c>
      <c r="P1533" s="11"/>
      <c r="Q1533" s="11"/>
      <c r="R1533" s="11"/>
      <c r="S1533" s="11"/>
      <c r="T1533" s="11"/>
      <c r="U1533" s="11"/>
      <c r="V1533" s="11"/>
      <c r="W1533" s="11"/>
      <c r="X1533" s="11"/>
      <c r="Y1533" s="11"/>
      <c r="Z1533" s="11"/>
      <c r="AA1533" s="11"/>
    </row>
    <row r="1534" ht="15.75" customHeight="1">
      <c r="A1534" s="737">
        <f t="shared" si="387"/>
        <v>0</v>
      </c>
      <c r="B1534" s="737">
        <f>A1534/'Orbit Info'!$G$10</f>
        <v>0</v>
      </c>
      <c r="C1534" s="737" t="str">
        <f t="shared" si="380"/>
        <v>Housekeeping and events only</v>
      </c>
      <c r="D1534" s="737">
        <f t="shared" si="381"/>
        <v>1</v>
      </c>
      <c r="E1534" s="737" t="str">
        <f t="shared" si="382"/>
        <v>#VALUE!</v>
      </c>
      <c r="F1534" s="737">
        <v>1.0</v>
      </c>
      <c r="G1534" s="737" t="str">
        <f t="shared" si="383"/>
        <v>#VALUE!</v>
      </c>
      <c r="H1534" s="737" t="str">
        <f>MIN($Q$11/('Orbit Info'!G$10),$Q$8*60)</f>
        <v>#VALUE!</v>
      </c>
      <c r="I1534" s="737" t="str">
        <f>IF(D1534=1,$Q$12/'Data DownlinkStorage Budget'!$M$3,0)</f>
        <v>#VALUE!</v>
      </c>
      <c r="J1534" s="737" t="str">
        <f t="shared" si="388"/>
        <v>#VALUE!</v>
      </c>
      <c r="K1534" s="11"/>
      <c r="L1534" s="737" t="str">
        <f t="shared" si="385"/>
        <v>FOUND product plus housekeeping</v>
      </c>
      <c r="M1534" s="737" t="str">
        <f>MIN($Q$18,$Q$10*60)-IF(D1534=1,$Q$17/'Data DownlinkStorage Budget'!$M$3,0)</f>
        <v>#VALUE!</v>
      </c>
      <c r="N1534" s="182"/>
      <c r="O1534" s="737" t="str">
        <f t="shared" si="389"/>
        <v>#VALUE!</v>
      </c>
      <c r="P1534" s="11"/>
      <c r="Q1534" s="11"/>
      <c r="R1534" s="11"/>
      <c r="S1534" s="11"/>
      <c r="T1534" s="11"/>
      <c r="U1534" s="11"/>
      <c r="V1534" s="11"/>
      <c r="W1534" s="11"/>
      <c r="X1534" s="11"/>
      <c r="Y1534" s="11"/>
      <c r="Z1534" s="11"/>
      <c r="AA1534" s="11"/>
    </row>
    <row r="1535" ht="15.75" customHeight="1">
      <c r="A1535" s="737">
        <f t="shared" si="387"/>
        <v>0</v>
      </c>
      <c r="B1535" s="737">
        <f>A1535/'Orbit Info'!$G$10</f>
        <v>0</v>
      </c>
      <c r="C1535" s="737" t="str">
        <f t="shared" si="380"/>
        <v>Housekeeping and events only</v>
      </c>
      <c r="D1535" s="737">
        <f t="shared" si="381"/>
        <v>1</v>
      </c>
      <c r="E1535" s="737" t="str">
        <f t="shared" si="382"/>
        <v>#VALUE!</v>
      </c>
      <c r="F1535" s="737">
        <v>1.0</v>
      </c>
      <c r="G1535" s="737" t="str">
        <f t="shared" si="383"/>
        <v>#VALUE!</v>
      </c>
      <c r="H1535" s="737" t="str">
        <f>MIN($Q$11/('Orbit Info'!G$10),$Q$8*60)</f>
        <v>#VALUE!</v>
      </c>
      <c r="I1535" s="737" t="str">
        <f>IF(D1535=1,$Q$12/'Data DownlinkStorage Budget'!$M$3,0)</f>
        <v>#VALUE!</v>
      </c>
      <c r="J1535" s="737" t="str">
        <f t="shared" si="388"/>
        <v>#VALUE!</v>
      </c>
      <c r="K1535" s="11"/>
      <c r="L1535" s="737" t="str">
        <f t="shared" si="385"/>
        <v>FOUND product plus housekeeping</v>
      </c>
      <c r="M1535" s="737" t="str">
        <f>MIN($Q$18,$Q$10*60)-IF(D1535=1,$Q$17/'Data DownlinkStorage Budget'!$M$3,0)</f>
        <v>#VALUE!</v>
      </c>
      <c r="N1535" s="182"/>
      <c r="O1535" s="737" t="str">
        <f t="shared" si="389"/>
        <v>#VALUE!</v>
      </c>
      <c r="P1535" s="11"/>
      <c r="Q1535" s="11"/>
      <c r="R1535" s="11"/>
      <c r="S1535" s="11"/>
      <c r="T1535" s="11"/>
      <c r="U1535" s="11"/>
      <c r="V1535" s="11"/>
      <c r="W1535" s="11"/>
      <c r="X1535" s="11"/>
      <c r="Y1535" s="11"/>
      <c r="Z1535" s="11"/>
      <c r="AA1535" s="11"/>
    </row>
    <row r="1536" ht="15.75" customHeight="1">
      <c r="A1536" s="737">
        <f t="shared" si="387"/>
        <v>0</v>
      </c>
      <c r="B1536" s="737">
        <f>A1536/'Orbit Info'!$G$10</f>
        <v>0</v>
      </c>
      <c r="C1536" s="737" t="str">
        <f t="shared" si="380"/>
        <v>Housekeeping and events only</v>
      </c>
      <c r="D1536" s="737">
        <f t="shared" si="381"/>
        <v>1</v>
      </c>
      <c r="E1536" s="737" t="str">
        <f t="shared" si="382"/>
        <v>#VALUE!</v>
      </c>
      <c r="F1536" s="737">
        <v>1.0</v>
      </c>
      <c r="G1536" s="737" t="str">
        <f t="shared" si="383"/>
        <v>#VALUE!</v>
      </c>
      <c r="H1536" s="737" t="str">
        <f>MIN($Q$11/('Orbit Info'!G$10),$Q$8*60)</f>
        <v>#VALUE!</v>
      </c>
      <c r="I1536" s="737" t="str">
        <f>IF(D1536=1,$Q$12/'Data DownlinkStorage Budget'!$M$3,0)</f>
        <v>#VALUE!</v>
      </c>
      <c r="J1536" s="737" t="str">
        <f t="shared" si="388"/>
        <v>#VALUE!</v>
      </c>
      <c r="K1536" s="11"/>
      <c r="L1536" s="737" t="str">
        <f t="shared" si="385"/>
        <v>FOUND product plus housekeeping</v>
      </c>
      <c r="M1536" s="737" t="str">
        <f>MIN($Q$18,$Q$10*60)-IF(D1536=1,$Q$17/'Data DownlinkStorage Budget'!$M$3,0)</f>
        <v>#VALUE!</v>
      </c>
      <c r="N1536" s="182"/>
      <c r="O1536" s="737" t="str">
        <f t="shared" si="389"/>
        <v>#VALUE!</v>
      </c>
      <c r="P1536" s="11"/>
      <c r="Q1536" s="11"/>
      <c r="R1536" s="11"/>
      <c r="S1536" s="11"/>
      <c r="T1536" s="11"/>
      <c r="U1536" s="11"/>
      <c r="V1536" s="11"/>
      <c r="W1536" s="11"/>
      <c r="X1536" s="11"/>
      <c r="Y1536" s="11"/>
      <c r="Z1536" s="11"/>
      <c r="AA1536" s="11"/>
    </row>
    <row r="1537" ht="15.75" customHeight="1">
      <c r="A1537" s="737">
        <f t="shared" si="387"/>
        <v>0</v>
      </c>
      <c r="B1537" s="737">
        <f>A1537/'Orbit Info'!$G$10</f>
        <v>0</v>
      </c>
      <c r="C1537" s="737" t="str">
        <f t="shared" si="380"/>
        <v>Housekeeping and events only</v>
      </c>
      <c r="D1537" s="737">
        <f t="shared" si="381"/>
        <v>1</v>
      </c>
      <c r="E1537" s="737" t="str">
        <f t="shared" si="382"/>
        <v>#VALUE!</v>
      </c>
      <c r="F1537" s="737">
        <v>1.0</v>
      </c>
      <c r="G1537" s="737" t="str">
        <f t="shared" si="383"/>
        <v>#VALUE!</v>
      </c>
      <c r="H1537" s="737" t="str">
        <f>MIN($Q$11/('Orbit Info'!G$10),$Q$8*60)</f>
        <v>#VALUE!</v>
      </c>
      <c r="I1537" s="737" t="str">
        <f>IF(D1537=1,$Q$12/'Data DownlinkStorage Budget'!$M$3,0)</f>
        <v>#VALUE!</v>
      </c>
      <c r="J1537" s="737" t="str">
        <f t="shared" si="388"/>
        <v>#VALUE!</v>
      </c>
      <c r="K1537" s="11"/>
      <c r="L1537" s="737" t="str">
        <f t="shared" si="385"/>
        <v>FOUND product plus housekeeping</v>
      </c>
      <c r="M1537" s="737" t="str">
        <f>MIN($Q$18,$Q$10*60)-IF(D1537=1,$Q$17/'Data DownlinkStorage Budget'!$M$3,0)</f>
        <v>#VALUE!</v>
      </c>
      <c r="N1537" s="182"/>
      <c r="O1537" s="737" t="str">
        <f t="shared" si="389"/>
        <v>#VALUE!</v>
      </c>
      <c r="P1537" s="11"/>
      <c r="Q1537" s="11"/>
      <c r="R1537" s="11"/>
      <c r="S1537" s="11"/>
      <c r="T1537" s="11"/>
      <c r="U1537" s="11"/>
      <c r="V1537" s="11"/>
      <c r="W1537" s="11"/>
      <c r="X1537" s="11"/>
      <c r="Y1537" s="11"/>
      <c r="Z1537" s="11"/>
      <c r="AA1537" s="11"/>
    </row>
    <row r="1538" ht="15.75" customHeight="1">
      <c r="A1538" s="737">
        <f t="shared" si="387"/>
        <v>0</v>
      </c>
      <c r="B1538" s="737">
        <f>A1538/'Orbit Info'!$G$10</f>
        <v>0</v>
      </c>
      <c r="C1538" s="737" t="str">
        <f t="shared" si="380"/>
        <v>Housekeeping and events only</v>
      </c>
      <c r="D1538" s="737">
        <f t="shared" si="381"/>
        <v>1</v>
      </c>
      <c r="E1538" s="737" t="str">
        <f t="shared" si="382"/>
        <v>#VALUE!</v>
      </c>
      <c r="F1538" s="737">
        <v>1.0</v>
      </c>
      <c r="G1538" s="737" t="str">
        <f t="shared" si="383"/>
        <v>#VALUE!</v>
      </c>
      <c r="H1538" s="737" t="str">
        <f>MIN($Q$11/('Orbit Info'!G$10),$Q$8*60)</f>
        <v>#VALUE!</v>
      </c>
      <c r="I1538" s="737" t="str">
        <f>IF(D1538=1,$Q$12/'Data DownlinkStorage Budget'!$M$3,0)</f>
        <v>#VALUE!</v>
      </c>
      <c r="J1538" s="737" t="str">
        <f t="shared" si="388"/>
        <v>#VALUE!</v>
      </c>
      <c r="K1538" s="11"/>
      <c r="L1538" s="737" t="str">
        <f t="shared" si="385"/>
        <v>FOUND product plus housekeeping</v>
      </c>
      <c r="M1538" s="737" t="str">
        <f>MIN($Q$18,$Q$10*60)-IF(D1538=1,$Q$17/'Data DownlinkStorage Budget'!$M$3,0)</f>
        <v>#VALUE!</v>
      </c>
      <c r="N1538" s="182"/>
      <c r="O1538" s="737" t="str">
        <f t="shared" si="389"/>
        <v>#VALUE!</v>
      </c>
      <c r="P1538" s="11"/>
      <c r="Q1538" s="11"/>
      <c r="R1538" s="11"/>
      <c r="S1538" s="11"/>
      <c r="T1538" s="11"/>
      <c r="U1538" s="11"/>
      <c r="V1538" s="11"/>
      <c r="W1538" s="11"/>
      <c r="X1538" s="11"/>
      <c r="Y1538" s="11"/>
      <c r="Z1538" s="11"/>
      <c r="AA1538" s="11"/>
    </row>
    <row r="1539" ht="15.75" customHeight="1">
      <c r="A1539" s="737">
        <f t="shared" si="387"/>
        <v>0</v>
      </c>
      <c r="B1539" s="737">
        <f>A1539/'Orbit Info'!$G$10</f>
        <v>0</v>
      </c>
      <c r="C1539" s="737" t="str">
        <f t="shared" si="380"/>
        <v>Housekeeping and events only</v>
      </c>
      <c r="D1539" s="737">
        <f t="shared" si="381"/>
        <v>1</v>
      </c>
      <c r="E1539" s="737" t="str">
        <f t="shared" si="382"/>
        <v>#VALUE!</v>
      </c>
      <c r="F1539" s="737">
        <v>1.0</v>
      </c>
      <c r="G1539" s="737" t="str">
        <f t="shared" si="383"/>
        <v>#VALUE!</v>
      </c>
      <c r="H1539" s="737" t="str">
        <f>MIN($Q$11/('Orbit Info'!G$10),$Q$8*60)</f>
        <v>#VALUE!</v>
      </c>
      <c r="I1539" s="737" t="str">
        <f>IF(D1539=1,$Q$12/'Data DownlinkStorage Budget'!$M$3,0)</f>
        <v>#VALUE!</v>
      </c>
      <c r="J1539" s="737" t="str">
        <f t="shared" si="388"/>
        <v>#VALUE!</v>
      </c>
      <c r="K1539" s="11"/>
      <c r="L1539" s="737" t="str">
        <f t="shared" si="385"/>
        <v>FOUND product plus housekeeping</v>
      </c>
      <c r="M1539" s="737" t="str">
        <f>MIN($Q$18,$Q$10*60)-IF(D1539=1,$Q$17/'Data DownlinkStorage Budget'!$M$3,0)</f>
        <v>#VALUE!</v>
      </c>
      <c r="N1539" s="182"/>
      <c r="O1539" s="737" t="str">
        <f t="shared" si="389"/>
        <v>#VALUE!</v>
      </c>
      <c r="P1539" s="11"/>
      <c r="Q1539" s="11"/>
      <c r="R1539" s="11"/>
      <c r="S1539" s="11"/>
      <c r="T1539" s="11"/>
      <c r="U1539" s="11"/>
      <c r="V1539" s="11"/>
      <c r="W1539" s="11"/>
      <c r="X1539" s="11"/>
      <c r="Y1539" s="11"/>
      <c r="Z1539" s="11"/>
      <c r="AA1539" s="11"/>
    </row>
    <row r="1540" ht="15.75" customHeight="1">
      <c r="A1540" s="737">
        <f t="shared" si="387"/>
        <v>0</v>
      </c>
      <c r="B1540" s="737">
        <f>A1540/'Orbit Info'!$G$10</f>
        <v>0</v>
      </c>
      <c r="C1540" s="737" t="str">
        <f t="shared" si="380"/>
        <v>Housekeeping and events only</v>
      </c>
      <c r="D1540" s="737">
        <f t="shared" si="381"/>
        <v>1</v>
      </c>
      <c r="E1540" s="737" t="str">
        <f t="shared" si="382"/>
        <v>#VALUE!</v>
      </c>
      <c r="F1540" s="737">
        <v>1.0</v>
      </c>
      <c r="G1540" s="737" t="str">
        <f t="shared" si="383"/>
        <v>#VALUE!</v>
      </c>
      <c r="H1540" s="737" t="str">
        <f>MIN($Q$11/('Orbit Info'!G$10),$Q$8*60)</f>
        <v>#VALUE!</v>
      </c>
      <c r="I1540" s="737" t="str">
        <f>IF(D1540=1,$Q$12/'Data DownlinkStorage Budget'!$M$3,0)</f>
        <v>#VALUE!</v>
      </c>
      <c r="J1540" s="737" t="str">
        <f t="shared" si="388"/>
        <v>#VALUE!</v>
      </c>
      <c r="K1540" s="11"/>
      <c r="L1540" s="737" t="str">
        <f t="shared" si="385"/>
        <v>FOUND product plus housekeeping</v>
      </c>
      <c r="M1540" s="737" t="str">
        <f>MIN($Q$18,$Q$10*60)-IF(D1540=1,$Q$17/'Data DownlinkStorage Budget'!$M$3,0)</f>
        <v>#VALUE!</v>
      </c>
      <c r="N1540" s="182"/>
      <c r="O1540" s="737" t="str">
        <f t="shared" si="389"/>
        <v>#VALUE!</v>
      </c>
      <c r="P1540" s="11"/>
      <c r="Q1540" s="11"/>
      <c r="R1540" s="11"/>
      <c r="S1540" s="11"/>
      <c r="T1540" s="11"/>
      <c r="U1540" s="11"/>
      <c r="V1540" s="11"/>
      <c r="W1540" s="11"/>
      <c r="X1540" s="11"/>
      <c r="Y1540" s="11"/>
      <c r="Z1540" s="11"/>
      <c r="AA1540" s="11"/>
    </row>
    <row r="1541" ht="15.75" customHeight="1">
      <c r="A1541" s="737">
        <f t="shared" si="387"/>
        <v>0</v>
      </c>
      <c r="B1541" s="737">
        <f>A1541/'Orbit Info'!$G$10</f>
        <v>0</v>
      </c>
      <c r="C1541" s="737" t="str">
        <f t="shared" si="380"/>
        <v>Housekeeping and events only</v>
      </c>
      <c r="D1541" s="737">
        <f t="shared" si="381"/>
        <v>1</v>
      </c>
      <c r="E1541" s="737" t="str">
        <f t="shared" si="382"/>
        <v>#VALUE!</v>
      </c>
      <c r="F1541" s="737">
        <v>1.0</v>
      </c>
      <c r="G1541" s="737" t="str">
        <f t="shared" si="383"/>
        <v>#VALUE!</v>
      </c>
      <c r="H1541" s="737" t="str">
        <f>MIN($Q$11/('Orbit Info'!G$10),$Q$8*60)</f>
        <v>#VALUE!</v>
      </c>
      <c r="I1541" s="737" t="str">
        <f>IF(D1541=1,$Q$12/'Data DownlinkStorage Budget'!$M$3,0)</f>
        <v>#VALUE!</v>
      </c>
      <c r="J1541" s="737" t="str">
        <f t="shared" si="388"/>
        <v>#VALUE!</v>
      </c>
      <c r="K1541" s="11"/>
      <c r="L1541" s="737" t="str">
        <f t="shared" si="385"/>
        <v>FOUND product plus housekeeping</v>
      </c>
      <c r="M1541" s="737" t="str">
        <f>MIN($Q$18,$Q$10*60)-IF(D1541=1,$Q$17/'Data DownlinkStorage Budget'!$M$3,0)</f>
        <v>#VALUE!</v>
      </c>
      <c r="N1541" s="182"/>
      <c r="O1541" s="737" t="str">
        <f t="shared" si="389"/>
        <v>#VALUE!</v>
      </c>
      <c r="P1541" s="11"/>
      <c r="Q1541" s="11"/>
      <c r="R1541" s="11"/>
      <c r="S1541" s="11"/>
      <c r="T1541" s="11"/>
      <c r="U1541" s="11"/>
      <c r="V1541" s="11"/>
      <c r="W1541" s="11"/>
      <c r="X1541" s="11"/>
      <c r="Y1541" s="11"/>
      <c r="Z1541" s="11"/>
      <c r="AA1541" s="11"/>
    </row>
    <row r="1542" ht="15.75" customHeight="1">
      <c r="A1542" s="737">
        <f t="shared" si="387"/>
        <v>0</v>
      </c>
      <c r="B1542" s="737">
        <f>A1542/'Orbit Info'!$G$10</f>
        <v>0</v>
      </c>
      <c r="C1542" s="737" t="str">
        <f t="shared" si="380"/>
        <v>Housekeeping and events only</v>
      </c>
      <c r="D1542" s="737">
        <f t="shared" si="381"/>
        <v>1</v>
      </c>
      <c r="E1542" s="737" t="str">
        <f t="shared" si="382"/>
        <v>#VALUE!</v>
      </c>
      <c r="F1542" s="737">
        <v>1.0</v>
      </c>
      <c r="G1542" s="737" t="str">
        <f t="shared" si="383"/>
        <v>#VALUE!</v>
      </c>
      <c r="H1542" s="737" t="str">
        <f>MIN($Q$11/('Orbit Info'!G$10),$Q$8*60)</f>
        <v>#VALUE!</v>
      </c>
      <c r="I1542" s="737" t="str">
        <f>IF(D1542=1,$Q$12/'Data DownlinkStorage Budget'!$M$3,0)</f>
        <v>#VALUE!</v>
      </c>
      <c r="J1542" s="737" t="str">
        <f t="shared" si="388"/>
        <v>#VALUE!</v>
      </c>
      <c r="K1542" s="11"/>
      <c r="L1542" s="737" t="str">
        <f t="shared" si="385"/>
        <v>FOUND product plus housekeeping</v>
      </c>
      <c r="M1542" s="737" t="str">
        <f>MIN($Q$18,$Q$10*60)-IF(D1542=1,$Q$17/'Data DownlinkStorage Budget'!$M$3,0)</f>
        <v>#VALUE!</v>
      </c>
      <c r="N1542" s="182"/>
      <c r="O1542" s="737" t="str">
        <f t="shared" si="389"/>
        <v>#VALUE!</v>
      </c>
      <c r="P1542" s="11"/>
      <c r="Q1542" s="11"/>
      <c r="R1542" s="11"/>
      <c r="S1542" s="11"/>
      <c r="T1542" s="11"/>
      <c r="U1542" s="11"/>
      <c r="V1542" s="11"/>
      <c r="W1542" s="11"/>
      <c r="X1542" s="11"/>
      <c r="Y1542" s="11"/>
      <c r="Z1542" s="11"/>
      <c r="AA1542" s="11"/>
    </row>
    <row r="1543" ht="15.75" customHeight="1">
      <c r="A1543" s="737">
        <f t="shared" si="387"/>
        <v>0</v>
      </c>
      <c r="B1543" s="737">
        <f>A1543/'Orbit Info'!$G$10</f>
        <v>0</v>
      </c>
      <c r="C1543" s="737" t="str">
        <f t="shared" si="380"/>
        <v>Housekeeping and events only</v>
      </c>
      <c r="D1543" s="737">
        <f t="shared" si="381"/>
        <v>1</v>
      </c>
      <c r="E1543" s="737" t="str">
        <f t="shared" si="382"/>
        <v>#VALUE!</v>
      </c>
      <c r="F1543" s="737">
        <v>1.0</v>
      </c>
      <c r="G1543" s="737" t="str">
        <f t="shared" si="383"/>
        <v>#VALUE!</v>
      </c>
      <c r="H1543" s="737" t="str">
        <f>MIN($Q$11/('Orbit Info'!G$10),$Q$8*60)</f>
        <v>#VALUE!</v>
      </c>
      <c r="I1543" s="737" t="str">
        <f>IF(D1543=1,$Q$12/'Data DownlinkStorage Budget'!$M$3,0)</f>
        <v>#VALUE!</v>
      </c>
      <c r="J1543" s="737" t="str">
        <f t="shared" si="388"/>
        <v>#VALUE!</v>
      </c>
      <c r="K1543" s="11"/>
      <c r="L1543" s="737" t="str">
        <f t="shared" si="385"/>
        <v>FOUND product plus housekeeping</v>
      </c>
      <c r="M1543" s="737" t="str">
        <f>MIN($Q$18,$Q$10*60)-IF(D1543=1,$Q$17/'Data DownlinkStorage Budget'!$M$3,0)</f>
        <v>#VALUE!</v>
      </c>
      <c r="N1543" s="182"/>
      <c r="O1543" s="737" t="str">
        <f t="shared" si="389"/>
        <v>#VALUE!</v>
      </c>
      <c r="P1543" s="11"/>
      <c r="Q1543" s="11"/>
      <c r="R1543" s="11"/>
      <c r="S1543" s="11"/>
      <c r="T1543" s="11"/>
      <c r="U1543" s="11"/>
      <c r="V1543" s="11"/>
      <c r="W1543" s="11"/>
      <c r="X1543" s="11"/>
      <c r="Y1543" s="11"/>
      <c r="Z1543" s="11"/>
      <c r="AA1543" s="11"/>
    </row>
    <row r="1544" ht="15.75" customHeight="1">
      <c r="A1544" s="737">
        <f t="shared" si="387"/>
        <v>0</v>
      </c>
      <c r="B1544" s="737">
        <f>A1544/'Orbit Info'!$G$10</f>
        <v>0</v>
      </c>
      <c r="C1544" s="737" t="str">
        <f t="shared" si="380"/>
        <v>Housekeeping and events only</v>
      </c>
      <c r="D1544" s="737">
        <f t="shared" si="381"/>
        <v>1</v>
      </c>
      <c r="E1544" s="737" t="str">
        <f t="shared" si="382"/>
        <v>#VALUE!</v>
      </c>
      <c r="F1544" s="737">
        <v>1.0</v>
      </c>
      <c r="G1544" s="737" t="str">
        <f t="shared" si="383"/>
        <v>#VALUE!</v>
      </c>
      <c r="H1544" s="737" t="str">
        <f>MIN($Q$11/('Orbit Info'!G$10),$Q$8*60)</f>
        <v>#VALUE!</v>
      </c>
      <c r="I1544" s="737" t="str">
        <f>IF(D1544=1,$Q$12/'Data DownlinkStorage Budget'!$M$3,0)</f>
        <v>#VALUE!</v>
      </c>
      <c r="J1544" s="737" t="str">
        <f t="shared" si="388"/>
        <v>#VALUE!</v>
      </c>
      <c r="K1544" s="11"/>
      <c r="L1544" s="737" t="str">
        <f t="shared" si="385"/>
        <v>FOUND product plus housekeeping</v>
      </c>
      <c r="M1544" s="737" t="str">
        <f>MIN($Q$18,$Q$10*60)-IF(D1544=1,$Q$17/'Data DownlinkStorage Budget'!$M$3,0)</f>
        <v>#VALUE!</v>
      </c>
      <c r="N1544" s="182"/>
      <c r="O1544" s="737" t="str">
        <f t="shared" si="389"/>
        <v>#VALUE!</v>
      </c>
      <c r="P1544" s="11"/>
      <c r="Q1544" s="11"/>
      <c r="R1544" s="11"/>
      <c r="S1544" s="11"/>
      <c r="T1544" s="11"/>
      <c r="U1544" s="11"/>
      <c r="V1544" s="11"/>
      <c r="W1544" s="11"/>
      <c r="X1544" s="11"/>
      <c r="Y1544" s="11"/>
      <c r="Z1544" s="11"/>
      <c r="AA1544" s="11"/>
    </row>
    <row r="1545" ht="15.75" customHeight="1">
      <c r="A1545" s="737">
        <f t="shared" si="387"/>
        <v>0</v>
      </c>
      <c r="B1545" s="737">
        <f>A1545/'Orbit Info'!$G$10</f>
        <v>0</v>
      </c>
      <c r="C1545" s="737" t="str">
        <f t="shared" si="380"/>
        <v>Housekeeping and events only</v>
      </c>
      <c r="D1545" s="737">
        <f t="shared" si="381"/>
        <v>1</v>
      </c>
      <c r="E1545" s="737" t="str">
        <f t="shared" si="382"/>
        <v>#VALUE!</v>
      </c>
      <c r="F1545" s="737">
        <v>1.0</v>
      </c>
      <c r="G1545" s="737" t="str">
        <f t="shared" si="383"/>
        <v>#VALUE!</v>
      </c>
      <c r="H1545" s="737" t="str">
        <f>MIN($Q$11/('Orbit Info'!G$10),$Q$8*60)</f>
        <v>#VALUE!</v>
      </c>
      <c r="I1545" s="737" t="str">
        <f>IF(D1545=1,$Q$12/'Data DownlinkStorage Budget'!$M$3,0)</f>
        <v>#VALUE!</v>
      </c>
      <c r="J1545" s="737" t="str">
        <f t="shared" si="388"/>
        <v>#VALUE!</v>
      </c>
      <c r="K1545" s="11"/>
      <c r="L1545" s="737" t="str">
        <f t="shared" si="385"/>
        <v>FOUND product plus housekeeping</v>
      </c>
      <c r="M1545" s="737" t="str">
        <f>MIN($Q$18,$Q$10*60)-IF(D1545=1,$Q$17/'Data DownlinkStorage Budget'!$M$3,0)</f>
        <v>#VALUE!</v>
      </c>
      <c r="N1545" s="182"/>
      <c r="O1545" s="737" t="str">
        <f t="shared" si="389"/>
        <v>#VALUE!</v>
      </c>
      <c r="P1545" s="11"/>
      <c r="Q1545" s="11"/>
      <c r="R1545" s="11"/>
      <c r="S1545" s="11"/>
      <c r="T1545" s="11"/>
      <c r="U1545" s="11"/>
      <c r="V1545" s="11"/>
      <c r="W1545" s="11"/>
      <c r="X1545" s="11"/>
      <c r="Y1545" s="11"/>
      <c r="Z1545" s="11"/>
      <c r="AA1545" s="11"/>
    </row>
    <row r="1546" ht="15.75" customHeight="1">
      <c r="A1546" s="737">
        <f t="shared" si="387"/>
        <v>0</v>
      </c>
      <c r="B1546" s="737">
        <f>A1546/'Orbit Info'!$G$10</f>
        <v>0</v>
      </c>
      <c r="C1546" s="737" t="str">
        <f t="shared" si="380"/>
        <v>Housekeeping and events only</v>
      </c>
      <c r="D1546" s="737">
        <f t="shared" si="381"/>
        <v>1</v>
      </c>
      <c r="E1546" s="737" t="str">
        <f t="shared" si="382"/>
        <v>#VALUE!</v>
      </c>
      <c r="F1546" s="737">
        <v>1.0</v>
      </c>
      <c r="G1546" s="737" t="str">
        <f t="shared" si="383"/>
        <v>#VALUE!</v>
      </c>
      <c r="H1546" s="737" t="str">
        <f>MIN($Q$11/('Orbit Info'!G$10),$Q$8*60)</f>
        <v>#VALUE!</v>
      </c>
      <c r="I1546" s="737" t="str">
        <f>IF(D1546=1,$Q$12/'Data DownlinkStorage Budget'!$M$3,0)</f>
        <v>#VALUE!</v>
      </c>
      <c r="J1546" s="737" t="str">
        <f t="shared" si="388"/>
        <v>#VALUE!</v>
      </c>
      <c r="K1546" s="11"/>
      <c r="L1546" s="737" t="str">
        <f t="shared" si="385"/>
        <v>FOUND product plus housekeeping</v>
      </c>
      <c r="M1546" s="737" t="str">
        <f>MIN($Q$18,$Q$10*60)-IF(D1546=1,$Q$17/'Data DownlinkStorage Budget'!$M$3,0)</f>
        <v>#VALUE!</v>
      </c>
      <c r="N1546" s="182"/>
      <c r="O1546" s="737" t="str">
        <f t="shared" si="389"/>
        <v>#VALUE!</v>
      </c>
      <c r="P1546" s="11"/>
      <c r="Q1546" s="11"/>
      <c r="R1546" s="11"/>
      <c r="S1546" s="11"/>
      <c r="T1546" s="11"/>
      <c r="U1546" s="11"/>
      <c r="V1546" s="11"/>
      <c r="W1546" s="11"/>
      <c r="X1546" s="11"/>
      <c r="Y1546" s="11"/>
      <c r="Z1546" s="11"/>
      <c r="AA1546" s="11"/>
    </row>
    <row r="1547" ht="15.75" customHeight="1">
      <c r="A1547" s="737">
        <f t="shared" si="387"/>
        <v>0</v>
      </c>
      <c r="B1547" s="737">
        <f>A1547/'Orbit Info'!$G$10</f>
        <v>0</v>
      </c>
      <c r="C1547" s="737" t="str">
        <f t="shared" si="380"/>
        <v>Housekeeping and events only</v>
      </c>
      <c r="D1547" s="737">
        <f t="shared" si="381"/>
        <v>1</v>
      </c>
      <c r="E1547" s="737" t="str">
        <f t="shared" si="382"/>
        <v>#VALUE!</v>
      </c>
      <c r="F1547" s="737">
        <v>1.0</v>
      </c>
      <c r="G1547" s="737" t="str">
        <f t="shared" si="383"/>
        <v>#VALUE!</v>
      </c>
      <c r="H1547" s="737" t="str">
        <f>MIN($Q$11/('Orbit Info'!G$10),$Q$8*60)</f>
        <v>#VALUE!</v>
      </c>
      <c r="I1547" s="737" t="str">
        <f>IF(D1547=1,$Q$12/'Data DownlinkStorage Budget'!$M$3,0)</f>
        <v>#VALUE!</v>
      </c>
      <c r="J1547" s="737" t="str">
        <f t="shared" si="388"/>
        <v>#VALUE!</v>
      </c>
      <c r="K1547" s="11"/>
      <c r="L1547" s="737" t="str">
        <f t="shared" si="385"/>
        <v>FOUND product plus housekeeping</v>
      </c>
      <c r="M1547" s="737" t="str">
        <f>MIN($Q$18,$Q$10*60)-IF(D1547=1,$Q$17/'Data DownlinkStorage Budget'!$M$3,0)</f>
        <v>#VALUE!</v>
      </c>
      <c r="N1547" s="182"/>
      <c r="O1547" s="737" t="str">
        <f t="shared" si="389"/>
        <v>#VALUE!</v>
      </c>
      <c r="P1547" s="11"/>
      <c r="Q1547" s="11"/>
      <c r="R1547" s="11"/>
      <c r="S1547" s="11"/>
      <c r="T1547" s="11"/>
      <c r="U1547" s="11"/>
      <c r="V1547" s="11"/>
      <c r="W1547" s="11"/>
      <c r="X1547" s="11"/>
      <c r="Y1547" s="11"/>
      <c r="Z1547" s="11"/>
      <c r="AA1547" s="11"/>
    </row>
    <row r="1548" ht="15.75" customHeight="1">
      <c r="A1548" s="737">
        <f t="shared" si="387"/>
        <v>0</v>
      </c>
      <c r="B1548" s="737">
        <f>A1548/'Orbit Info'!$G$10</f>
        <v>0</v>
      </c>
      <c r="C1548" s="737" t="str">
        <f t="shared" si="380"/>
        <v>Housekeeping and events only</v>
      </c>
      <c r="D1548" s="737">
        <f t="shared" si="381"/>
        <v>1</v>
      </c>
      <c r="E1548" s="737" t="str">
        <f t="shared" si="382"/>
        <v>#VALUE!</v>
      </c>
      <c r="F1548" s="737">
        <v>1.0</v>
      </c>
      <c r="G1548" s="737" t="str">
        <f t="shared" si="383"/>
        <v>#VALUE!</v>
      </c>
      <c r="H1548" s="737" t="str">
        <f>MIN($Q$11/('Orbit Info'!G$10),$Q$8*60)</f>
        <v>#VALUE!</v>
      </c>
      <c r="I1548" s="737" t="str">
        <f>IF(D1548=1,$Q$12/'Data DownlinkStorage Budget'!$M$3,0)</f>
        <v>#VALUE!</v>
      </c>
      <c r="J1548" s="737" t="str">
        <f t="shared" si="388"/>
        <v>#VALUE!</v>
      </c>
      <c r="K1548" s="11"/>
      <c r="L1548" s="737" t="str">
        <f t="shared" si="385"/>
        <v>FOUND product plus housekeeping</v>
      </c>
      <c r="M1548" s="737" t="str">
        <f>MIN($Q$18,$Q$10*60)-IF(D1548=1,$Q$17/'Data DownlinkStorage Budget'!$M$3,0)</f>
        <v>#VALUE!</v>
      </c>
      <c r="N1548" s="182"/>
      <c r="O1548" s="737" t="str">
        <f t="shared" si="389"/>
        <v>#VALUE!</v>
      </c>
      <c r="P1548" s="11"/>
      <c r="Q1548" s="11"/>
      <c r="R1548" s="11"/>
      <c r="S1548" s="11"/>
      <c r="T1548" s="11"/>
      <c r="U1548" s="11"/>
      <c r="V1548" s="11"/>
      <c r="W1548" s="11"/>
      <c r="X1548" s="11"/>
      <c r="Y1548" s="11"/>
      <c r="Z1548" s="11"/>
      <c r="AA1548" s="11"/>
    </row>
    <row r="1549" ht="15.75" customHeight="1">
      <c r="A1549" s="737">
        <f t="shared" si="387"/>
        <v>0</v>
      </c>
      <c r="B1549" s="737">
        <f>A1549/'Orbit Info'!$G$10</f>
        <v>0</v>
      </c>
      <c r="C1549" s="737" t="str">
        <f t="shared" si="380"/>
        <v>Housekeeping and events only</v>
      </c>
      <c r="D1549" s="737">
        <f t="shared" si="381"/>
        <v>1</v>
      </c>
      <c r="E1549" s="737" t="str">
        <f t="shared" si="382"/>
        <v>#VALUE!</v>
      </c>
      <c r="F1549" s="737">
        <v>1.0</v>
      </c>
      <c r="G1549" s="737" t="str">
        <f t="shared" si="383"/>
        <v>#VALUE!</v>
      </c>
      <c r="H1549" s="737" t="str">
        <f>MIN($Q$11/('Orbit Info'!G$10),$Q$8*60)</f>
        <v>#VALUE!</v>
      </c>
      <c r="I1549" s="737" t="str">
        <f>IF(D1549=1,$Q$12/'Data DownlinkStorage Budget'!$M$3,0)</f>
        <v>#VALUE!</v>
      </c>
      <c r="J1549" s="737" t="str">
        <f t="shared" si="388"/>
        <v>#VALUE!</v>
      </c>
      <c r="K1549" s="11"/>
      <c r="L1549" s="737" t="str">
        <f t="shared" si="385"/>
        <v>FOUND product plus housekeeping</v>
      </c>
      <c r="M1549" s="737" t="str">
        <f>MIN($Q$18,$Q$10*60)-IF(D1549=1,$Q$17/'Data DownlinkStorage Budget'!$M$3,0)</f>
        <v>#VALUE!</v>
      </c>
      <c r="N1549" s="182"/>
      <c r="O1549" s="737" t="str">
        <f t="shared" si="389"/>
        <v>#VALUE!</v>
      </c>
      <c r="P1549" s="11"/>
      <c r="Q1549" s="11"/>
      <c r="R1549" s="11"/>
      <c r="S1549" s="11"/>
      <c r="T1549" s="11"/>
      <c r="U1549" s="11"/>
      <c r="V1549" s="11"/>
      <c r="W1549" s="11"/>
      <c r="X1549" s="11"/>
      <c r="Y1549" s="11"/>
      <c r="Z1549" s="11"/>
      <c r="AA1549" s="11"/>
    </row>
    <row r="1550" ht="15.75" customHeight="1">
      <c r="A1550" s="737">
        <f t="shared" si="387"/>
        <v>0</v>
      </c>
      <c r="B1550" s="737">
        <f>A1550/'Orbit Info'!$G$10</f>
        <v>0</v>
      </c>
      <c r="C1550" s="737" t="str">
        <f t="shared" si="380"/>
        <v>Housekeeping and events only</v>
      </c>
      <c r="D1550" s="737">
        <f t="shared" si="381"/>
        <v>1</v>
      </c>
      <c r="E1550" s="737" t="str">
        <f t="shared" si="382"/>
        <v>#VALUE!</v>
      </c>
      <c r="F1550" s="737">
        <v>1.0</v>
      </c>
      <c r="G1550" s="737" t="str">
        <f t="shared" si="383"/>
        <v>#VALUE!</v>
      </c>
      <c r="H1550" s="737" t="str">
        <f>MIN($Q$11/('Orbit Info'!G$10),$Q$8*60)</f>
        <v>#VALUE!</v>
      </c>
      <c r="I1550" s="737" t="str">
        <f>IF(D1550=1,$Q$12/'Data DownlinkStorage Budget'!$M$3,0)</f>
        <v>#VALUE!</v>
      </c>
      <c r="J1550" s="737" t="str">
        <f t="shared" si="388"/>
        <v>#VALUE!</v>
      </c>
      <c r="K1550" s="11"/>
      <c r="L1550" s="737" t="str">
        <f t="shared" si="385"/>
        <v>FOUND product plus housekeeping</v>
      </c>
      <c r="M1550" s="737" t="str">
        <f>MIN($Q$18,$Q$10*60)-IF(D1550=1,$Q$17/'Data DownlinkStorage Budget'!$M$3,0)</f>
        <v>#VALUE!</v>
      </c>
      <c r="N1550" s="182"/>
      <c r="O1550" s="737" t="str">
        <f t="shared" si="389"/>
        <v>#VALUE!</v>
      </c>
      <c r="P1550" s="11"/>
      <c r="Q1550" s="11"/>
      <c r="R1550" s="11"/>
      <c r="S1550" s="11"/>
      <c r="T1550" s="11"/>
      <c r="U1550" s="11"/>
      <c r="V1550" s="11"/>
      <c r="W1550" s="11"/>
      <c r="X1550" s="11"/>
      <c r="Y1550" s="11"/>
      <c r="Z1550" s="11"/>
      <c r="AA1550" s="11"/>
    </row>
    <row r="1551" ht="15.75" customHeight="1">
      <c r="A1551" s="737">
        <f t="shared" si="387"/>
        <v>0</v>
      </c>
      <c r="B1551" s="737">
        <f>A1551/'Orbit Info'!$G$10</f>
        <v>0</v>
      </c>
      <c r="C1551" s="737" t="str">
        <f t="shared" si="380"/>
        <v>Housekeeping and events only</v>
      </c>
      <c r="D1551" s="737">
        <f t="shared" si="381"/>
        <v>1</v>
      </c>
      <c r="E1551" s="737" t="str">
        <f t="shared" si="382"/>
        <v>#VALUE!</v>
      </c>
      <c r="F1551" s="737">
        <v>1.0</v>
      </c>
      <c r="G1551" s="737" t="str">
        <f t="shared" si="383"/>
        <v>#VALUE!</v>
      </c>
      <c r="H1551" s="737" t="str">
        <f>MIN($Q$11/('Orbit Info'!G$10),$Q$8*60)</f>
        <v>#VALUE!</v>
      </c>
      <c r="I1551" s="737" t="str">
        <f>IF(D1551=1,$Q$12/'Data DownlinkStorage Budget'!$M$3,0)</f>
        <v>#VALUE!</v>
      </c>
      <c r="J1551" s="737" t="str">
        <f t="shared" si="388"/>
        <v>#VALUE!</v>
      </c>
      <c r="K1551" s="11"/>
      <c r="L1551" s="737" t="str">
        <f t="shared" si="385"/>
        <v>FOUND product plus housekeeping</v>
      </c>
      <c r="M1551" s="737" t="str">
        <f>MIN($Q$18,$Q$10*60)-IF(D1551=1,$Q$17/'Data DownlinkStorage Budget'!$M$3,0)</f>
        <v>#VALUE!</v>
      </c>
      <c r="N1551" s="182"/>
      <c r="O1551" s="737" t="str">
        <f t="shared" si="389"/>
        <v>#VALUE!</v>
      </c>
      <c r="P1551" s="11"/>
      <c r="Q1551" s="11"/>
      <c r="R1551" s="11"/>
      <c r="S1551" s="11"/>
      <c r="T1551" s="11"/>
      <c r="U1551" s="11"/>
      <c r="V1551" s="11"/>
      <c r="W1551" s="11"/>
      <c r="X1551" s="11"/>
      <c r="Y1551" s="11"/>
      <c r="Z1551" s="11"/>
      <c r="AA1551" s="11"/>
    </row>
    <row r="1552" ht="15.75" customHeight="1">
      <c r="A1552" s="737">
        <f t="shared" si="387"/>
        <v>0</v>
      </c>
      <c r="B1552" s="737">
        <f>A1552/'Orbit Info'!$G$10</f>
        <v>0</v>
      </c>
      <c r="C1552" s="737" t="str">
        <f t="shared" si="380"/>
        <v>Housekeeping and events only</v>
      </c>
      <c r="D1552" s="737">
        <f t="shared" si="381"/>
        <v>1</v>
      </c>
      <c r="E1552" s="737" t="str">
        <f t="shared" si="382"/>
        <v>#VALUE!</v>
      </c>
      <c r="F1552" s="737">
        <v>1.0</v>
      </c>
      <c r="G1552" s="737" t="str">
        <f t="shared" si="383"/>
        <v>#VALUE!</v>
      </c>
      <c r="H1552" s="737" t="str">
        <f>MIN($Q$11/('Orbit Info'!G$10),$Q$8*60)</f>
        <v>#VALUE!</v>
      </c>
      <c r="I1552" s="737" t="str">
        <f>IF(D1552=1,$Q$12/'Data DownlinkStorage Budget'!$M$3,0)</f>
        <v>#VALUE!</v>
      </c>
      <c r="J1552" s="737" t="str">
        <f t="shared" si="388"/>
        <v>#VALUE!</v>
      </c>
      <c r="K1552" s="11"/>
      <c r="L1552" s="737" t="str">
        <f t="shared" si="385"/>
        <v>FOUND product plus housekeeping</v>
      </c>
      <c r="M1552" s="737" t="str">
        <f>MIN($Q$18,$Q$10*60)-IF(D1552=1,$Q$17/'Data DownlinkStorage Budget'!$M$3,0)</f>
        <v>#VALUE!</v>
      </c>
      <c r="N1552" s="182"/>
      <c r="O1552" s="737" t="str">
        <f t="shared" si="389"/>
        <v>#VALUE!</v>
      </c>
      <c r="P1552" s="11"/>
      <c r="Q1552" s="11"/>
      <c r="R1552" s="11"/>
      <c r="S1552" s="11"/>
      <c r="T1552" s="11"/>
      <c r="U1552" s="11"/>
      <c r="V1552" s="11"/>
      <c r="W1552" s="11"/>
      <c r="X1552" s="11"/>
      <c r="Y1552" s="11"/>
      <c r="Z1552" s="11"/>
      <c r="AA1552" s="11"/>
    </row>
    <row r="1553" ht="15.75" customHeight="1">
      <c r="A1553" s="737">
        <f t="shared" si="387"/>
        <v>0</v>
      </c>
      <c r="B1553" s="737">
        <f>A1553/'Orbit Info'!$G$10</f>
        <v>0</v>
      </c>
      <c r="C1553" s="737" t="str">
        <f t="shared" si="380"/>
        <v>Housekeeping and events only</v>
      </c>
      <c r="D1553" s="737">
        <f t="shared" si="381"/>
        <v>1</v>
      </c>
      <c r="E1553" s="737" t="str">
        <f t="shared" si="382"/>
        <v>#VALUE!</v>
      </c>
      <c r="F1553" s="737">
        <v>1.0</v>
      </c>
      <c r="G1553" s="737" t="str">
        <f t="shared" si="383"/>
        <v>#VALUE!</v>
      </c>
      <c r="H1553" s="737" t="str">
        <f>MIN($Q$11/('Orbit Info'!G$10),$Q$8*60)</f>
        <v>#VALUE!</v>
      </c>
      <c r="I1553" s="737" t="str">
        <f>IF(D1553=1,$Q$12/'Data DownlinkStorage Budget'!$M$3,0)</f>
        <v>#VALUE!</v>
      </c>
      <c r="J1553" s="737" t="str">
        <f t="shared" si="388"/>
        <v>#VALUE!</v>
      </c>
      <c r="K1553" s="11"/>
      <c r="L1553" s="737" t="str">
        <f t="shared" si="385"/>
        <v>FOUND product plus housekeeping</v>
      </c>
      <c r="M1553" s="737" t="str">
        <f>MIN($Q$18,$Q$10*60)-IF(D1553=1,$Q$17/'Data DownlinkStorage Budget'!$M$3,0)</f>
        <v>#VALUE!</v>
      </c>
      <c r="N1553" s="182"/>
      <c r="O1553" s="737" t="str">
        <f t="shared" si="389"/>
        <v>#VALUE!</v>
      </c>
      <c r="P1553" s="11"/>
      <c r="Q1553" s="11"/>
      <c r="R1553" s="11"/>
      <c r="S1553" s="11"/>
      <c r="T1553" s="11"/>
      <c r="U1553" s="11"/>
      <c r="V1553" s="11"/>
      <c r="W1553" s="11"/>
      <c r="X1553" s="11"/>
      <c r="Y1553" s="11"/>
      <c r="Z1553" s="11"/>
      <c r="AA1553" s="11"/>
    </row>
    <row r="1554" ht="15.75" customHeight="1">
      <c r="A1554" s="737">
        <f t="shared" si="387"/>
        <v>0</v>
      </c>
      <c r="B1554" s="737">
        <f>A1554/'Orbit Info'!$G$10</f>
        <v>0</v>
      </c>
      <c r="C1554" s="737" t="str">
        <f t="shared" si="380"/>
        <v>Housekeeping and events only</v>
      </c>
      <c r="D1554" s="737">
        <f t="shared" si="381"/>
        <v>1</v>
      </c>
      <c r="E1554" s="737" t="str">
        <f t="shared" si="382"/>
        <v>#VALUE!</v>
      </c>
      <c r="F1554" s="737">
        <v>1.0</v>
      </c>
      <c r="G1554" s="737" t="str">
        <f t="shared" si="383"/>
        <v>#VALUE!</v>
      </c>
      <c r="H1554" s="737" t="str">
        <f>MIN($Q$11/('Orbit Info'!G$10),$Q$8*60)</f>
        <v>#VALUE!</v>
      </c>
      <c r="I1554" s="737" t="str">
        <f>IF(D1554=1,$Q$12/'Data DownlinkStorage Budget'!$M$3,0)</f>
        <v>#VALUE!</v>
      </c>
      <c r="J1554" s="737" t="str">
        <f t="shared" si="388"/>
        <v>#VALUE!</v>
      </c>
      <c r="K1554" s="11"/>
      <c r="L1554" s="737" t="str">
        <f t="shared" si="385"/>
        <v>FOUND product plus housekeeping</v>
      </c>
      <c r="M1554" s="737" t="str">
        <f>MIN($Q$18,$Q$10*60)-IF(D1554=1,$Q$17/'Data DownlinkStorage Budget'!$M$3,0)</f>
        <v>#VALUE!</v>
      </c>
      <c r="N1554" s="182"/>
      <c r="O1554" s="737" t="str">
        <f t="shared" si="389"/>
        <v>#VALUE!</v>
      </c>
      <c r="P1554" s="11"/>
      <c r="Q1554" s="11"/>
      <c r="R1554" s="11"/>
      <c r="S1554" s="11"/>
      <c r="T1554" s="11"/>
      <c r="U1554" s="11"/>
      <c r="V1554" s="11"/>
      <c r="W1554" s="11"/>
      <c r="X1554" s="11"/>
      <c r="Y1554" s="11"/>
      <c r="Z1554" s="11"/>
      <c r="AA1554" s="11"/>
    </row>
    <row r="1555" ht="15.75" customHeight="1">
      <c r="A1555" s="737">
        <f t="shared" si="387"/>
        <v>0</v>
      </c>
      <c r="B1555" s="737">
        <f>A1555/'Orbit Info'!$G$10</f>
        <v>0</v>
      </c>
      <c r="C1555" s="737" t="str">
        <f t="shared" si="380"/>
        <v>Housekeeping and events only</v>
      </c>
      <c r="D1555" s="737">
        <f t="shared" si="381"/>
        <v>1</v>
      </c>
      <c r="E1555" s="737" t="str">
        <f t="shared" si="382"/>
        <v>#VALUE!</v>
      </c>
      <c r="F1555" s="737">
        <v>1.0</v>
      </c>
      <c r="G1555" s="737" t="str">
        <f t="shared" si="383"/>
        <v>#VALUE!</v>
      </c>
      <c r="H1555" s="737" t="str">
        <f>MIN($Q$11/('Orbit Info'!G$10),$Q$8*60)</f>
        <v>#VALUE!</v>
      </c>
      <c r="I1555" s="737" t="str">
        <f>IF(D1555=1,$Q$12/'Data DownlinkStorage Budget'!$M$3,0)</f>
        <v>#VALUE!</v>
      </c>
      <c r="J1555" s="737" t="str">
        <f t="shared" si="388"/>
        <v>#VALUE!</v>
      </c>
      <c r="K1555" s="11"/>
      <c r="L1555" s="737" t="str">
        <f t="shared" si="385"/>
        <v>FOUND product plus housekeeping</v>
      </c>
      <c r="M1555" s="737" t="str">
        <f>MIN($Q$18,$Q$10*60)-IF(D1555=1,$Q$17/'Data DownlinkStorage Budget'!$M$3,0)</f>
        <v>#VALUE!</v>
      </c>
      <c r="N1555" s="182"/>
      <c r="O1555" s="737" t="str">
        <f t="shared" si="389"/>
        <v>#VALUE!</v>
      </c>
      <c r="P1555" s="11"/>
      <c r="Q1555" s="11"/>
      <c r="R1555" s="11"/>
      <c r="S1555" s="11"/>
      <c r="T1555" s="11"/>
      <c r="U1555" s="11"/>
      <c r="V1555" s="11"/>
      <c r="W1555" s="11"/>
      <c r="X1555" s="11"/>
      <c r="Y1555" s="11"/>
      <c r="Z1555" s="11"/>
      <c r="AA1555" s="11"/>
    </row>
    <row r="1556" ht="15.75" customHeight="1">
      <c r="A1556" s="737">
        <f t="shared" si="387"/>
        <v>0</v>
      </c>
      <c r="B1556" s="737">
        <f>A1556/'Orbit Info'!$G$10</f>
        <v>0</v>
      </c>
      <c r="C1556" s="737" t="str">
        <f t="shared" si="380"/>
        <v>Housekeeping and events only</v>
      </c>
      <c r="D1556" s="737">
        <f t="shared" si="381"/>
        <v>1</v>
      </c>
      <c r="E1556" s="737" t="str">
        <f t="shared" si="382"/>
        <v>#VALUE!</v>
      </c>
      <c r="F1556" s="737">
        <v>1.0</v>
      </c>
      <c r="G1556" s="737" t="str">
        <f t="shared" si="383"/>
        <v>#VALUE!</v>
      </c>
      <c r="H1556" s="737" t="str">
        <f>MIN($Q$11/('Orbit Info'!G$10),$Q$8*60)</f>
        <v>#VALUE!</v>
      </c>
      <c r="I1556" s="737" t="str">
        <f>IF(D1556=1,$Q$12/'Data DownlinkStorage Budget'!$M$3,0)</f>
        <v>#VALUE!</v>
      </c>
      <c r="J1556" s="737" t="str">
        <f t="shared" si="388"/>
        <v>#VALUE!</v>
      </c>
      <c r="K1556" s="11"/>
      <c r="L1556" s="737" t="str">
        <f t="shared" si="385"/>
        <v>FOUND product plus housekeeping</v>
      </c>
      <c r="M1556" s="737" t="str">
        <f>MIN($Q$18,$Q$10*60)-IF(D1556=1,$Q$17/'Data DownlinkStorage Budget'!$M$3,0)</f>
        <v>#VALUE!</v>
      </c>
      <c r="N1556" s="182"/>
      <c r="O1556" s="737" t="str">
        <f t="shared" si="389"/>
        <v>#VALUE!</v>
      </c>
      <c r="P1556" s="11"/>
      <c r="Q1556" s="11"/>
      <c r="R1556" s="11"/>
      <c r="S1556" s="11"/>
      <c r="T1556" s="11"/>
      <c r="U1556" s="11"/>
      <c r="V1556" s="11"/>
      <c r="W1556" s="11"/>
      <c r="X1556" s="11"/>
      <c r="Y1556" s="11"/>
      <c r="Z1556" s="11"/>
      <c r="AA1556" s="11"/>
    </row>
    <row r="1557" ht="15.75" customHeight="1">
      <c r="A1557" s="737">
        <f t="shared" si="387"/>
        <v>0</v>
      </c>
      <c r="B1557" s="737">
        <f>A1557/'Orbit Info'!$G$10</f>
        <v>0</v>
      </c>
      <c r="C1557" s="737" t="str">
        <f t="shared" si="380"/>
        <v>Housekeeping and events only</v>
      </c>
      <c r="D1557" s="737">
        <f t="shared" si="381"/>
        <v>1</v>
      </c>
      <c r="E1557" s="737" t="str">
        <f t="shared" si="382"/>
        <v>#VALUE!</v>
      </c>
      <c r="F1557" s="737">
        <v>1.0</v>
      </c>
      <c r="G1557" s="737" t="str">
        <f t="shared" si="383"/>
        <v>#VALUE!</v>
      </c>
      <c r="H1557" s="737" t="str">
        <f>MIN($Q$11/('Orbit Info'!G$10),$Q$8*60)</f>
        <v>#VALUE!</v>
      </c>
      <c r="I1557" s="737" t="str">
        <f>IF(D1557=1,$Q$12/'Data DownlinkStorage Budget'!$M$3,0)</f>
        <v>#VALUE!</v>
      </c>
      <c r="J1557" s="737" t="str">
        <f t="shared" si="388"/>
        <v>#VALUE!</v>
      </c>
      <c r="K1557" s="11"/>
      <c r="L1557" s="737" t="str">
        <f t="shared" si="385"/>
        <v>FOUND product plus housekeeping</v>
      </c>
      <c r="M1557" s="737" t="str">
        <f>MIN($Q$18,$Q$10*60)-IF(D1557=1,$Q$17/'Data DownlinkStorage Budget'!$M$3,0)</f>
        <v>#VALUE!</v>
      </c>
      <c r="N1557" s="182"/>
      <c r="O1557" s="737" t="str">
        <f t="shared" si="389"/>
        <v>#VALUE!</v>
      </c>
      <c r="P1557" s="11"/>
      <c r="Q1557" s="11"/>
      <c r="R1557" s="11"/>
      <c r="S1557" s="11"/>
      <c r="T1557" s="11"/>
      <c r="U1557" s="11"/>
      <c r="V1557" s="11"/>
      <c r="W1557" s="11"/>
      <c r="X1557" s="11"/>
      <c r="Y1557" s="11"/>
      <c r="Z1557" s="11"/>
      <c r="AA1557" s="11"/>
    </row>
    <row r="1558" ht="15.75" customHeight="1">
      <c r="A1558" s="737">
        <f t="shared" si="387"/>
        <v>0</v>
      </c>
      <c r="B1558" s="737">
        <f>A1558/'Orbit Info'!$G$10</f>
        <v>0</v>
      </c>
      <c r="C1558" s="737" t="str">
        <f t="shared" si="380"/>
        <v>Housekeeping and events only</v>
      </c>
      <c r="D1558" s="737">
        <f t="shared" si="381"/>
        <v>1</v>
      </c>
      <c r="E1558" s="737" t="str">
        <f t="shared" si="382"/>
        <v>#VALUE!</v>
      </c>
      <c r="F1558" s="737">
        <v>1.0</v>
      </c>
      <c r="G1558" s="737" t="str">
        <f t="shared" si="383"/>
        <v>#VALUE!</v>
      </c>
      <c r="H1558" s="737" t="str">
        <f>MIN($Q$11/('Orbit Info'!G$10),$Q$8*60)</f>
        <v>#VALUE!</v>
      </c>
      <c r="I1558" s="737" t="str">
        <f>IF(D1558=1,$Q$12/'Data DownlinkStorage Budget'!$M$3,0)</f>
        <v>#VALUE!</v>
      </c>
      <c r="J1558" s="737" t="str">
        <f t="shared" si="388"/>
        <v>#VALUE!</v>
      </c>
      <c r="K1558" s="11"/>
      <c r="L1558" s="737" t="str">
        <f t="shared" si="385"/>
        <v>FOUND product plus housekeeping</v>
      </c>
      <c r="M1558" s="737" t="str">
        <f>MIN($Q$18,$Q$10*60)-IF(D1558=1,$Q$17/'Data DownlinkStorage Budget'!$M$3,0)</f>
        <v>#VALUE!</v>
      </c>
      <c r="N1558" s="182"/>
      <c r="O1558" s="737" t="str">
        <f t="shared" si="389"/>
        <v>#VALUE!</v>
      </c>
      <c r="P1558" s="11"/>
      <c r="Q1558" s="11"/>
      <c r="R1558" s="11"/>
      <c r="S1558" s="11"/>
      <c r="T1558" s="11"/>
      <c r="U1558" s="11"/>
      <c r="V1558" s="11"/>
      <c r="W1558" s="11"/>
      <c r="X1558" s="11"/>
      <c r="Y1558" s="11"/>
      <c r="Z1558" s="11"/>
      <c r="AA1558" s="11"/>
    </row>
    <row r="1559" ht="15.75" customHeight="1">
      <c r="A1559" s="737">
        <f t="shared" si="387"/>
        <v>0</v>
      </c>
      <c r="B1559" s="737">
        <f>A1559/'Orbit Info'!$G$10</f>
        <v>0</v>
      </c>
      <c r="C1559" s="737" t="str">
        <f t="shared" si="380"/>
        <v>Housekeeping and events only</v>
      </c>
      <c r="D1559" s="737">
        <f t="shared" si="381"/>
        <v>1</v>
      </c>
      <c r="E1559" s="737" t="str">
        <f t="shared" si="382"/>
        <v>#VALUE!</v>
      </c>
      <c r="F1559" s="737">
        <v>1.0</v>
      </c>
      <c r="G1559" s="737" t="str">
        <f t="shared" si="383"/>
        <v>#VALUE!</v>
      </c>
      <c r="H1559" s="737" t="str">
        <f>MIN($Q$11/('Orbit Info'!G$10),$Q$8*60)</f>
        <v>#VALUE!</v>
      </c>
      <c r="I1559" s="737" t="str">
        <f>IF(D1559=1,$Q$12/'Data DownlinkStorage Budget'!$M$3,0)</f>
        <v>#VALUE!</v>
      </c>
      <c r="J1559" s="737" t="str">
        <f t="shared" si="388"/>
        <v>#VALUE!</v>
      </c>
      <c r="K1559" s="11"/>
      <c r="L1559" s="737" t="str">
        <f t="shared" si="385"/>
        <v>FOUND product plus housekeeping</v>
      </c>
      <c r="M1559" s="737" t="str">
        <f>MIN($Q$18,$Q$10*60)-IF(D1559=1,$Q$17/'Data DownlinkStorage Budget'!$M$3,0)</f>
        <v>#VALUE!</v>
      </c>
      <c r="N1559" s="182"/>
      <c r="O1559" s="737" t="str">
        <f t="shared" si="389"/>
        <v>#VALUE!</v>
      </c>
      <c r="P1559" s="11"/>
      <c r="Q1559" s="11"/>
      <c r="R1559" s="11"/>
      <c r="S1559" s="11"/>
      <c r="T1559" s="11"/>
      <c r="U1559" s="11"/>
      <c r="V1559" s="11"/>
      <c r="W1559" s="11"/>
      <c r="X1559" s="11"/>
      <c r="Y1559" s="11"/>
      <c r="Z1559" s="11"/>
      <c r="AA1559" s="11"/>
    </row>
    <row r="1560" ht="15.75" customHeight="1">
      <c r="A1560" s="737">
        <f t="shared" si="387"/>
        <v>0</v>
      </c>
      <c r="B1560" s="737">
        <f>A1560/'Orbit Info'!$G$10</f>
        <v>0</v>
      </c>
      <c r="C1560" s="737" t="str">
        <f t="shared" si="380"/>
        <v>Housekeeping and events only</v>
      </c>
      <c r="D1560" s="737">
        <f t="shared" si="381"/>
        <v>1</v>
      </c>
      <c r="E1560" s="737" t="str">
        <f t="shared" si="382"/>
        <v>#VALUE!</v>
      </c>
      <c r="F1560" s="737">
        <v>1.0</v>
      </c>
      <c r="G1560" s="737" t="str">
        <f t="shared" si="383"/>
        <v>#VALUE!</v>
      </c>
      <c r="H1560" s="737" t="str">
        <f>MIN($Q$11/('Orbit Info'!G$10),$Q$8*60)</f>
        <v>#VALUE!</v>
      </c>
      <c r="I1560" s="737" t="str">
        <f>IF(D1560=1,$Q$12/'Data DownlinkStorage Budget'!$M$3,0)</f>
        <v>#VALUE!</v>
      </c>
      <c r="J1560" s="737" t="str">
        <f t="shared" si="388"/>
        <v>#VALUE!</v>
      </c>
      <c r="K1560" s="11"/>
      <c r="L1560" s="737" t="str">
        <f t="shared" si="385"/>
        <v>FOUND product plus housekeeping</v>
      </c>
      <c r="M1560" s="737" t="str">
        <f>MIN($Q$18,$Q$10*60)-IF(D1560=1,$Q$17/'Data DownlinkStorage Budget'!$M$3,0)</f>
        <v>#VALUE!</v>
      </c>
      <c r="N1560" s="182"/>
      <c r="O1560" s="737" t="str">
        <f t="shared" si="389"/>
        <v>#VALUE!</v>
      </c>
      <c r="P1560" s="11"/>
      <c r="Q1560" s="11"/>
      <c r="R1560" s="11"/>
      <c r="S1560" s="11"/>
      <c r="T1560" s="11"/>
      <c r="U1560" s="11"/>
      <c r="V1560" s="11"/>
      <c r="W1560" s="11"/>
      <c r="X1560" s="11"/>
      <c r="Y1560" s="11"/>
      <c r="Z1560" s="11"/>
      <c r="AA1560" s="11"/>
    </row>
    <row r="1561" ht="15.75" customHeight="1">
      <c r="A1561" s="737">
        <f t="shared" si="387"/>
        <v>0</v>
      </c>
      <c r="B1561" s="737">
        <f>A1561/'Orbit Info'!$G$10</f>
        <v>0</v>
      </c>
      <c r="C1561" s="737" t="str">
        <f t="shared" si="380"/>
        <v>Housekeeping and events only</v>
      </c>
      <c r="D1561" s="737">
        <f t="shared" si="381"/>
        <v>1</v>
      </c>
      <c r="E1561" s="737" t="str">
        <f t="shared" si="382"/>
        <v>#VALUE!</v>
      </c>
      <c r="F1561" s="737">
        <v>1.0</v>
      </c>
      <c r="G1561" s="737" t="str">
        <f t="shared" si="383"/>
        <v>#VALUE!</v>
      </c>
      <c r="H1561" s="737" t="str">
        <f>MIN($Q$11/('Orbit Info'!G$10),$Q$8*60)</f>
        <v>#VALUE!</v>
      </c>
      <c r="I1561" s="737" t="str">
        <f>IF(D1561=1,$Q$12/'Data DownlinkStorage Budget'!$M$3,0)</f>
        <v>#VALUE!</v>
      </c>
      <c r="J1561" s="737" t="str">
        <f t="shared" si="388"/>
        <v>#VALUE!</v>
      </c>
      <c r="K1561" s="11"/>
      <c r="L1561" s="737" t="str">
        <f t="shared" si="385"/>
        <v>FOUND product plus housekeeping</v>
      </c>
      <c r="M1561" s="737" t="str">
        <f>MIN($Q$18,$Q$10*60)-IF(D1561=1,$Q$17/'Data DownlinkStorage Budget'!$M$3,0)</f>
        <v>#VALUE!</v>
      </c>
      <c r="N1561" s="182"/>
      <c r="O1561" s="737" t="str">
        <f t="shared" si="389"/>
        <v>#VALUE!</v>
      </c>
      <c r="P1561" s="11"/>
      <c r="Q1561" s="11"/>
      <c r="R1561" s="11"/>
      <c r="S1561" s="11"/>
      <c r="T1561" s="11"/>
      <c r="U1561" s="11"/>
      <c r="V1561" s="11"/>
      <c r="W1561" s="11"/>
      <c r="X1561" s="11"/>
      <c r="Y1561" s="11"/>
      <c r="Z1561" s="11"/>
      <c r="AA1561" s="11"/>
    </row>
    <row r="1562" ht="15.75" customHeight="1">
      <c r="A1562" s="737">
        <f t="shared" si="387"/>
        <v>0</v>
      </c>
      <c r="B1562" s="737">
        <f>A1562/'Orbit Info'!$G$10</f>
        <v>0</v>
      </c>
      <c r="C1562" s="737" t="str">
        <f t="shared" si="380"/>
        <v>Housekeeping and events only</v>
      </c>
      <c r="D1562" s="737">
        <f t="shared" si="381"/>
        <v>1</v>
      </c>
      <c r="E1562" s="737" t="str">
        <f t="shared" si="382"/>
        <v>#VALUE!</v>
      </c>
      <c r="F1562" s="737">
        <v>1.0</v>
      </c>
      <c r="G1562" s="737" t="str">
        <f t="shared" si="383"/>
        <v>#VALUE!</v>
      </c>
      <c r="H1562" s="737" t="str">
        <f>MIN($Q$11/('Orbit Info'!G$10),$Q$8*60)</f>
        <v>#VALUE!</v>
      </c>
      <c r="I1562" s="737" t="str">
        <f>IF(D1562=1,$Q$12/'Data DownlinkStorage Budget'!$M$3,0)</f>
        <v>#VALUE!</v>
      </c>
      <c r="J1562" s="737" t="str">
        <f t="shared" si="388"/>
        <v>#VALUE!</v>
      </c>
      <c r="K1562" s="11"/>
      <c r="L1562" s="737" t="str">
        <f t="shared" si="385"/>
        <v>FOUND product plus housekeeping</v>
      </c>
      <c r="M1562" s="737" t="str">
        <f>MIN($Q$18,$Q$10*60)-IF(D1562=1,$Q$17/'Data DownlinkStorage Budget'!$M$3,0)</f>
        <v>#VALUE!</v>
      </c>
      <c r="N1562" s="182"/>
      <c r="O1562" s="737" t="str">
        <f t="shared" si="389"/>
        <v>#VALUE!</v>
      </c>
      <c r="P1562" s="11"/>
      <c r="Q1562" s="11"/>
      <c r="R1562" s="11"/>
      <c r="S1562" s="11"/>
      <c r="T1562" s="11"/>
      <c r="U1562" s="11"/>
      <c r="V1562" s="11"/>
      <c r="W1562" s="11"/>
      <c r="X1562" s="11"/>
      <c r="Y1562" s="11"/>
      <c r="Z1562" s="11"/>
      <c r="AA1562" s="11"/>
    </row>
    <row r="1563" ht="15.75" customHeight="1">
      <c r="A1563" s="737">
        <f t="shared" si="387"/>
        <v>0</v>
      </c>
      <c r="B1563" s="737">
        <f>A1563/'Orbit Info'!$G$10</f>
        <v>0</v>
      </c>
      <c r="C1563" s="737" t="str">
        <f t="shared" si="380"/>
        <v>Housekeeping and events only</v>
      </c>
      <c r="D1563" s="737">
        <f t="shared" si="381"/>
        <v>1</v>
      </c>
      <c r="E1563" s="737" t="str">
        <f t="shared" si="382"/>
        <v>#VALUE!</v>
      </c>
      <c r="F1563" s="737">
        <v>1.0</v>
      </c>
      <c r="G1563" s="737" t="str">
        <f t="shared" si="383"/>
        <v>#VALUE!</v>
      </c>
      <c r="H1563" s="737" t="str">
        <f>MIN($Q$11/('Orbit Info'!G$10),$Q$8*60)</f>
        <v>#VALUE!</v>
      </c>
      <c r="I1563" s="737" t="str">
        <f>IF(D1563=1,$Q$12/'Data DownlinkStorage Budget'!$M$3,0)</f>
        <v>#VALUE!</v>
      </c>
      <c r="J1563" s="737" t="str">
        <f t="shared" si="388"/>
        <v>#VALUE!</v>
      </c>
      <c r="K1563" s="11"/>
      <c r="L1563" s="737" t="str">
        <f t="shared" si="385"/>
        <v>FOUND product plus housekeeping</v>
      </c>
      <c r="M1563" s="737" t="str">
        <f>MIN($Q$18,$Q$10*60)-IF(D1563=1,$Q$17/'Data DownlinkStorage Budget'!$M$3,0)</f>
        <v>#VALUE!</v>
      </c>
      <c r="N1563" s="182"/>
      <c r="O1563" s="737" t="str">
        <f t="shared" si="389"/>
        <v>#VALUE!</v>
      </c>
      <c r="P1563" s="11"/>
      <c r="Q1563" s="11"/>
      <c r="R1563" s="11"/>
      <c r="S1563" s="11"/>
      <c r="T1563" s="11"/>
      <c r="U1563" s="11"/>
      <c r="V1563" s="11"/>
      <c r="W1563" s="11"/>
      <c r="X1563" s="11"/>
      <c r="Y1563" s="11"/>
      <c r="Z1563" s="11"/>
      <c r="AA1563" s="11"/>
    </row>
    <row r="1564" ht="15.75" customHeight="1">
      <c r="A1564" s="737">
        <f t="shared" si="387"/>
        <v>0</v>
      </c>
      <c r="B1564" s="737">
        <f>A1564/'Orbit Info'!$G$10</f>
        <v>0</v>
      </c>
      <c r="C1564" s="737" t="str">
        <f t="shared" si="380"/>
        <v>Housekeeping and events only</v>
      </c>
      <c r="D1564" s="737">
        <f t="shared" si="381"/>
        <v>1</v>
      </c>
      <c r="E1564" s="737" t="str">
        <f t="shared" si="382"/>
        <v>#VALUE!</v>
      </c>
      <c r="F1564" s="737">
        <v>1.0</v>
      </c>
      <c r="G1564" s="737" t="str">
        <f t="shared" si="383"/>
        <v>#VALUE!</v>
      </c>
      <c r="H1564" s="737" t="str">
        <f>MIN($Q$11/('Orbit Info'!G$10),$Q$8*60)</f>
        <v>#VALUE!</v>
      </c>
      <c r="I1564" s="737" t="str">
        <f>IF(D1564=1,$Q$12/'Data DownlinkStorage Budget'!$M$3,0)</f>
        <v>#VALUE!</v>
      </c>
      <c r="J1564" s="737" t="str">
        <f t="shared" si="388"/>
        <v>#VALUE!</v>
      </c>
      <c r="K1564" s="11"/>
      <c r="L1564" s="737" t="str">
        <f t="shared" si="385"/>
        <v>FOUND product plus housekeeping</v>
      </c>
      <c r="M1564" s="737" t="str">
        <f>MIN($Q$18,$Q$10*60)-IF(D1564=1,$Q$17/'Data DownlinkStorage Budget'!$M$3,0)</f>
        <v>#VALUE!</v>
      </c>
      <c r="N1564" s="182"/>
      <c r="O1564" s="737" t="str">
        <f t="shared" si="389"/>
        <v>#VALUE!</v>
      </c>
      <c r="P1564" s="11"/>
      <c r="Q1564" s="11"/>
      <c r="R1564" s="11"/>
      <c r="S1564" s="11"/>
      <c r="T1564" s="11"/>
      <c r="U1564" s="11"/>
      <c r="V1564" s="11"/>
      <c r="W1564" s="11"/>
      <c r="X1564" s="11"/>
      <c r="Y1564" s="11"/>
      <c r="Z1564" s="11"/>
      <c r="AA1564" s="11"/>
    </row>
    <row r="1565" ht="15.75" customHeight="1">
      <c r="A1565" s="737">
        <f t="shared" si="387"/>
        <v>0</v>
      </c>
      <c r="B1565" s="737">
        <f>A1565/'Orbit Info'!$G$10</f>
        <v>0</v>
      </c>
      <c r="C1565" s="737" t="str">
        <f t="shared" si="380"/>
        <v>Housekeeping and events only</v>
      </c>
      <c r="D1565" s="737">
        <f t="shared" si="381"/>
        <v>1</v>
      </c>
      <c r="E1565" s="737" t="str">
        <f t="shared" si="382"/>
        <v>#VALUE!</v>
      </c>
      <c r="F1565" s="737">
        <v>1.0</v>
      </c>
      <c r="G1565" s="737" t="str">
        <f t="shared" si="383"/>
        <v>#VALUE!</v>
      </c>
      <c r="H1565" s="737" t="str">
        <f>MIN($Q$11/('Orbit Info'!G$10),$Q$8*60)</f>
        <v>#VALUE!</v>
      </c>
      <c r="I1565" s="737" t="str">
        <f>IF(D1565=1,$Q$12/'Data DownlinkStorage Budget'!$M$3,0)</f>
        <v>#VALUE!</v>
      </c>
      <c r="J1565" s="737" t="str">
        <f t="shared" si="388"/>
        <v>#VALUE!</v>
      </c>
      <c r="K1565" s="11"/>
      <c r="L1565" s="737" t="str">
        <f t="shared" si="385"/>
        <v>FOUND product plus housekeeping</v>
      </c>
      <c r="M1565" s="737" t="str">
        <f>MIN($Q$18,$Q$10*60)-IF(D1565=1,$Q$17/'Data DownlinkStorage Budget'!$M$3,0)</f>
        <v>#VALUE!</v>
      </c>
      <c r="N1565" s="182"/>
      <c r="O1565" s="737" t="str">
        <f t="shared" si="389"/>
        <v>#VALUE!</v>
      </c>
      <c r="P1565" s="11"/>
      <c r="Q1565" s="11"/>
      <c r="R1565" s="11"/>
      <c r="S1565" s="11"/>
      <c r="T1565" s="11"/>
      <c r="U1565" s="11"/>
      <c r="V1565" s="11"/>
      <c r="W1565" s="11"/>
      <c r="X1565" s="11"/>
      <c r="Y1565" s="11"/>
      <c r="Z1565" s="11"/>
      <c r="AA1565" s="11"/>
    </row>
    <row r="1566" ht="15.75" customHeight="1">
      <c r="A1566" s="737">
        <f t="shared" si="387"/>
        <v>0</v>
      </c>
      <c r="B1566" s="737">
        <f>A1566/'Orbit Info'!$G$10</f>
        <v>0</v>
      </c>
      <c r="C1566" s="737" t="str">
        <f t="shared" si="380"/>
        <v>Housekeeping and events only</v>
      </c>
      <c r="D1566" s="737">
        <f t="shared" si="381"/>
        <v>1</v>
      </c>
      <c r="E1566" s="737" t="str">
        <f t="shared" si="382"/>
        <v>#VALUE!</v>
      </c>
      <c r="F1566" s="737">
        <v>1.0</v>
      </c>
      <c r="G1566" s="737" t="str">
        <f t="shared" si="383"/>
        <v>#VALUE!</v>
      </c>
      <c r="H1566" s="737" t="str">
        <f>MIN($Q$11/('Orbit Info'!G$10),$Q$8*60)</f>
        <v>#VALUE!</v>
      </c>
      <c r="I1566" s="737" t="str">
        <f>IF(D1566=1,$Q$12/'Data DownlinkStorage Budget'!$M$3,0)</f>
        <v>#VALUE!</v>
      </c>
      <c r="J1566" s="737" t="str">
        <f t="shared" si="388"/>
        <v>#VALUE!</v>
      </c>
      <c r="K1566" s="11"/>
      <c r="L1566" s="737" t="str">
        <f t="shared" si="385"/>
        <v>FOUND product plus housekeeping</v>
      </c>
      <c r="M1566" s="737" t="str">
        <f>MIN($Q$18,$Q$10*60)-IF(D1566=1,$Q$17/'Data DownlinkStorage Budget'!$M$3,0)</f>
        <v>#VALUE!</v>
      </c>
      <c r="N1566" s="182"/>
      <c r="O1566" s="737" t="str">
        <f t="shared" si="389"/>
        <v>#VALUE!</v>
      </c>
      <c r="P1566" s="11"/>
      <c r="Q1566" s="11"/>
      <c r="R1566" s="11"/>
      <c r="S1566" s="11"/>
      <c r="T1566" s="11"/>
      <c r="U1566" s="11"/>
      <c r="V1566" s="11"/>
      <c r="W1566" s="11"/>
      <c r="X1566" s="11"/>
      <c r="Y1566" s="11"/>
      <c r="Z1566" s="11"/>
      <c r="AA1566" s="11"/>
    </row>
    <row r="1567" ht="15.75" customHeight="1">
      <c r="A1567" s="737">
        <f t="shared" si="387"/>
        <v>0</v>
      </c>
      <c r="B1567" s="737">
        <f>A1567/'Orbit Info'!$G$10</f>
        <v>0</v>
      </c>
      <c r="C1567" s="737" t="str">
        <f t="shared" si="380"/>
        <v>Housekeeping and events only</v>
      </c>
      <c r="D1567" s="737">
        <f t="shared" si="381"/>
        <v>1</v>
      </c>
      <c r="E1567" s="737" t="str">
        <f t="shared" si="382"/>
        <v>#VALUE!</v>
      </c>
      <c r="F1567" s="737">
        <v>1.0</v>
      </c>
      <c r="G1567" s="737" t="str">
        <f t="shared" si="383"/>
        <v>#VALUE!</v>
      </c>
      <c r="H1567" s="737" t="str">
        <f>MIN($Q$11/('Orbit Info'!G$10),$Q$8*60)</f>
        <v>#VALUE!</v>
      </c>
      <c r="I1567" s="737" t="str">
        <f>IF(D1567=1,$Q$12/'Data DownlinkStorage Budget'!$M$3,0)</f>
        <v>#VALUE!</v>
      </c>
      <c r="J1567" s="737" t="str">
        <f t="shared" si="388"/>
        <v>#VALUE!</v>
      </c>
      <c r="K1567" s="11"/>
      <c r="L1567" s="737" t="str">
        <f t="shared" si="385"/>
        <v>FOUND product plus housekeeping</v>
      </c>
      <c r="M1567" s="737" t="str">
        <f>MIN($Q$18,$Q$10*60)-IF(D1567=1,$Q$17/'Data DownlinkStorage Budget'!$M$3,0)</f>
        <v>#VALUE!</v>
      </c>
      <c r="N1567" s="182"/>
      <c r="O1567" s="737" t="str">
        <f t="shared" si="389"/>
        <v>#VALUE!</v>
      </c>
      <c r="P1567" s="11"/>
      <c r="Q1567" s="11"/>
      <c r="R1567" s="11"/>
      <c r="S1567" s="11"/>
      <c r="T1567" s="11"/>
      <c r="U1567" s="11"/>
      <c r="V1567" s="11"/>
      <c r="W1567" s="11"/>
      <c r="X1567" s="11"/>
      <c r="Y1567" s="11"/>
      <c r="Z1567" s="11"/>
      <c r="AA1567" s="11"/>
    </row>
    <row r="1568" ht="15.75" customHeight="1">
      <c r="A1568" s="737">
        <f t="shared" si="387"/>
        <v>0</v>
      </c>
      <c r="B1568" s="737">
        <f>A1568/'Orbit Info'!$G$10</f>
        <v>0</v>
      </c>
      <c r="C1568" s="737" t="str">
        <f t="shared" si="380"/>
        <v>Housekeeping and events only</v>
      </c>
      <c r="D1568" s="737">
        <f t="shared" si="381"/>
        <v>1</v>
      </c>
      <c r="E1568" s="737" t="str">
        <f t="shared" si="382"/>
        <v>#VALUE!</v>
      </c>
      <c r="F1568" s="737">
        <v>1.0</v>
      </c>
      <c r="G1568" s="737" t="str">
        <f t="shared" si="383"/>
        <v>#VALUE!</v>
      </c>
      <c r="H1568" s="737" t="str">
        <f>MIN($Q$11/('Orbit Info'!G$10),$Q$8*60)</f>
        <v>#VALUE!</v>
      </c>
      <c r="I1568" s="737" t="str">
        <f>IF(D1568=1,$Q$12/'Data DownlinkStorage Budget'!$M$3,0)</f>
        <v>#VALUE!</v>
      </c>
      <c r="J1568" s="737" t="str">
        <f t="shared" si="388"/>
        <v>#VALUE!</v>
      </c>
      <c r="K1568" s="11"/>
      <c r="L1568" s="737" t="str">
        <f t="shared" si="385"/>
        <v>FOUND product plus housekeeping</v>
      </c>
      <c r="M1568" s="737" t="str">
        <f>MIN($Q$18,$Q$10*60)-IF(D1568=1,$Q$17/'Data DownlinkStorage Budget'!$M$3,0)</f>
        <v>#VALUE!</v>
      </c>
      <c r="N1568" s="182"/>
      <c r="O1568" s="737" t="str">
        <f t="shared" si="389"/>
        <v>#VALUE!</v>
      </c>
      <c r="P1568" s="11"/>
      <c r="Q1568" s="11"/>
      <c r="R1568" s="11"/>
      <c r="S1568" s="11"/>
      <c r="T1568" s="11"/>
      <c r="U1568" s="11"/>
      <c r="V1568" s="11"/>
      <c r="W1568" s="11"/>
      <c r="X1568" s="11"/>
      <c r="Y1568" s="11"/>
      <c r="Z1568" s="11"/>
      <c r="AA1568" s="11"/>
    </row>
    <row r="1569" ht="15.75" customHeight="1">
      <c r="A1569" s="737">
        <f t="shared" si="387"/>
        <v>0</v>
      </c>
      <c r="B1569" s="737">
        <f>A1569/'Orbit Info'!$G$10</f>
        <v>0</v>
      </c>
      <c r="C1569" s="737" t="str">
        <f t="shared" si="380"/>
        <v>Housekeeping and events only</v>
      </c>
      <c r="D1569" s="737">
        <f t="shared" si="381"/>
        <v>1</v>
      </c>
      <c r="E1569" s="737" t="str">
        <f t="shared" si="382"/>
        <v>#VALUE!</v>
      </c>
      <c r="F1569" s="737">
        <v>1.0</v>
      </c>
      <c r="G1569" s="737" t="str">
        <f t="shared" si="383"/>
        <v>#VALUE!</v>
      </c>
      <c r="H1569" s="737" t="str">
        <f>MIN($Q$11/('Orbit Info'!G$10),$Q$8*60)</f>
        <v>#VALUE!</v>
      </c>
      <c r="I1569" s="737" t="str">
        <f>IF(D1569=1,$Q$12/'Data DownlinkStorage Budget'!$M$3,0)</f>
        <v>#VALUE!</v>
      </c>
      <c r="J1569" s="737" t="str">
        <f t="shared" si="388"/>
        <v>#VALUE!</v>
      </c>
      <c r="K1569" s="11"/>
      <c r="L1569" s="737" t="str">
        <f t="shared" si="385"/>
        <v>FOUND product plus housekeeping</v>
      </c>
      <c r="M1569" s="737" t="str">
        <f>MIN($Q$18,$Q$10*60)-IF(D1569=1,$Q$17/'Data DownlinkStorage Budget'!$M$3,0)</f>
        <v>#VALUE!</v>
      </c>
      <c r="N1569" s="182"/>
      <c r="O1569" s="737" t="str">
        <f t="shared" si="389"/>
        <v>#VALUE!</v>
      </c>
      <c r="P1569" s="11"/>
      <c r="Q1569" s="11"/>
      <c r="R1569" s="11"/>
      <c r="S1569" s="11"/>
      <c r="T1569" s="11"/>
      <c r="U1569" s="11"/>
      <c r="V1569" s="11"/>
      <c r="W1569" s="11"/>
      <c r="X1569" s="11"/>
      <c r="Y1569" s="11"/>
      <c r="Z1569" s="11"/>
      <c r="AA1569" s="11"/>
    </row>
    <row r="1570" ht="15.75" customHeight="1">
      <c r="A1570" s="737">
        <f t="shared" si="387"/>
        <v>0</v>
      </c>
      <c r="B1570" s="737">
        <f>A1570/'Orbit Info'!$G$10</f>
        <v>0</v>
      </c>
      <c r="C1570" s="737" t="str">
        <f t="shared" si="380"/>
        <v>Housekeeping and events only</v>
      </c>
      <c r="D1570" s="737">
        <f t="shared" si="381"/>
        <v>1</v>
      </c>
      <c r="E1570" s="737" t="str">
        <f t="shared" si="382"/>
        <v>#VALUE!</v>
      </c>
      <c r="F1570" s="737">
        <v>1.0</v>
      </c>
      <c r="G1570" s="737" t="str">
        <f t="shared" si="383"/>
        <v>#VALUE!</v>
      </c>
      <c r="H1570" s="737" t="str">
        <f>MIN($Q$11/('Orbit Info'!G$10),$Q$8*60)</f>
        <v>#VALUE!</v>
      </c>
      <c r="I1570" s="737" t="str">
        <f>IF(D1570=1,$Q$12/'Data DownlinkStorage Budget'!$M$3,0)</f>
        <v>#VALUE!</v>
      </c>
      <c r="J1570" s="737" t="str">
        <f t="shared" si="388"/>
        <v>#VALUE!</v>
      </c>
      <c r="K1570" s="11"/>
      <c r="L1570" s="737" t="str">
        <f t="shared" si="385"/>
        <v>FOUND product plus housekeeping</v>
      </c>
      <c r="M1570" s="737" t="str">
        <f>MIN($Q$18,$Q$10*60)-IF(D1570=1,$Q$17/'Data DownlinkStorage Budget'!$M$3,0)</f>
        <v>#VALUE!</v>
      </c>
      <c r="N1570" s="182"/>
      <c r="O1570" s="737" t="str">
        <f t="shared" si="389"/>
        <v>#VALUE!</v>
      </c>
      <c r="P1570" s="11"/>
      <c r="Q1570" s="11"/>
      <c r="R1570" s="11"/>
      <c r="S1570" s="11"/>
      <c r="T1570" s="11"/>
      <c r="U1570" s="11"/>
      <c r="V1570" s="11"/>
      <c r="W1570" s="11"/>
      <c r="X1570" s="11"/>
      <c r="Y1570" s="11"/>
      <c r="Z1570" s="11"/>
      <c r="AA1570" s="11"/>
    </row>
    <row r="1571" ht="15.75" customHeight="1">
      <c r="A1571" s="737">
        <f t="shared" si="387"/>
        <v>0</v>
      </c>
      <c r="B1571" s="737">
        <f>A1571/'Orbit Info'!$G$10</f>
        <v>0</v>
      </c>
      <c r="C1571" s="737" t="str">
        <f t="shared" si="380"/>
        <v>Housekeeping and events only</v>
      </c>
      <c r="D1571" s="737">
        <f t="shared" si="381"/>
        <v>1</v>
      </c>
      <c r="E1571" s="737" t="str">
        <f t="shared" si="382"/>
        <v>#VALUE!</v>
      </c>
      <c r="F1571" s="737">
        <v>1.0</v>
      </c>
      <c r="G1571" s="737" t="str">
        <f t="shared" si="383"/>
        <v>#VALUE!</v>
      </c>
      <c r="H1571" s="737" t="str">
        <f>MIN($Q$11/('Orbit Info'!G$10),$Q$8*60)</f>
        <v>#VALUE!</v>
      </c>
      <c r="I1571" s="737" t="str">
        <f>IF(D1571=1,$Q$12/'Data DownlinkStorage Budget'!$M$3,0)</f>
        <v>#VALUE!</v>
      </c>
      <c r="J1571" s="737" t="str">
        <f t="shared" si="388"/>
        <v>#VALUE!</v>
      </c>
      <c r="K1571" s="11"/>
      <c r="L1571" s="737" t="str">
        <f t="shared" si="385"/>
        <v>FOUND product plus housekeeping</v>
      </c>
      <c r="M1571" s="737" t="str">
        <f>MIN($Q$18,$Q$10*60)-IF(D1571=1,$Q$17/'Data DownlinkStorage Budget'!$M$3,0)</f>
        <v>#VALUE!</v>
      </c>
      <c r="N1571" s="182"/>
      <c r="O1571" s="737" t="str">
        <f t="shared" si="389"/>
        <v>#VALUE!</v>
      </c>
      <c r="P1571" s="11"/>
      <c r="Q1571" s="11"/>
      <c r="R1571" s="11"/>
      <c r="S1571" s="11"/>
      <c r="T1571" s="11"/>
      <c r="U1571" s="11"/>
      <c r="V1571" s="11"/>
      <c r="W1571" s="11"/>
      <c r="X1571" s="11"/>
      <c r="Y1571" s="11"/>
      <c r="Z1571" s="11"/>
      <c r="AA1571" s="11"/>
    </row>
    <row r="1572" ht="15.75" customHeight="1">
      <c r="A1572" s="737">
        <f t="shared" si="387"/>
        <v>0</v>
      </c>
      <c r="B1572" s="737">
        <f>A1572/'Orbit Info'!$G$10</f>
        <v>0</v>
      </c>
      <c r="C1572" s="737" t="str">
        <f t="shared" si="380"/>
        <v>Housekeeping and events only</v>
      </c>
      <c r="D1572" s="737">
        <f t="shared" si="381"/>
        <v>1</v>
      </c>
      <c r="E1572" s="737" t="str">
        <f t="shared" si="382"/>
        <v>#VALUE!</v>
      </c>
      <c r="F1572" s="737">
        <v>1.0</v>
      </c>
      <c r="G1572" s="737" t="str">
        <f t="shared" si="383"/>
        <v>#VALUE!</v>
      </c>
      <c r="H1572" s="737" t="str">
        <f>MIN($Q$11/('Orbit Info'!G$10),$Q$8*60)</f>
        <v>#VALUE!</v>
      </c>
      <c r="I1572" s="737" t="str">
        <f>IF(D1572=1,$Q$12/'Data DownlinkStorage Budget'!$M$3,0)</f>
        <v>#VALUE!</v>
      </c>
      <c r="J1572" s="737" t="str">
        <f t="shared" si="388"/>
        <v>#VALUE!</v>
      </c>
      <c r="K1572" s="11"/>
      <c r="L1572" s="737" t="str">
        <f t="shared" si="385"/>
        <v>FOUND product plus housekeeping</v>
      </c>
      <c r="M1572" s="737" t="str">
        <f>MIN($Q$18,$Q$10*60)-IF(D1572=1,$Q$17/'Data DownlinkStorage Budget'!$M$3,0)</f>
        <v>#VALUE!</v>
      </c>
      <c r="N1572" s="182"/>
      <c r="O1572" s="737" t="str">
        <f t="shared" si="389"/>
        <v>#VALUE!</v>
      </c>
      <c r="P1572" s="11"/>
      <c r="Q1572" s="11"/>
      <c r="R1572" s="11"/>
      <c r="S1572" s="11"/>
      <c r="T1572" s="11"/>
      <c r="U1572" s="11"/>
      <c r="V1572" s="11"/>
      <c r="W1572" s="11"/>
      <c r="X1572" s="11"/>
      <c r="Y1572" s="11"/>
      <c r="Z1572" s="11"/>
      <c r="AA1572" s="11"/>
    </row>
    <row r="1573" ht="15.75" customHeight="1">
      <c r="A1573" s="737">
        <f t="shared" si="387"/>
        <v>0</v>
      </c>
      <c r="B1573" s="737">
        <f>A1573/'Orbit Info'!$G$10</f>
        <v>0</v>
      </c>
      <c r="C1573" s="737" t="str">
        <f t="shared" si="380"/>
        <v>Housekeeping and events only</v>
      </c>
      <c r="D1573" s="737">
        <f t="shared" si="381"/>
        <v>1</v>
      </c>
      <c r="E1573" s="737" t="str">
        <f t="shared" si="382"/>
        <v>#VALUE!</v>
      </c>
      <c r="F1573" s="737">
        <v>1.0</v>
      </c>
      <c r="G1573" s="737" t="str">
        <f t="shared" si="383"/>
        <v>#VALUE!</v>
      </c>
      <c r="H1573" s="737" t="str">
        <f>MIN($Q$11/('Orbit Info'!G$10),$Q$8*60)</f>
        <v>#VALUE!</v>
      </c>
      <c r="I1573" s="737" t="str">
        <f>IF(D1573=1,$Q$12/'Data DownlinkStorage Budget'!$M$3,0)</f>
        <v>#VALUE!</v>
      </c>
      <c r="J1573" s="737" t="str">
        <f t="shared" si="388"/>
        <v>#VALUE!</v>
      </c>
      <c r="K1573" s="11"/>
      <c r="L1573" s="737" t="str">
        <f t="shared" si="385"/>
        <v>FOUND product plus housekeeping</v>
      </c>
      <c r="M1573" s="737" t="str">
        <f>MIN($Q$18,$Q$10*60)-IF(D1573=1,$Q$17/'Data DownlinkStorage Budget'!$M$3,0)</f>
        <v>#VALUE!</v>
      </c>
      <c r="N1573" s="182"/>
      <c r="O1573" s="737" t="str">
        <f t="shared" si="389"/>
        <v>#VALUE!</v>
      </c>
      <c r="P1573" s="11"/>
      <c r="Q1573" s="11"/>
      <c r="R1573" s="11"/>
      <c r="S1573" s="11"/>
      <c r="T1573" s="11"/>
      <c r="U1573" s="11"/>
      <c r="V1573" s="11"/>
      <c r="W1573" s="11"/>
      <c r="X1573" s="11"/>
      <c r="Y1573" s="11"/>
      <c r="Z1573" s="11"/>
      <c r="AA1573" s="11"/>
    </row>
    <row r="1574" ht="15.75" customHeight="1">
      <c r="A1574" s="737">
        <f t="shared" si="387"/>
        <v>0</v>
      </c>
      <c r="B1574" s="737">
        <f>A1574/'Orbit Info'!$G$10</f>
        <v>0</v>
      </c>
      <c r="C1574" s="737" t="str">
        <f t="shared" si="380"/>
        <v>Housekeeping and events only</v>
      </c>
      <c r="D1574" s="737">
        <f t="shared" si="381"/>
        <v>1</v>
      </c>
      <c r="E1574" s="737" t="str">
        <f t="shared" si="382"/>
        <v>#VALUE!</v>
      </c>
      <c r="F1574" s="737">
        <v>1.0</v>
      </c>
      <c r="G1574" s="737" t="str">
        <f t="shared" si="383"/>
        <v>#VALUE!</v>
      </c>
      <c r="H1574" s="737" t="str">
        <f>MIN($Q$11/('Orbit Info'!G$10),$Q$8*60)</f>
        <v>#VALUE!</v>
      </c>
      <c r="I1574" s="737" t="str">
        <f>IF(D1574=1,$Q$12/'Data DownlinkStorage Budget'!$M$3,0)</f>
        <v>#VALUE!</v>
      </c>
      <c r="J1574" s="737" t="str">
        <f t="shared" si="388"/>
        <v>#VALUE!</v>
      </c>
      <c r="K1574" s="11"/>
      <c r="L1574" s="737" t="str">
        <f t="shared" si="385"/>
        <v>FOUND product plus housekeeping</v>
      </c>
      <c r="M1574" s="737" t="str">
        <f>MIN($Q$18,$Q$10*60)-IF(D1574=1,$Q$17/'Data DownlinkStorage Budget'!$M$3,0)</f>
        <v>#VALUE!</v>
      </c>
      <c r="N1574" s="182"/>
      <c r="O1574" s="737" t="str">
        <f t="shared" si="389"/>
        <v>#VALUE!</v>
      </c>
      <c r="P1574" s="11"/>
      <c r="Q1574" s="11"/>
      <c r="R1574" s="11"/>
      <c r="S1574" s="11"/>
      <c r="T1574" s="11"/>
      <c r="U1574" s="11"/>
      <c r="V1574" s="11"/>
      <c r="W1574" s="11"/>
      <c r="X1574" s="11"/>
      <c r="Y1574" s="11"/>
      <c r="Z1574" s="11"/>
      <c r="AA1574" s="11"/>
    </row>
    <row r="1575" ht="15.75" customHeight="1">
      <c r="A1575" s="737">
        <f t="shared" si="387"/>
        <v>0</v>
      </c>
      <c r="B1575" s="737">
        <f>A1575/'Orbit Info'!$G$10</f>
        <v>0</v>
      </c>
      <c r="C1575" s="737" t="str">
        <f t="shared" si="380"/>
        <v>Housekeeping and events only</v>
      </c>
      <c r="D1575" s="737">
        <f t="shared" si="381"/>
        <v>1</v>
      </c>
      <c r="E1575" s="737" t="str">
        <f t="shared" si="382"/>
        <v>#VALUE!</v>
      </c>
      <c r="F1575" s="737">
        <v>1.0</v>
      </c>
      <c r="G1575" s="737" t="str">
        <f t="shared" si="383"/>
        <v>#VALUE!</v>
      </c>
      <c r="H1575" s="737" t="str">
        <f>MIN($Q$11/('Orbit Info'!G$10),$Q$8*60)</f>
        <v>#VALUE!</v>
      </c>
      <c r="I1575" s="737" t="str">
        <f>IF(D1575=1,$Q$12/'Data DownlinkStorage Budget'!$M$3,0)</f>
        <v>#VALUE!</v>
      </c>
      <c r="J1575" s="737" t="str">
        <f t="shared" si="388"/>
        <v>#VALUE!</v>
      </c>
      <c r="K1575" s="11"/>
      <c r="L1575" s="737" t="str">
        <f t="shared" si="385"/>
        <v>FOUND product plus housekeeping</v>
      </c>
      <c r="M1575" s="737" t="str">
        <f>MIN($Q$18,$Q$10*60)-IF(D1575=1,$Q$17/'Data DownlinkStorage Budget'!$M$3,0)</f>
        <v>#VALUE!</v>
      </c>
      <c r="N1575" s="182"/>
      <c r="O1575" s="737" t="str">
        <f t="shared" si="389"/>
        <v>#VALUE!</v>
      </c>
      <c r="P1575" s="11"/>
      <c r="Q1575" s="11"/>
      <c r="R1575" s="11"/>
      <c r="S1575" s="11"/>
      <c r="T1575" s="11"/>
      <c r="U1575" s="11"/>
      <c r="V1575" s="11"/>
      <c r="W1575" s="11"/>
      <c r="X1575" s="11"/>
      <c r="Y1575" s="11"/>
      <c r="Z1575" s="11"/>
      <c r="AA1575" s="11"/>
    </row>
    <row r="1576" ht="15.75" customHeight="1">
      <c r="A1576" s="737">
        <f t="shared" si="387"/>
        <v>0</v>
      </c>
      <c r="B1576" s="737">
        <f>A1576/'Orbit Info'!$G$10</f>
        <v>0</v>
      </c>
      <c r="C1576" s="737" t="str">
        <f t="shared" si="380"/>
        <v>Housekeeping and events only</v>
      </c>
      <c r="D1576" s="737">
        <f t="shared" si="381"/>
        <v>1</v>
      </c>
      <c r="E1576" s="737" t="str">
        <f t="shared" si="382"/>
        <v>#VALUE!</v>
      </c>
      <c r="F1576" s="737">
        <v>1.0</v>
      </c>
      <c r="G1576" s="737" t="str">
        <f t="shared" si="383"/>
        <v>#VALUE!</v>
      </c>
      <c r="H1576" s="737" t="str">
        <f>MIN($Q$11/('Orbit Info'!G$10),$Q$8*60)</f>
        <v>#VALUE!</v>
      </c>
      <c r="I1576" s="737" t="str">
        <f>IF(D1576=1,$Q$12/'Data DownlinkStorage Budget'!$M$3,0)</f>
        <v>#VALUE!</v>
      </c>
      <c r="J1576" s="737" t="str">
        <f t="shared" si="388"/>
        <v>#VALUE!</v>
      </c>
      <c r="K1576" s="11"/>
      <c r="L1576" s="737" t="str">
        <f t="shared" si="385"/>
        <v>FOUND product plus housekeeping</v>
      </c>
      <c r="M1576" s="737" t="str">
        <f>MIN($Q$18,$Q$10*60)-IF(D1576=1,$Q$17/'Data DownlinkStorage Budget'!$M$3,0)</f>
        <v>#VALUE!</v>
      </c>
      <c r="N1576" s="182"/>
      <c r="O1576" s="737" t="str">
        <f t="shared" si="389"/>
        <v>#VALUE!</v>
      </c>
      <c r="P1576" s="11"/>
      <c r="Q1576" s="11"/>
      <c r="R1576" s="11"/>
      <c r="S1576" s="11"/>
      <c r="T1576" s="11"/>
      <c r="U1576" s="11"/>
      <c r="V1576" s="11"/>
      <c r="W1576" s="11"/>
      <c r="X1576" s="11"/>
      <c r="Y1576" s="11"/>
      <c r="Z1576" s="11"/>
      <c r="AA1576" s="11"/>
    </row>
    <row r="1577" ht="15.75" customHeight="1">
      <c r="A1577" s="737">
        <f t="shared" si="387"/>
        <v>0</v>
      </c>
      <c r="B1577" s="737">
        <f>A1577/'Orbit Info'!$G$10</f>
        <v>0</v>
      </c>
      <c r="C1577" s="737" t="str">
        <f t="shared" si="380"/>
        <v>Housekeeping and events only</v>
      </c>
      <c r="D1577" s="737">
        <f t="shared" si="381"/>
        <v>1</v>
      </c>
      <c r="E1577" s="737" t="str">
        <f t="shared" si="382"/>
        <v>#VALUE!</v>
      </c>
      <c r="F1577" s="737">
        <v>1.0</v>
      </c>
      <c r="G1577" s="737" t="str">
        <f t="shared" si="383"/>
        <v>#VALUE!</v>
      </c>
      <c r="H1577" s="737" t="str">
        <f>MIN($Q$11/('Orbit Info'!G$10),$Q$8*60)</f>
        <v>#VALUE!</v>
      </c>
      <c r="I1577" s="737" t="str">
        <f>IF(D1577=1,$Q$12/'Data DownlinkStorage Budget'!$M$3,0)</f>
        <v>#VALUE!</v>
      </c>
      <c r="J1577" s="737" t="str">
        <f t="shared" si="388"/>
        <v>#VALUE!</v>
      </c>
      <c r="K1577" s="11"/>
      <c r="L1577" s="737" t="str">
        <f t="shared" si="385"/>
        <v>FOUND product plus housekeeping</v>
      </c>
      <c r="M1577" s="737" t="str">
        <f>MIN($Q$18,$Q$10*60)-IF(D1577=1,$Q$17/'Data DownlinkStorage Budget'!$M$3,0)</f>
        <v>#VALUE!</v>
      </c>
      <c r="N1577" s="182"/>
      <c r="O1577" s="737" t="str">
        <f t="shared" si="389"/>
        <v>#VALUE!</v>
      </c>
      <c r="P1577" s="11"/>
      <c r="Q1577" s="11"/>
      <c r="R1577" s="11"/>
      <c r="S1577" s="11"/>
      <c r="T1577" s="11"/>
      <c r="U1577" s="11"/>
      <c r="V1577" s="11"/>
      <c r="W1577" s="11"/>
      <c r="X1577" s="11"/>
      <c r="Y1577" s="11"/>
      <c r="Z1577" s="11"/>
      <c r="AA1577" s="11"/>
    </row>
    <row r="1578" ht="15.75" customHeight="1">
      <c r="A1578" s="737">
        <f t="shared" si="387"/>
        <v>0</v>
      </c>
      <c r="B1578" s="737">
        <f>A1578/'Orbit Info'!$G$10</f>
        <v>0</v>
      </c>
      <c r="C1578" s="737" t="str">
        <f t="shared" si="380"/>
        <v>Housekeeping and events only</v>
      </c>
      <c r="D1578" s="737">
        <f t="shared" si="381"/>
        <v>1</v>
      </c>
      <c r="E1578" s="737" t="str">
        <f t="shared" si="382"/>
        <v>#VALUE!</v>
      </c>
      <c r="F1578" s="737">
        <v>1.0</v>
      </c>
      <c r="G1578" s="737" t="str">
        <f t="shared" si="383"/>
        <v>#VALUE!</v>
      </c>
      <c r="H1578" s="737" t="str">
        <f>MIN($Q$11/('Orbit Info'!G$10),$Q$8*60)</f>
        <v>#VALUE!</v>
      </c>
      <c r="I1578" s="737" t="str">
        <f>IF(D1578=1,$Q$12/'Data DownlinkStorage Budget'!$M$3,0)</f>
        <v>#VALUE!</v>
      </c>
      <c r="J1578" s="737" t="str">
        <f t="shared" si="388"/>
        <v>#VALUE!</v>
      </c>
      <c r="K1578" s="11"/>
      <c r="L1578" s="737" t="str">
        <f t="shared" si="385"/>
        <v>FOUND product plus housekeeping</v>
      </c>
      <c r="M1578" s="737" t="str">
        <f>MIN($Q$18,$Q$10*60)-IF(D1578=1,$Q$17/'Data DownlinkStorage Budget'!$M$3,0)</f>
        <v>#VALUE!</v>
      </c>
      <c r="N1578" s="182"/>
      <c r="O1578" s="737" t="str">
        <f t="shared" si="389"/>
        <v>#VALUE!</v>
      </c>
      <c r="P1578" s="11"/>
      <c r="Q1578" s="11"/>
      <c r="R1578" s="11"/>
      <c r="S1578" s="11"/>
      <c r="T1578" s="11"/>
      <c r="U1578" s="11"/>
      <c r="V1578" s="11"/>
      <c r="W1578" s="11"/>
      <c r="X1578" s="11"/>
      <c r="Y1578" s="11"/>
      <c r="Z1578" s="11"/>
      <c r="AA1578" s="11"/>
    </row>
    <row r="1579" ht="15.75" customHeight="1">
      <c r="A1579" s="737">
        <f t="shared" si="387"/>
        <v>0</v>
      </c>
      <c r="B1579" s="737">
        <f>A1579/'Orbit Info'!$G$10</f>
        <v>0</v>
      </c>
      <c r="C1579" s="737" t="str">
        <f t="shared" si="380"/>
        <v>Housekeeping and events only</v>
      </c>
      <c r="D1579" s="737">
        <f t="shared" si="381"/>
        <v>1</v>
      </c>
      <c r="E1579" s="737" t="str">
        <f t="shared" si="382"/>
        <v>#VALUE!</v>
      </c>
      <c r="F1579" s="737">
        <v>1.0</v>
      </c>
      <c r="G1579" s="737" t="str">
        <f t="shared" si="383"/>
        <v>#VALUE!</v>
      </c>
      <c r="H1579" s="737" t="str">
        <f>MIN($Q$11/('Orbit Info'!G$10),$Q$8*60)</f>
        <v>#VALUE!</v>
      </c>
      <c r="I1579" s="737" t="str">
        <f>IF(D1579=1,$Q$12/'Data DownlinkStorage Budget'!$M$3,0)</f>
        <v>#VALUE!</v>
      </c>
      <c r="J1579" s="737" t="str">
        <f t="shared" si="388"/>
        <v>#VALUE!</v>
      </c>
      <c r="K1579" s="11"/>
      <c r="L1579" s="737" t="str">
        <f t="shared" si="385"/>
        <v>FOUND product plus housekeeping</v>
      </c>
      <c r="M1579" s="737" t="str">
        <f>MIN($Q$18,$Q$10*60)-IF(D1579=1,$Q$17/'Data DownlinkStorage Budget'!$M$3,0)</f>
        <v>#VALUE!</v>
      </c>
      <c r="N1579" s="182"/>
      <c r="O1579" s="737" t="str">
        <f t="shared" si="389"/>
        <v>#VALUE!</v>
      </c>
      <c r="P1579" s="11"/>
      <c r="Q1579" s="11"/>
      <c r="R1579" s="11"/>
      <c r="S1579" s="11"/>
      <c r="T1579" s="11"/>
      <c r="U1579" s="11"/>
      <c r="V1579" s="11"/>
      <c r="W1579" s="11"/>
      <c r="X1579" s="11"/>
      <c r="Y1579" s="11"/>
      <c r="Z1579" s="11"/>
      <c r="AA1579" s="11"/>
    </row>
    <row r="1580" ht="15.75" customHeight="1">
      <c r="A1580" s="737">
        <f t="shared" si="387"/>
        <v>0</v>
      </c>
      <c r="B1580" s="737">
        <f>A1580/'Orbit Info'!$G$10</f>
        <v>0</v>
      </c>
      <c r="C1580" s="737" t="str">
        <f t="shared" si="380"/>
        <v>Housekeeping and events only</v>
      </c>
      <c r="D1580" s="737">
        <f t="shared" si="381"/>
        <v>1</v>
      </c>
      <c r="E1580" s="737" t="str">
        <f t="shared" si="382"/>
        <v>#VALUE!</v>
      </c>
      <c r="F1580" s="737">
        <v>1.0</v>
      </c>
      <c r="G1580" s="737" t="str">
        <f t="shared" si="383"/>
        <v>#VALUE!</v>
      </c>
      <c r="H1580" s="737" t="str">
        <f>MIN($Q$11/('Orbit Info'!G$10),$Q$8*60)</f>
        <v>#VALUE!</v>
      </c>
      <c r="I1580" s="737" t="str">
        <f>IF(D1580=1,$Q$12/'Data DownlinkStorage Budget'!$M$3,0)</f>
        <v>#VALUE!</v>
      </c>
      <c r="J1580" s="737" t="str">
        <f t="shared" si="388"/>
        <v>#VALUE!</v>
      </c>
      <c r="K1580" s="11"/>
      <c r="L1580" s="737" t="str">
        <f t="shared" si="385"/>
        <v>FOUND product plus housekeeping</v>
      </c>
      <c r="M1580" s="737" t="str">
        <f>MIN($Q$18,$Q$10*60)-IF(D1580=1,$Q$17/'Data DownlinkStorage Budget'!$M$3,0)</f>
        <v>#VALUE!</v>
      </c>
      <c r="N1580" s="182"/>
      <c r="O1580" s="737" t="str">
        <f t="shared" si="389"/>
        <v>#VALUE!</v>
      </c>
      <c r="P1580" s="11"/>
      <c r="Q1580" s="11"/>
      <c r="R1580" s="11"/>
      <c r="S1580" s="11"/>
      <c r="T1580" s="11"/>
      <c r="U1580" s="11"/>
      <c r="V1580" s="11"/>
      <c r="W1580" s="11"/>
      <c r="X1580" s="11"/>
      <c r="Y1580" s="11"/>
      <c r="Z1580" s="11"/>
      <c r="AA1580" s="11"/>
    </row>
    <row r="1581" ht="15.75" customHeight="1">
      <c r="A1581" s="737">
        <f t="shared" si="387"/>
        <v>0</v>
      </c>
      <c r="B1581" s="737">
        <f>A1581/'Orbit Info'!$G$10</f>
        <v>0</v>
      </c>
      <c r="C1581" s="737" t="str">
        <f t="shared" si="380"/>
        <v>Housekeeping and events only</v>
      </c>
      <c r="D1581" s="737">
        <f t="shared" si="381"/>
        <v>1</v>
      </c>
      <c r="E1581" s="737" t="str">
        <f t="shared" si="382"/>
        <v>#VALUE!</v>
      </c>
      <c r="F1581" s="737">
        <v>1.0</v>
      </c>
      <c r="G1581" s="737" t="str">
        <f t="shared" si="383"/>
        <v>#VALUE!</v>
      </c>
      <c r="H1581" s="737" t="str">
        <f>MIN($Q$11/('Orbit Info'!G$10),$Q$8*60)</f>
        <v>#VALUE!</v>
      </c>
      <c r="I1581" s="737" t="str">
        <f>IF(D1581=1,$Q$12/'Data DownlinkStorage Budget'!$M$3,0)</f>
        <v>#VALUE!</v>
      </c>
      <c r="J1581" s="737" t="str">
        <f t="shared" si="388"/>
        <v>#VALUE!</v>
      </c>
      <c r="K1581" s="11"/>
      <c r="L1581" s="737" t="str">
        <f t="shared" si="385"/>
        <v>FOUND product plus housekeeping</v>
      </c>
      <c r="M1581" s="737" t="str">
        <f>MIN($Q$18,$Q$10*60)-IF(D1581=1,$Q$17/'Data DownlinkStorage Budget'!$M$3,0)</f>
        <v>#VALUE!</v>
      </c>
      <c r="N1581" s="182"/>
      <c r="O1581" s="737" t="str">
        <f t="shared" si="389"/>
        <v>#VALUE!</v>
      </c>
      <c r="P1581" s="11"/>
      <c r="Q1581" s="11"/>
      <c r="R1581" s="11"/>
      <c r="S1581" s="11"/>
      <c r="T1581" s="11"/>
      <c r="U1581" s="11"/>
      <c r="V1581" s="11"/>
      <c r="W1581" s="11"/>
      <c r="X1581" s="11"/>
      <c r="Y1581" s="11"/>
      <c r="Z1581" s="11"/>
      <c r="AA1581" s="11"/>
    </row>
    <row r="1582" ht="15.75" customHeight="1">
      <c r="A1582" s="737">
        <f t="shared" si="387"/>
        <v>0</v>
      </c>
      <c r="B1582" s="737">
        <f>A1582/'Orbit Info'!$G$10</f>
        <v>0</v>
      </c>
      <c r="C1582" s="737" t="str">
        <f t="shared" si="380"/>
        <v>Housekeeping and events only</v>
      </c>
      <c r="D1582" s="737">
        <f t="shared" si="381"/>
        <v>1</v>
      </c>
      <c r="E1582" s="737" t="str">
        <f t="shared" si="382"/>
        <v>#VALUE!</v>
      </c>
      <c r="F1582" s="737">
        <v>1.0</v>
      </c>
      <c r="G1582" s="737" t="str">
        <f t="shared" si="383"/>
        <v>#VALUE!</v>
      </c>
      <c r="H1582" s="737" t="str">
        <f>MIN($Q$11/('Orbit Info'!G$10),$Q$8*60)</f>
        <v>#VALUE!</v>
      </c>
      <c r="I1582" s="737" t="str">
        <f>IF(D1582=1,$Q$12/'Data DownlinkStorage Budget'!$M$3,0)</f>
        <v>#VALUE!</v>
      </c>
      <c r="J1582" s="737" t="str">
        <f t="shared" si="388"/>
        <v>#VALUE!</v>
      </c>
      <c r="K1582" s="11"/>
      <c r="L1582" s="737" t="str">
        <f t="shared" si="385"/>
        <v>FOUND product plus housekeeping</v>
      </c>
      <c r="M1582" s="737" t="str">
        <f>MIN($Q$18,$Q$10*60)-IF(D1582=1,$Q$17/'Data DownlinkStorage Budget'!$M$3,0)</f>
        <v>#VALUE!</v>
      </c>
      <c r="N1582" s="182"/>
      <c r="O1582" s="737" t="str">
        <f t="shared" si="389"/>
        <v>#VALUE!</v>
      </c>
      <c r="P1582" s="11"/>
      <c r="Q1582" s="11"/>
      <c r="R1582" s="11"/>
      <c r="S1582" s="11"/>
      <c r="T1582" s="11"/>
      <c r="U1582" s="11"/>
      <c r="V1582" s="11"/>
      <c r="W1582" s="11"/>
      <c r="X1582" s="11"/>
      <c r="Y1582" s="11"/>
      <c r="Z1582" s="11"/>
      <c r="AA1582" s="11"/>
    </row>
    <row r="1583" ht="15.75" customHeight="1">
      <c r="A1583" s="737">
        <f t="shared" si="387"/>
        <v>0</v>
      </c>
      <c r="B1583" s="737">
        <f>A1583/'Orbit Info'!$G$10</f>
        <v>0</v>
      </c>
      <c r="C1583" s="737" t="str">
        <f t="shared" si="380"/>
        <v>Housekeeping and events only</v>
      </c>
      <c r="D1583" s="737">
        <f t="shared" si="381"/>
        <v>1</v>
      </c>
      <c r="E1583" s="737" t="str">
        <f t="shared" si="382"/>
        <v>#VALUE!</v>
      </c>
      <c r="F1583" s="737">
        <v>1.0</v>
      </c>
      <c r="G1583" s="737" t="str">
        <f t="shared" si="383"/>
        <v>#VALUE!</v>
      </c>
      <c r="H1583" s="737" t="str">
        <f>MIN($Q$11/('Orbit Info'!G$10),$Q$8*60)</f>
        <v>#VALUE!</v>
      </c>
      <c r="I1583" s="737" t="str">
        <f>IF(D1583=1,$Q$12/'Data DownlinkStorage Budget'!$M$3,0)</f>
        <v>#VALUE!</v>
      </c>
      <c r="J1583" s="737" t="str">
        <f t="shared" si="388"/>
        <v>#VALUE!</v>
      </c>
      <c r="K1583" s="11"/>
      <c r="L1583" s="737" t="str">
        <f t="shared" si="385"/>
        <v>FOUND product plus housekeeping</v>
      </c>
      <c r="M1583" s="737" t="str">
        <f>MIN($Q$18,$Q$10*60)-IF(D1583=1,$Q$17/'Data DownlinkStorage Budget'!$M$3,0)</f>
        <v>#VALUE!</v>
      </c>
      <c r="N1583" s="182"/>
      <c r="O1583" s="737" t="str">
        <f t="shared" si="389"/>
        <v>#VALUE!</v>
      </c>
      <c r="P1583" s="11"/>
      <c r="Q1583" s="11"/>
      <c r="R1583" s="11"/>
      <c r="S1583" s="11"/>
      <c r="T1583" s="11"/>
      <c r="U1583" s="11"/>
      <c r="V1583" s="11"/>
      <c r="W1583" s="11"/>
      <c r="X1583" s="11"/>
      <c r="Y1583" s="11"/>
      <c r="Z1583" s="11"/>
      <c r="AA1583" s="11"/>
    </row>
    <row r="1584" ht="15.75" customHeight="1">
      <c r="A1584" s="737">
        <f t="shared" si="387"/>
        <v>0</v>
      </c>
      <c r="B1584" s="737">
        <f>A1584/'Orbit Info'!$G$10</f>
        <v>0</v>
      </c>
      <c r="C1584" s="737" t="str">
        <f t="shared" si="380"/>
        <v>Housekeeping and events only</v>
      </c>
      <c r="D1584" s="737">
        <f t="shared" si="381"/>
        <v>1</v>
      </c>
      <c r="E1584" s="737" t="str">
        <f t="shared" si="382"/>
        <v>#VALUE!</v>
      </c>
      <c r="F1584" s="737">
        <v>1.0</v>
      </c>
      <c r="G1584" s="737" t="str">
        <f t="shared" si="383"/>
        <v>#VALUE!</v>
      </c>
      <c r="H1584" s="737" t="str">
        <f>MIN($Q$11/('Orbit Info'!G$10),$Q$8*60)</f>
        <v>#VALUE!</v>
      </c>
      <c r="I1584" s="737" t="str">
        <f>IF(D1584=1,$Q$12/'Data DownlinkStorage Budget'!$M$3,0)</f>
        <v>#VALUE!</v>
      </c>
      <c r="J1584" s="737" t="str">
        <f t="shared" si="388"/>
        <v>#VALUE!</v>
      </c>
      <c r="K1584" s="11"/>
      <c r="L1584" s="737" t="str">
        <f t="shared" si="385"/>
        <v>FOUND product plus housekeeping</v>
      </c>
      <c r="M1584" s="737" t="str">
        <f>MIN($Q$18,$Q$10*60)-IF(D1584=1,$Q$17/'Data DownlinkStorage Budget'!$M$3,0)</f>
        <v>#VALUE!</v>
      </c>
      <c r="N1584" s="182"/>
      <c r="O1584" s="737" t="str">
        <f t="shared" si="389"/>
        <v>#VALUE!</v>
      </c>
      <c r="P1584" s="11"/>
      <c r="Q1584" s="11"/>
      <c r="R1584" s="11"/>
      <c r="S1584" s="11"/>
      <c r="T1584" s="11"/>
      <c r="U1584" s="11"/>
      <c r="V1584" s="11"/>
      <c r="W1584" s="11"/>
      <c r="X1584" s="11"/>
      <c r="Y1584" s="11"/>
      <c r="Z1584" s="11"/>
      <c r="AA1584" s="11"/>
    </row>
    <row r="1585" ht="15.75" customHeight="1">
      <c r="A1585" s="737">
        <f t="shared" si="387"/>
        <v>0</v>
      </c>
      <c r="B1585" s="737">
        <f>A1585/'Orbit Info'!$G$10</f>
        <v>0</v>
      </c>
      <c r="C1585" s="737" t="str">
        <f t="shared" si="380"/>
        <v>Housekeeping and events only</v>
      </c>
      <c r="D1585" s="737">
        <f t="shared" si="381"/>
        <v>1</v>
      </c>
      <c r="E1585" s="737" t="str">
        <f t="shared" si="382"/>
        <v>#VALUE!</v>
      </c>
      <c r="F1585" s="737">
        <v>1.0</v>
      </c>
      <c r="G1585" s="737" t="str">
        <f t="shared" si="383"/>
        <v>#VALUE!</v>
      </c>
      <c r="H1585" s="737" t="str">
        <f>MIN($Q$11/('Orbit Info'!G$10),$Q$8*60)</f>
        <v>#VALUE!</v>
      </c>
      <c r="I1585" s="737" t="str">
        <f>IF(D1585=1,$Q$12/'Data DownlinkStorage Budget'!$M$3,0)</f>
        <v>#VALUE!</v>
      </c>
      <c r="J1585" s="737" t="str">
        <f t="shared" si="388"/>
        <v>#VALUE!</v>
      </c>
      <c r="K1585" s="11"/>
      <c r="L1585" s="737" t="str">
        <f t="shared" si="385"/>
        <v>FOUND product plus housekeeping</v>
      </c>
      <c r="M1585" s="737" t="str">
        <f>MIN($Q$18,$Q$10*60)-IF(D1585=1,$Q$17/'Data DownlinkStorage Budget'!$M$3,0)</f>
        <v>#VALUE!</v>
      </c>
      <c r="N1585" s="182"/>
      <c r="O1585" s="737" t="str">
        <f t="shared" si="389"/>
        <v>#VALUE!</v>
      </c>
      <c r="P1585" s="11"/>
      <c r="Q1585" s="11"/>
      <c r="R1585" s="11"/>
      <c r="S1585" s="11"/>
      <c r="T1585" s="11"/>
      <c r="U1585" s="11"/>
      <c r="V1585" s="11"/>
      <c r="W1585" s="11"/>
      <c r="X1585" s="11"/>
      <c r="Y1585" s="11"/>
      <c r="Z1585" s="11"/>
      <c r="AA1585" s="11"/>
    </row>
    <row r="1586" ht="15.75" customHeight="1">
      <c r="A1586" s="737">
        <f t="shared" si="387"/>
        <v>0</v>
      </c>
      <c r="B1586" s="737">
        <f>A1586/'Orbit Info'!$G$10</f>
        <v>0</v>
      </c>
      <c r="C1586" s="737" t="str">
        <f t="shared" si="380"/>
        <v>Housekeeping and events only</v>
      </c>
      <c r="D1586" s="737">
        <f t="shared" si="381"/>
        <v>1</v>
      </c>
      <c r="E1586" s="737" t="str">
        <f t="shared" si="382"/>
        <v>#VALUE!</v>
      </c>
      <c r="F1586" s="737">
        <v>1.0</v>
      </c>
      <c r="G1586" s="737" t="str">
        <f t="shared" si="383"/>
        <v>#VALUE!</v>
      </c>
      <c r="H1586" s="737" t="str">
        <f>MIN($Q$11/('Orbit Info'!G$10),$Q$8*60)</f>
        <v>#VALUE!</v>
      </c>
      <c r="I1586" s="737" t="str">
        <f>IF(D1586=1,$Q$12/'Data DownlinkStorage Budget'!$M$3,0)</f>
        <v>#VALUE!</v>
      </c>
      <c r="J1586" s="737" t="str">
        <f t="shared" si="388"/>
        <v>#VALUE!</v>
      </c>
      <c r="K1586" s="11"/>
      <c r="L1586" s="737" t="str">
        <f t="shared" si="385"/>
        <v>FOUND product plus housekeeping</v>
      </c>
      <c r="M1586" s="737" t="str">
        <f>MIN($Q$18,$Q$10*60)-IF(D1586=1,$Q$17/'Data DownlinkStorage Budget'!$M$3,0)</f>
        <v>#VALUE!</v>
      </c>
      <c r="N1586" s="182"/>
      <c r="O1586" s="737" t="str">
        <f t="shared" si="389"/>
        <v>#VALUE!</v>
      </c>
      <c r="P1586" s="11"/>
      <c r="Q1586" s="11"/>
      <c r="R1586" s="11"/>
      <c r="S1586" s="11"/>
      <c r="T1586" s="11"/>
      <c r="U1586" s="11"/>
      <c r="V1586" s="11"/>
      <c r="W1586" s="11"/>
      <c r="X1586" s="11"/>
      <c r="Y1586" s="11"/>
      <c r="Z1586" s="11"/>
      <c r="AA1586" s="11"/>
    </row>
    <row r="1587" ht="15.75" customHeight="1">
      <c r="A1587" s="737">
        <f t="shared" si="387"/>
        <v>0</v>
      </c>
      <c r="B1587" s="737">
        <f>A1587/'Orbit Info'!$G$10</f>
        <v>0</v>
      </c>
      <c r="C1587" s="737" t="str">
        <f t="shared" si="380"/>
        <v>Housekeeping and events only</v>
      </c>
      <c r="D1587" s="737">
        <f t="shared" si="381"/>
        <v>1</v>
      </c>
      <c r="E1587" s="737" t="str">
        <f t="shared" si="382"/>
        <v>#VALUE!</v>
      </c>
      <c r="F1587" s="737">
        <v>1.0</v>
      </c>
      <c r="G1587" s="737" t="str">
        <f t="shared" si="383"/>
        <v>#VALUE!</v>
      </c>
      <c r="H1587" s="737" t="str">
        <f>MIN($Q$11/('Orbit Info'!G$10),$Q$8*60)</f>
        <v>#VALUE!</v>
      </c>
      <c r="I1587" s="737" t="str">
        <f>IF(D1587=1,$Q$12/'Data DownlinkStorage Budget'!$M$3,0)</f>
        <v>#VALUE!</v>
      </c>
      <c r="J1587" s="737" t="str">
        <f t="shared" si="388"/>
        <v>#VALUE!</v>
      </c>
      <c r="K1587" s="11"/>
      <c r="L1587" s="737" t="str">
        <f t="shared" si="385"/>
        <v>FOUND product plus housekeeping</v>
      </c>
      <c r="M1587" s="737" t="str">
        <f>MIN($Q$18,$Q$10*60)-IF(D1587=1,$Q$17/'Data DownlinkStorage Budget'!$M$3,0)</f>
        <v>#VALUE!</v>
      </c>
      <c r="N1587" s="182"/>
      <c r="O1587" s="737" t="str">
        <f t="shared" si="389"/>
        <v>#VALUE!</v>
      </c>
      <c r="P1587" s="11"/>
      <c r="Q1587" s="11"/>
      <c r="R1587" s="11"/>
      <c r="S1587" s="11"/>
      <c r="T1587" s="11"/>
      <c r="U1587" s="11"/>
      <c r="V1587" s="11"/>
      <c r="W1587" s="11"/>
      <c r="X1587" s="11"/>
      <c r="Y1587" s="11"/>
      <c r="Z1587" s="11"/>
      <c r="AA1587" s="11"/>
    </row>
    <row r="1588" ht="15.75" customHeight="1">
      <c r="A1588" s="737">
        <f t="shared" si="387"/>
        <v>0</v>
      </c>
      <c r="B1588" s="737">
        <f>A1588/'Orbit Info'!$G$10</f>
        <v>0</v>
      </c>
      <c r="C1588" s="737" t="str">
        <f t="shared" si="380"/>
        <v>Housekeeping and events only</v>
      </c>
      <c r="D1588" s="737">
        <f t="shared" si="381"/>
        <v>1</v>
      </c>
      <c r="E1588" s="737" t="str">
        <f t="shared" si="382"/>
        <v>#VALUE!</v>
      </c>
      <c r="F1588" s="737">
        <v>1.0</v>
      </c>
      <c r="G1588" s="737" t="str">
        <f t="shared" si="383"/>
        <v>#VALUE!</v>
      </c>
      <c r="H1588" s="737" t="str">
        <f>MIN($Q$11/('Orbit Info'!G$10),$Q$8*60)</f>
        <v>#VALUE!</v>
      </c>
      <c r="I1588" s="737" t="str">
        <f>IF(D1588=1,$Q$12/'Data DownlinkStorage Budget'!$M$3,0)</f>
        <v>#VALUE!</v>
      </c>
      <c r="J1588" s="737" t="str">
        <f t="shared" si="388"/>
        <v>#VALUE!</v>
      </c>
      <c r="K1588" s="11"/>
      <c r="L1588" s="737" t="str">
        <f t="shared" si="385"/>
        <v>FOUND product plus housekeeping</v>
      </c>
      <c r="M1588" s="737" t="str">
        <f>MIN($Q$18,$Q$10*60)-IF(D1588=1,$Q$17/'Data DownlinkStorage Budget'!$M$3,0)</f>
        <v>#VALUE!</v>
      </c>
      <c r="N1588" s="182"/>
      <c r="O1588" s="737" t="str">
        <f t="shared" si="389"/>
        <v>#VALUE!</v>
      </c>
      <c r="P1588" s="11"/>
      <c r="Q1588" s="11"/>
      <c r="R1588" s="11"/>
      <c r="S1588" s="11"/>
      <c r="T1588" s="11"/>
      <c r="U1588" s="11"/>
      <c r="V1588" s="11"/>
      <c r="W1588" s="11"/>
      <c r="X1588" s="11"/>
      <c r="Y1588" s="11"/>
      <c r="Z1588" s="11"/>
      <c r="AA1588" s="11"/>
    </row>
    <row r="1589" ht="15.75" customHeight="1">
      <c r="A1589" s="737">
        <f t="shared" si="387"/>
        <v>0</v>
      </c>
      <c r="B1589" s="737">
        <f>A1589/'Orbit Info'!$G$10</f>
        <v>0</v>
      </c>
      <c r="C1589" s="737" t="str">
        <f t="shared" si="380"/>
        <v>Housekeeping and events only</v>
      </c>
      <c r="D1589" s="737">
        <f t="shared" si="381"/>
        <v>1</v>
      </c>
      <c r="E1589" s="737" t="str">
        <f t="shared" si="382"/>
        <v>#VALUE!</v>
      </c>
      <c r="F1589" s="737">
        <v>1.0</v>
      </c>
      <c r="G1589" s="737" t="str">
        <f t="shared" si="383"/>
        <v>#VALUE!</v>
      </c>
      <c r="H1589" s="737" t="str">
        <f>MIN($Q$11/('Orbit Info'!G$10),$Q$8*60)</f>
        <v>#VALUE!</v>
      </c>
      <c r="I1589" s="737" t="str">
        <f>IF(D1589=1,$Q$12/'Data DownlinkStorage Budget'!$M$3,0)</f>
        <v>#VALUE!</v>
      </c>
      <c r="J1589" s="737" t="str">
        <f t="shared" si="388"/>
        <v>#VALUE!</v>
      </c>
      <c r="K1589" s="11"/>
      <c r="L1589" s="737" t="str">
        <f t="shared" si="385"/>
        <v>FOUND product plus housekeeping</v>
      </c>
      <c r="M1589" s="737" t="str">
        <f>MIN($Q$18,$Q$10*60)-IF(D1589=1,$Q$17/'Data DownlinkStorage Budget'!$M$3,0)</f>
        <v>#VALUE!</v>
      </c>
      <c r="N1589" s="182"/>
      <c r="O1589" s="737" t="str">
        <f t="shared" si="389"/>
        <v>#VALUE!</v>
      </c>
      <c r="P1589" s="11"/>
      <c r="Q1589" s="11"/>
      <c r="R1589" s="11"/>
      <c r="S1589" s="11"/>
      <c r="T1589" s="11"/>
      <c r="U1589" s="11"/>
      <c r="V1589" s="11"/>
      <c r="W1589" s="11"/>
      <c r="X1589" s="11"/>
      <c r="Y1589" s="11"/>
      <c r="Z1589" s="11"/>
      <c r="AA1589" s="11"/>
    </row>
    <row r="1590" ht="15.75" customHeight="1">
      <c r="A1590" s="737">
        <f t="shared" si="387"/>
        <v>0</v>
      </c>
      <c r="B1590" s="737">
        <f>A1590/'Orbit Info'!$G$10</f>
        <v>0</v>
      </c>
      <c r="C1590" s="737" t="str">
        <f t="shared" si="380"/>
        <v>Housekeeping and events only</v>
      </c>
      <c r="D1590" s="737">
        <f t="shared" si="381"/>
        <v>1</v>
      </c>
      <c r="E1590" s="737" t="str">
        <f t="shared" si="382"/>
        <v>#VALUE!</v>
      </c>
      <c r="F1590" s="737">
        <v>1.0</v>
      </c>
      <c r="G1590" s="737" t="str">
        <f t="shared" si="383"/>
        <v>#VALUE!</v>
      </c>
      <c r="H1590" s="737" t="str">
        <f>MIN($Q$11/('Orbit Info'!G$10),$Q$8*60)</f>
        <v>#VALUE!</v>
      </c>
      <c r="I1590" s="737" t="str">
        <f>IF(D1590=1,$Q$12/'Data DownlinkStorage Budget'!$M$3,0)</f>
        <v>#VALUE!</v>
      </c>
      <c r="J1590" s="737" t="str">
        <f t="shared" si="388"/>
        <v>#VALUE!</v>
      </c>
      <c r="K1590" s="11"/>
      <c r="L1590" s="737" t="str">
        <f t="shared" si="385"/>
        <v>FOUND product plus housekeeping</v>
      </c>
      <c r="M1590" s="737" t="str">
        <f>MIN($Q$18,$Q$10*60)-IF(D1590=1,$Q$17/'Data DownlinkStorage Budget'!$M$3,0)</f>
        <v>#VALUE!</v>
      </c>
      <c r="N1590" s="182"/>
      <c r="O1590" s="737" t="str">
        <f t="shared" si="389"/>
        <v>#VALUE!</v>
      </c>
      <c r="P1590" s="11"/>
      <c r="Q1590" s="11"/>
      <c r="R1590" s="11"/>
      <c r="S1590" s="11"/>
      <c r="T1590" s="11"/>
      <c r="U1590" s="11"/>
      <c r="V1590" s="11"/>
      <c r="W1590" s="11"/>
      <c r="X1590" s="11"/>
      <c r="Y1590" s="11"/>
      <c r="Z1590" s="11"/>
      <c r="AA1590" s="11"/>
    </row>
    <row r="1591" ht="15.75" customHeight="1">
      <c r="A1591" s="737">
        <f t="shared" si="387"/>
        <v>0</v>
      </c>
      <c r="B1591" s="737">
        <f>A1591/'Orbit Info'!$G$10</f>
        <v>0</v>
      </c>
      <c r="C1591" s="737" t="str">
        <f t="shared" si="380"/>
        <v>Housekeeping and events only</v>
      </c>
      <c r="D1591" s="737">
        <f t="shared" si="381"/>
        <v>1</v>
      </c>
      <c r="E1591" s="737" t="str">
        <f t="shared" si="382"/>
        <v>#VALUE!</v>
      </c>
      <c r="F1591" s="737">
        <v>1.0</v>
      </c>
      <c r="G1591" s="737" t="str">
        <f t="shared" si="383"/>
        <v>#VALUE!</v>
      </c>
      <c r="H1591" s="737" t="str">
        <f>MIN($Q$11/('Orbit Info'!G$10),$Q$8*60)</f>
        <v>#VALUE!</v>
      </c>
      <c r="I1591" s="737" t="str">
        <f>IF(D1591=1,$Q$12/'Data DownlinkStorage Budget'!$M$3,0)</f>
        <v>#VALUE!</v>
      </c>
      <c r="J1591" s="737" t="str">
        <f t="shared" si="388"/>
        <v>#VALUE!</v>
      </c>
      <c r="K1591" s="11"/>
      <c r="L1591" s="737" t="str">
        <f t="shared" si="385"/>
        <v>FOUND product plus housekeeping</v>
      </c>
      <c r="M1591" s="737" t="str">
        <f>MIN($Q$18,$Q$10*60)-IF(D1591=1,$Q$17/'Data DownlinkStorage Budget'!$M$3,0)</f>
        <v>#VALUE!</v>
      </c>
      <c r="N1591" s="182"/>
      <c r="O1591" s="737" t="str">
        <f t="shared" si="389"/>
        <v>#VALUE!</v>
      </c>
      <c r="P1591" s="11"/>
      <c r="Q1591" s="11"/>
      <c r="R1591" s="11"/>
      <c r="S1591" s="11"/>
      <c r="T1591" s="11"/>
      <c r="U1591" s="11"/>
      <c r="V1591" s="11"/>
      <c r="W1591" s="11"/>
      <c r="X1591" s="11"/>
      <c r="Y1591" s="11"/>
      <c r="Z1591" s="11"/>
      <c r="AA1591" s="11"/>
    </row>
    <row r="1592" ht="15.75" customHeight="1">
      <c r="A1592" s="737">
        <f t="shared" si="387"/>
        <v>0</v>
      </c>
      <c r="B1592" s="737">
        <f>A1592/'Orbit Info'!$G$10</f>
        <v>0</v>
      </c>
      <c r="C1592" s="737" t="str">
        <f t="shared" si="380"/>
        <v>Housekeeping and events only</v>
      </c>
      <c r="D1592" s="737">
        <f t="shared" si="381"/>
        <v>1</v>
      </c>
      <c r="E1592" s="737" t="str">
        <f t="shared" si="382"/>
        <v>#VALUE!</v>
      </c>
      <c r="F1592" s="737">
        <v>1.0</v>
      </c>
      <c r="G1592" s="737" t="str">
        <f t="shared" si="383"/>
        <v>#VALUE!</v>
      </c>
      <c r="H1592" s="737" t="str">
        <f>MIN($Q$11/('Orbit Info'!G$10),$Q$8*60)</f>
        <v>#VALUE!</v>
      </c>
      <c r="I1592" s="737" t="str">
        <f>IF(D1592=1,$Q$12/'Data DownlinkStorage Budget'!$M$3,0)</f>
        <v>#VALUE!</v>
      </c>
      <c r="J1592" s="737" t="str">
        <f t="shared" si="388"/>
        <v>#VALUE!</v>
      </c>
      <c r="K1592" s="11"/>
      <c r="L1592" s="737" t="str">
        <f t="shared" si="385"/>
        <v>FOUND product plus housekeeping</v>
      </c>
      <c r="M1592" s="737" t="str">
        <f>MIN($Q$18,$Q$10*60)-IF(D1592=1,$Q$17/'Data DownlinkStorage Budget'!$M$3,0)</f>
        <v>#VALUE!</v>
      </c>
      <c r="N1592" s="182"/>
      <c r="O1592" s="737" t="str">
        <f t="shared" si="389"/>
        <v>#VALUE!</v>
      </c>
      <c r="P1592" s="11"/>
      <c r="Q1592" s="11"/>
      <c r="R1592" s="11"/>
      <c r="S1592" s="11"/>
      <c r="T1592" s="11"/>
      <c r="U1592" s="11"/>
      <c r="V1592" s="11"/>
      <c r="W1592" s="11"/>
      <c r="X1592" s="11"/>
      <c r="Y1592" s="11"/>
      <c r="Z1592" s="11"/>
      <c r="AA1592" s="11"/>
    </row>
    <row r="1593" ht="15.75" customHeight="1">
      <c r="A1593" s="737">
        <f t="shared" si="387"/>
        <v>0</v>
      </c>
      <c r="B1593" s="737">
        <f>A1593/'Orbit Info'!$G$10</f>
        <v>0</v>
      </c>
      <c r="C1593" s="737" t="str">
        <f t="shared" si="380"/>
        <v>Housekeeping and events only</v>
      </c>
      <c r="D1593" s="737">
        <f t="shared" si="381"/>
        <v>1</v>
      </c>
      <c r="E1593" s="737" t="str">
        <f t="shared" si="382"/>
        <v>#VALUE!</v>
      </c>
      <c r="F1593" s="737">
        <v>1.0</v>
      </c>
      <c r="G1593" s="737" t="str">
        <f t="shared" si="383"/>
        <v>#VALUE!</v>
      </c>
      <c r="H1593" s="737" t="str">
        <f>MIN($Q$11/('Orbit Info'!G$10),$Q$8*60)</f>
        <v>#VALUE!</v>
      </c>
      <c r="I1593" s="737" t="str">
        <f>IF(D1593=1,$Q$12/'Data DownlinkStorage Budget'!$M$3,0)</f>
        <v>#VALUE!</v>
      </c>
      <c r="J1593" s="737" t="str">
        <f t="shared" si="388"/>
        <v>#VALUE!</v>
      </c>
      <c r="K1593" s="11"/>
      <c r="L1593" s="737" t="str">
        <f t="shared" si="385"/>
        <v>FOUND product plus housekeeping</v>
      </c>
      <c r="M1593" s="737" t="str">
        <f>MIN($Q$18,$Q$10*60)-IF(D1593=1,$Q$17/'Data DownlinkStorage Budget'!$M$3,0)</f>
        <v>#VALUE!</v>
      </c>
      <c r="N1593" s="182"/>
      <c r="O1593" s="737" t="str">
        <f t="shared" si="389"/>
        <v>#VALUE!</v>
      </c>
      <c r="P1593" s="11"/>
      <c r="Q1593" s="11"/>
      <c r="R1593" s="11"/>
      <c r="S1593" s="11"/>
      <c r="T1593" s="11"/>
      <c r="U1593" s="11"/>
      <c r="V1593" s="11"/>
      <c r="W1593" s="11"/>
      <c r="X1593" s="11"/>
      <c r="Y1593" s="11"/>
      <c r="Z1593" s="11"/>
      <c r="AA1593" s="11"/>
    </row>
    <row r="1594" ht="15.75" customHeight="1">
      <c r="A1594" s="737">
        <f t="shared" si="387"/>
        <v>0</v>
      </c>
      <c r="B1594" s="737">
        <f>A1594/'Orbit Info'!$G$10</f>
        <v>0</v>
      </c>
      <c r="C1594" s="737" t="str">
        <f t="shared" si="380"/>
        <v>Housekeeping and events only</v>
      </c>
      <c r="D1594" s="737">
        <f t="shared" si="381"/>
        <v>1</v>
      </c>
      <c r="E1594" s="737" t="str">
        <f t="shared" si="382"/>
        <v>#VALUE!</v>
      </c>
      <c r="F1594" s="737">
        <v>1.0</v>
      </c>
      <c r="G1594" s="737" t="str">
        <f t="shared" si="383"/>
        <v>#VALUE!</v>
      </c>
      <c r="H1594" s="737" t="str">
        <f>MIN($Q$11/('Orbit Info'!G$10),$Q$8*60)</f>
        <v>#VALUE!</v>
      </c>
      <c r="I1594" s="737" t="str">
        <f>IF(D1594=1,$Q$12/'Data DownlinkStorage Budget'!$M$3,0)</f>
        <v>#VALUE!</v>
      </c>
      <c r="J1594" s="737" t="str">
        <f t="shared" si="388"/>
        <v>#VALUE!</v>
      </c>
      <c r="K1594" s="11"/>
      <c r="L1594" s="737" t="str">
        <f t="shared" si="385"/>
        <v>FOUND product plus housekeeping</v>
      </c>
      <c r="M1594" s="737" t="str">
        <f>MIN($Q$18,$Q$10*60)-IF(D1594=1,$Q$17/'Data DownlinkStorage Budget'!$M$3,0)</f>
        <v>#VALUE!</v>
      </c>
      <c r="N1594" s="182"/>
      <c r="O1594" s="737" t="str">
        <f t="shared" si="389"/>
        <v>#VALUE!</v>
      </c>
      <c r="P1594" s="11"/>
      <c r="Q1594" s="11"/>
      <c r="R1594" s="11"/>
      <c r="S1594" s="11"/>
      <c r="T1594" s="11"/>
      <c r="U1594" s="11"/>
      <c r="V1594" s="11"/>
      <c r="W1594" s="11"/>
      <c r="X1594" s="11"/>
      <c r="Y1594" s="11"/>
      <c r="Z1594" s="11"/>
      <c r="AA1594" s="11"/>
    </row>
    <row r="1595" ht="15.75" customHeight="1">
      <c r="A1595" s="737">
        <f t="shared" si="387"/>
        <v>0</v>
      </c>
      <c r="B1595" s="737">
        <f>A1595/'Orbit Info'!$G$10</f>
        <v>0</v>
      </c>
      <c r="C1595" s="737" t="str">
        <f t="shared" si="380"/>
        <v>Housekeeping and events only</v>
      </c>
      <c r="D1595" s="737">
        <f t="shared" si="381"/>
        <v>1</v>
      </c>
      <c r="E1595" s="737" t="str">
        <f t="shared" si="382"/>
        <v>#VALUE!</v>
      </c>
      <c r="F1595" s="737">
        <v>1.0</v>
      </c>
      <c r="G1595" s="737" t="str">
        <f t="shared" si="383"/>
        <v>#VALUE!</v>
      </c>
      <c r="H1595" s="737" t="str">
        <f>MIN($Q$11/('Orbit Info'!G$10),$Q$8*60)</f>
        <v>#VALUE!</v>
      </c>
      <c r="I1595" s="737" t="str">
        <f>IF(D1595=1,$Q$12/'Data DownlinkStorage Budget'!$M$3,0)</f>
        <v>#VALUE!</v>
      </c>
      <c r="J1595" s="737" t="str">
        <f t="shared" si="388"/>
        <v>#VALUE!</v>
      </c>
      <c r="K1595" s="11"/>
      <c r="L1595" s="737" t="str">
        <f t="shared" si="385"/>
        <v>FOUND product plus housekeeping</v>
      </c>
      <c r="M1595" s="737" t="str">
        <f>MIN($Q$18,$Q$10*60)-IF(D1595=1,$Q$17/'Data DownlinkStorage Budget'!$M$3,0)</f>
        <v>#VALUE!</v>
      </c>
      <c r="N1595" s="182"/>
      <c r="O1595" s="737" t="str">
        <f t="shared" si="389"/>
        <v>#VALUE!</v>
      </c>
      <c r="P1595" s="11"/>
      <c r="Q1595" s="11"/>
      <c r="R1595" s="11"/>
      <c r="S1595" s="11"/>
      <c r="T1595" s="11"/>
      <c r="U1595" s="11"/>
      <c r="V1595" s="11"/>
      <c r="W1595" s="11"/>
      <c r="X1595" s="11"/>
      <c r="Y1595" s="11"/>
      <c r="Z1595" s="11"/>
      <c r="AA1595" s="11"/>
    </row>
    <row r="1596" ht="15.75" customHeight="1">
      <c r="A1596" s="737">
        <f t="shared" si="387"/>
        <v>0</v>
      </c>
      <c r="B1596" s="737">
        <f>A1596/'Orbit Info'!$G$10</f>
        <v>0</v>
      </c>
      <c r="C1596" s="737" t="str">
        <f t="shared" si="380"/>
        <v>Housekeeping and events only</v>
      </c>
      <c r="D1596" s="737">
        <f t="shared" si="381"/>
        <v>1</v>
      </c>
      <c r="E1596" s="737" t="str">
        <f t="shared" si="382"/>
        <v>#VALUE!</v>
      </c>
      <c r="F1596" s="737">
        <v>1.0</v>
      </c>
      <c r="G1596" s="737" t="str">
        <f t="shared" si="383"/>
        <v>#VALUE!</v>
      </c>
      <c r="H1596" s="737" t="str">
        <f>MIN($Q$11/('Orbit Info'!G$10),$Q$8*60)</f>
        <v>#VALUE!</v>
      </c>
      <c r="I1596" s="737" t="str">
        <f>IF(D1596=1,$Q$12/'Data DownlinkStorage Budget'!$M$3,0)</f>
        <v>#VALUE!</v>
      </c>
      <c r="J1596" s="737" t="str">
        <f t="shared" si="388"/>
        <v>#VALUE!</v>
      </c>
      <c r="K1596" s="11"/>
      <c r="L1596" s="737" t="str">
        <f t="shared" si="385"/>
        <v>FOUND product plus housekeeping</v>
      </c>
      <c r="M1596" s="737" t="str">
        <f>MIN($Q$18,$Q$10*60)-IF(D1596=1,$Q$17/'Data DownlinkStorage Budget'!$M$3,0)</f>
        <v>#VALUE!</v>
      </c>
      <c r="N1596" s="182"/>
      <c r="O1596" s="737" t="str">
        <f t="shared" si="389"/>
        <v>#VALUE!</v>
      </c>
      <c r="P1596" s="11"/>
      <c r="Q1596" s="11"/>
      <c r="R1596" s="11"/>
      <c r="S1596" s="11"/>
      <c r="T1596" s="11"/>
      <c r="U1596" s="11"/>
      <c r="V1596" s="11"/>
      <c r="W1596" s="11"/>
      <c r="X1596" s="11"/>
      <c r="Y1596" s="11"/>
      <c r="Z1596" s="11"/>
      <c r="AA1596" s="11"/>
    </row>
    <row r="1597" ht="15.75" customHeight="1">
      <c r="A1597" s="737">
        <f t="shared" si="387"/>
        <v>0</v>
      </c>
      <c r="B1597" s="737">
        <f>A1597/'Orbit Info'!$G$10</f>
        <v>0</v>
      </c>
      <c r="C1597" s="737" t="str">
        <f t="shared" si="380"/>
        <v>Housekeeping and events only</v>
      </c>
      <c r="D1597" s="737">
        <f t="shared" si="381"/>
        <v>1</v>
      </c>
      <c r="E1597" s="737" t="str">
        <f t="shared" si="382"/>
        <v>#VALUE!</v>
      </c>
      <c r="F1597" s="737">
        <v>1.0</v>
      </c>
      <c r="G1597" s="737" t="str">
        <f t="shared" si="383"/>
        <v>#VALUE!</v>
      </c>
      <c r="H1597" s="737" t="str">
        <f>MIN($Q$11/('Orbit Info'!G$10),$Q$8*60)</f>
        <v>#VALUE!</v>
      </c>
      <c r="I1597" s="737" t="str">
        <f>IF(D1597=1,$Q$12/'Data DownlinkStorage Budget'!$M$3,0)</f>
        <v>#VALUE!</v>
      </c>
      <c r="J1597" s="737" t="str">
        <f t="shared" si="388"/>
        <v>#VALUE!</v>
      </c>
      <c r="K1597" s="11"/>
      <c r="L1597" s="737" t="str">
        <f t="shared" si="385"/>
        <v>FOUND product plus housekeeping</v>
      </c>
      <c r="M1597" s="737" t="str">
        <f>MIN($Q$18,$Q$10*60)-IF(D1597=1,$Q$17/'Data DownlinkStorage Budget'!$M$3,0)</f>
        <v>#VALUE!</v>
      </c>
      <c r="N1597" s="182"/>
      <c r="O1597" s="737" t="str">
        <f t="shared" si="389"/>
        <v>#VALUE!</v>
      </c>
      <c r="P1597" s="11"/>
      <c r="Q1597" s="11"/>
      <c r="R1597" s="11"/>
      <c r="S1597" s="11"/>
      <c r="T1597" s="11"/>
      <c r="U1597" s="11"/>
      <c r="V1597" s="11"/>
      <c r="W1597" s="11"/>
      <c r="X1597" s="11"/>
      <c r="Y1597" s="11"/>
      <c r="Z1597" s="11"/>
      <c r="AA1597" s="11"/>
    </row>
    <row r="1598" ht="15.75" customHeight="1">
      <c r="A1598" s="737">
        <f t="shared" si="387"/>
        <v>0</v>
      </c>
      <c r="B1598" s="737">
        <f>A1598/'Orbit Info'!$G$10</f>
        <v>0</v>
      </c>
      <c r="C1598" s="737" t="str">
        <f t="shared" si="380"/>
        <v>Housekeeping and events only</v>
      </c>
      <c r="D1598" s="737">
        <f t="shared" si="381"/>
        <v>1</v>
      </c>
      <c r="E1598" s="737" t="str">
        <f t="shared" si="382"/>
        <v>#VALUE!</v>
      </c>
      <c r="F1598" s="737">
        <v>1.0</v>
      </c>
      <c r="G1598" s="737" t="str">
        <f t="shared" si="383"/>
        <v>#VALUE!</v>
      </c>
      <c r="H1598" s="737" t="str">
        <f>MIN($Q$11/('Orbit Info'!G$10),$Q$8*60)</f>
        <v>#VALUE!</v>
      </c>
      <c r="I1598" s="737" t="str">
        <f>IF(D1598=1,$Q$12/'Data DownlinkStorage Budget'!$M$3,0)</f>
        <v>#VALUE!</v>
      </c>
      <c r="J1598" s="737" t="str">
        <f t="shared" si="388"/>
        <v>#VALUE!</v>
      </c>
      <c r="K1598" s="11"/>
      <c r="L1598" s="737" t="str">
        <f t="shared" si="385"/>
        <v>FOUND product plus housekeeping</v>
      </c>
      <c r="M1598" s="737" t="str">
        <f>MIN($Q$18,$Q$10*60)-IF(D1598=1,$Q$17/'Data DownlinkStorage Budget'!$M$3,0)</f>
        <v>#VALUE!</v>
      </c>
      <c r="N1598" s="182"/>
      <c r="O1598" s="737" t="str">
        <f t="shared" si="389"/>
        <v>#VALUE!</v>
      </c>
      <c r="P1598" s="11"/>
      <c r="Q1598" s="11"/>
      <c r="R1598" s="11"/>
      <c r="S1598" s="11"/>
      <c r="T1598" s="11"/>
      <c r="U1598" s="11"/>
      <c r="V1598" s="11"/>
      <c r="W1598" s="11"/>
      <c r="X1598" s="11"/>
      <c r="Y1598" s="11"/>
      <c r="Z1598" s="11"/>
      <c r="AA1598" s="11"/>
    </row>
    <row r="1599" ht="15.75" customHeight="1">
      <c r="A1599" s="737">
        <f t="shared" si="387"/>
        <v>0</v>
      </c>
      <c r="B1599" s="737">
        <f>A1599/'Orbit Info'!$G$10</f>
        <v>0</v>
      </c>
      <c r="C1599" s="737" t="str">
        <f t="shared" si="380"/>
        <v>Housekeeping and events only</v>
      </c>
      <c r="D1599" s="737">
        <f t="shared" si="381"/>
        <v>1</v>
      </c>
      <c r="E1599" s="737" t="str">
        <f t="shared" si="382"/>
        <v>#VALUE!</v>
      </c>
      <c r="F1599" s="737">
        <v>1.0</v>
      </c>
      <c r="G1599" s="737" t="str">
        <f t="shared" si="383"/>
        <v>#VALUE!</v>
      </c>
      <c r="H1599" s="737" t="str">
        <f>MIN($Q$11/('Orbit Info'!G$10),$Q$8*60)</f>
        <v>#VALUE!</v>
      </c>
      <c r="I1599" s="737" t="str">
        <f>IF(D1599=1,$Q$12/'Data DownlinkStorage Budget'!$M$3,0)</f>
        <v>#VALUE!</v>
      </c>
      <c r="J1599" s="737" t="str">
        <f t="shared" si="388"/>
        <v>#VALUE!</v>
      </c>
      <c r="K1599" s="11"/>
      <c r="L1599" s="737" t="str">
        <f t="shared" si="385"/>
        <v>FOUND product plus housekeeping</v>
      </c>
      <c r="M1599" s="737" t="str">
        <f>MIN($Q$18,$Q$10*60)-IF(D1599=1,$Q$17/'Data DownlinkStorage Budget'!$M$3,0)</f>
        <v>#VALUE!</v>
      </c>
      <c r="N1599" s="182"/>
      <c r="O1599" s="737" t="str">
        <f t="shared" si="389"/>
        <v>#VALUE!</v>
      </c>
      <c r="P1599" s="11"/>
      <c r="Q1599" s="11"/>
      <c r="R1599" s="11"/>
      <c r="S1599" s="11"/>
      <c r="T1599" s="11"/>
      <c r="U1599" s="11"/>
      <c r="V1599" s="11"/>
      <c r="W1599" s="11"/>
      <c r="X1599" s="11"/>
      <c r="Y1599" s="11"/>
      <c r="Z1599" s="11"/>
      <c r="AA1599" s="11"/>
    </row>
    <row r="1600" ht="15.75" customHeight="1">
      <c r="A1600" s="737">
        <f t="shared" si="387"/>
        <v>0</v>
      </c>
      <c r="B1600" s="737">
        <f>A1600/'Orbit Info'!$G$10</f>
        <v>0</v>
      </c>
      <c r="C1600" s="737" t="str">
        <f t="shared" si="380"/>
        <v>Housekeeping and events only</v>
      </c>
      <c r="D1600" s="737">
        <f t="shared" si="381"/>
        <v>1</v>
      </c>
      <c r="E1600" s="737" t="str">
        <f t="shared" si="382"/>
        <v>#VALUE!</v>
      </c>
      <c r="F1600" s="737">
        <v>1.0</v>
      </c>
      <c r="G1600" s="737" t="str">
        <f t="shared" si="383"/>
        <v>#VALUE!</v>
      </c>
      <c r="H1600" s="737" t="str">
        <f>MIN($Q$11/('Orbit Info'!G$10),$Q$8*60)</f>
        <v>#VALUE!</v>
      </c>
      <c r="I1600" s="737" t="str">
        <f>IF(D1600=1,$Q$12/'Data DownlinkStorage Budget'!$M$3,0)</f>
        <v>#VALUE!</v>
      </c>
      <c r="J1600" s="737" t="str">
        <f t="shared" si="388"/>
        <v>#VALUE!</v>
      </c>
      <c r="K1600" s="11"/>
      <c r="L1600" s="737" t="str">
        <f t="shared" si="385"/>
        <v>FOUND product plus housekeeping</v>
      </c>
      <c r="M1600" s="737" t="str">
        <f>MIN($Q$18,$Q$10*60)-IF(D1600=1,$Q$17/'Data DownlinkStorage Budget'!$M$3,0)</f>
        <v>#VALUE!</v>
      </c>
      <c r="N1600" s="182"/>
      <c r="O1600" s="737" t="str">
        <f t="shared" si="389"/>
        <v>#VALUE!</v>
      </c>
      <c r="P1600" s="11"/>
      <c r="Q1600" s="11"/>
      <c r="R1600" s="11"/>
      <c r="S1600" s="11"/>
      <c r="T1600" s="11"/>
      <c r="U1600" s="11"/>
      <c r="V1600" s="11"/>
      <c r="W1600" s="11"/>
      <c r="X1600" s="11"/>
      <c r="Y1600" s="11"/>
      <c r="Z1600" s="11"/>
      <c r="AA1600" s="11"/>
    </row>
    <row r="1601" ht="15.75" customHeight="1">
      <c r="A1601" s="737">
        <f t="shared" si="387"/>
        <v>0</v>
      </c>
      <c r="B1601" s="737">
        <f>A1601/'Orbit Info'!$G$10</f>
        <v>0</v>
      </c>
      <c r="C1601" s="737" t="str">
        <f t="shared" si="380"/>
        <v>Housekeeping and events only</v>
      </c>
      <c r="D1601" s="737">
        <f t="shared" si="381"/>
        <v>1</v>
      </c>
      <c r="E1601" s="737" t="str">
        <f t="shared" si="382"/>
        <v>#VALUE!</v>
      </c>
      <c r="F1601" s="737">
        <v>1.0</v>
      </c>
      <c r="G1601" s="737" t="str">
        <f t="shared" si="383"/>
        <v>#VALUE!</v>
      </c>
      <c r="H1601" s="737" t="str">
        <f>MIN($Q$11/('Orbit Info'!G$10),$Q$8*60)</f>
        <v>#VALUE!</v>
      </c>
      <c r="I1601" s="737" t="str">
        <f>IF(D1601=1,$Q$12/'Data DownlinkStorage Budget'!$M$3,0)</f>
        <v>#VALUE!</v>
      </c>
      <c r="J1601" s="737" t="str">
        <f t="shared" si="388"/>
        <v>#VALUE!</v>
      </c>
      <c r="K1601" s="11"/>
      <c r="L1601" s="737" t="str">
        <f t="shared" si="385"/>
        <v>FOUND product plus housekeeping</v>
      </c>
      <c r="M1601" s="737" t="str">
        <f>MIN($Q$18,$Q$10*60)-IF(D1601=1,$Q$17/'Data DownlinkStorage Budget'!$M$3,0)</f>
        <v>#VALUE!</v>
      </c>
      <c r="N1601" s="182"/>
      <c r="O1601" s="737" t="str">
        <f t="shared" si="389"/>
        <v>#VALUE!</v>
      </c>
      <c r="P1601" s="11"/>
      <c r="Q1601" s="11"/>
      <c r="R1601" s="11"/>
      <c r="S1601" s="11"/>
      <c r="T1601" s="11"/>
      <c r="U1601" s="11"/>
      <c r="V1601" s="11"/>
      <c r="W1601" s="11"/>
      <c r="X1601" s="11"/>
      <c r="Y1601" s="11"/>
      <c r="Z1601" s="11"/>
      <c r="AA1601" s="11"/>
    </row>
    <row r="1602" ht="15.75" customHeight="1">
      <c r="A1602" s="737">
        <f t="shared" si="387"/>
        <v>0</v>
      </c>
      <c r="B1602" s="737">
        <f>A1602/'Orbit Info'!$G$10</f>
        <v>0</v>
      </c>
      <c r="C1602" s="737" t="str">
        <f t="shared" si="380"/>
        <v>Housekeeping and events only</v>
      </c>
      <c r="D1602" s="737">
        <f t="shared" si="381"/>
        <v>1</v>
      </c>
      <c r="E1602" s="737" t="str">
        <f t="shared" si="382"/>
        <v>#VALUE!</v>
      </c>
      <c r="F1602" s="737">
        <v>1.0</v>
      </c>
      <c r="G1602" s="737" t="str">
        <f t="shared" si="383"/>
        <v>#VALUE!</v>
      </c>
      <c r="H1602" s="737" t="str">
        <f>MIN($Q$11/('Orbit Info'!G$10),$Q$8*60)</f>
        <v>#VALUE!</v>
      </c>
      <c r="I1602" s="737" t="str">
        <f>IF(D1602=1,$Q$12/'Data DownlinkStorage Budget'!$M$3,0)</f>
        <v>#VALUE!</v>
      </c>
      <c r="J1602" s="737" t="str">
        <f t="shared" si="388"/>
        <v>#VALUE!</v>
      </c>
      <c r="K1602" s="11"/>
      <c r="L1602" s="737" t="str">
        <f t="shared" si="385"/>
        <v>FOUND product plus housekeeping</v>
      </c>
      <c r="M1602" s="737" t="str">
        <f>MIN($Q$18,$Q$10*60)-IF(D1602=1,$Q$17/'Data DownlinkStorage Budget'!$M$3,0)</f>
        <v>#VALUE!</v>
      </c>
      <c r="N1602" s="182"/>
      <c r="O1602" s="737" t="str">
        <f t="shared" si="389"/>
        <v>#VALUE!</v>
      </c>
      <c r="P1602" s="11"/>
      <c r="Q1602" s="11"/>
      <c r="R1602" s="11"/>
      <c r="S1602" s="11"/>
      <c r="T1602" s="11"/>
      <c r="U1602" s="11"/>
      <c r="V1602" s="11"/>
      <c r="W1602" s="11"/>
      <c r="X1602" s="11"/>
      <c r="Y1602" s="11"/>
      <c r="Z1602" s="11"/>
      <c r="AA1602" s="11"/>
    </row>
    <row r="1603" ht="15.75" customHeight="1">
      <c r="A1603" s="737">
        <f t="shared" si="387"/>
        <v>0</v>
      </c>
      <c r="B1603" s="737">
        <f>A1603/'Orbit Info'!$G$10</f>
        <v>0</v>
      </c>
      <c r="C1603" s="737" t="str">
        <f t="shared" si="380"/>
        <v>Housekeeping and events only</v>
      </c>
      <c r="D1603" s="737">
        <f t="shared" si="381"/>
        <v>1</v>
      </c>
      <c r="E1603" s="737" t="str">
        <f t="shared" si="382"/>
        <v>#VALUE!</v>
      </c>
      <c r="F1603" s="737">
        <v>1.0</v>
      </c>
      <c r="G1603" s="737" t="str">
        <f t="shared" si="383"/>
        <v>#VALUE!</v>
      </c>
      <c r="H1603" s="737" t="str">
        <f>MIN($Q$11/('Orbit Info'!G$10),$Q$8*60)</f>
        <v>#VALUE!</v>
      </c>
      <c r="I1603" s="737" t="str">
        <f>IF(D1603=1,$Q$12/'Data DownlinkStorage Budget'!$M$3,0)</f>
        <v>#VALUE!</v>
      </c>
      <c r="J1603" s="737" t="str">
        <f t="shared" si="388"/>
        <v>#VALUE!</v>
      </c>
      <c r="K1603" s="11"/>
      <c r="L1603" s="737" t="str">
        <f t="shared" si="385"/>
        <v>FOUND product plus housekeeping</v>
      </c>
      <c r="M1603" s="737" t="str">
        <f>MIN($Q$18,$Q$10*60)-IF(D1603=1,$Q$17/'Data DownlinkStorage Budget'!$M$3,0)</f>
        <v>#VALUE!</v>
      </c>
      <c r="N1603" s="182"/>
      <c r="O1603" s="737" t="str">
        <f t="shared" si="389"/>
        <v>#VALUE!</v>
      </c>
      <c r="P1603" s="11"/>
      <c r="Q1603" s="11"/>
      <c r="R1603" s="11"/>
      <c r="S1603" s="11"/>
      <c r="T1603" s="11"/>
      <c r="U1603" s="11"/>
      <c r="V1603" s="11"/>
      <c r="W1603" s="11"/>
      <c r="X1603" s="11"/>
      <c r="Y1603" s="11"/>
      <c r="Z1603" s="11"/>
      <c r="AA1603" s="11"/>
    </row>
    <row r="1604" ht="15.75" customHeight="1">
      <c r="A1604" s="737">
        <f t="shared" si="387"/>
        <v>0</v>
      </c>
      <c r="B1604" s="737">
        <f>A1604/'Orbit Info'!$G$10</f>
        <v>0</v>
      </c>
      <c r="C1604" s="737" t="str">
        <f t="shared" si="380"/>
        <v>Housekeeping and events only</v>
      </c>
      <c r="D1604" s="737">
        <f t="shared" si="381"/>
        <v>1</v>
      </c>
      <c r="E1604" s="737" t="str">
        <f t="shared" si="382"/>
        <v>#VALUE!</v>
      </c>
      <c r="F1604" s="737">
        <v>1.0</v>
      </c>
      <c r="G1604" s="737" t="str">
        <f t="shared" si="383"/>
        <v>#VALUE!</v>
      </c>
      <c r="H1604" s="737" t="str">
        <f>MIN($Q$11/('Orbit Info'!G$10),$Q$8*60)</f>
        <v>#VALUE!</v>
      </c>
      <c r="I1604" s="737" t="str">
        <f>IF(D1604=1,$Q$12/'Data DownlinkStorage Budget'!$M$3,0)</f>
        <v>#VALUE!</v>
      </c>
      <c r="J1604" s="737" t="str">
        <f t="shared" si="388"/>
        <v>#VALUE!</v>
      </c>
      <c r="K1604" s="11"/>
      <c r="L1604" s="737" t="str">
        <f t="shared" si="385"/>
        <v>FOUND product plus housekeeping</v>
      </c>
      <c r="M1604" s="737" t="str">
        <f>MIN($Q$18,$Q$10*60)-IF(D1604=1,$Q$17/'Data DownlinkStorage Budget'!$M$3,0)</f>
        <v>#VALUE!</v>
      </c>
      <c r="N1604" s="182"/>
      <c r="O1604" s="737" t="str">
        <f t="shared" si="389"/>
        <v>#VALUE!</v>
      </c>
      <c r="P1604" s="11"/>
      <c r="Q1604" s="11"/>
      <c r="R1604" s="11"/>
      <c r="S1604" s="11"/>
      <c r="T1604" s="11"/>
      <c r="U1604" s="11"/>
      <c r="V1604" s="11"/>
      <c r="W1604" s="11"/>
      <c r="X1604" s="11"/>
      <c r="Y1604" s="11"/>
      <c r="Z1604" s="11"/>
      <c r="AA1604" s="11"/>
    </row>
    <row r="1605" ht="15.75" customHeight="1">
      <c r="A1605" s="737">
        <f t="shared" si="387"/>
        <v>0</v>
      </c>
      <c r="B1605" s="737">
        <f>A1605/'Orbit Info'!$G$10</f>
        <v>0</v>
      </c>
      <c r="C1605" s="737" t="str">
        <f t="shared" si="380"/>
        <v>Housekeeping and events only</v>
      </c>
      <c r="D1605" s="737">
        <f t="shared" si="381"/>
        <v>1</v>
      </c>
      <c r="E1605" s="737" t="str">
        <f t="shared" si="382"/>
        <v>#VALUE!</v>
      </c>
      <c r="F1605" s="737">
        <v>1.0</v>
      </c>
      <c r="G1605" s="737" t="str">
        <f t="shared" si="383"/>
        <v>#VALUE!</v>
      </c>
      <c r="H1605" s="737" t="str">
        <f>MIN($Q$11/('Orbit Info'!G$10),$Q$8*60)</f>
        <v>#VALUE!</v>
      </c>
      <c r="I1605" s="737" t="str">
        <f>IF(D1605=1,$Q$12/'Data DownlinkStorage Budget'!$M$3,0)</f>
        <v>#VALUE!</v>
      </c>
      <c r="J1605" s="737" t="str">
        <f t="shared" si="388"/>
        <v>#VALUE!</v>
      </c>
      <c r="K1605" s="11"/>
      <c r="L1605" s="737" t="str">
        <f t="shared" si="385"/>
        <v>FOUND product plus housekeeping</v>
      </c>
      <c r="M1605" s="737" t="str">
        <f>MIN($Q$18,$Q$10*60)-IF(D1605=1,$Q$17/'Data DownlinkStorage Budget'!$M$3,0)</f>
        <v>#VALUE!</v>
      </c>
      <c r="N1605" s="182"/>
      <c r="O1605" s="737" t="str">
        <f t="shared" si="389"/>
        <v>#VALUE!</v>
      </c>
      <c r="P1605" s="11"/>
      <c r="Q1605" s="11"/>
      <c r="R1605" s="11"/>
      <c r="S1605" s="11"/>
      <c r="T1605" s="11"/>
      <c r="U1605" s="11"/>
      <c r="V1605" s="11"/>
      <c r="W1605" s="11"/>
      <c r="X1605" s="11"/>
      <c r="Y1605" s="11"/>
      <c r="Z1605" s="11"/>
      <c r="AA1605" s="11"/>
    </row>
    <row r="1606" ht="15.75" customHeight="1">
      <c r="A1606" s="737">
        <f t="shared" si="387"/>
        <v>0</v>
      </c>
      <c r="B1606" s="737">
        <f>A1606/'Orbit Info'!$G$10</f>
        <v>0</v>
      </c>
      <c r="C1606" s="737" t="str">
        <f t="shared" si="380"/>
        <v>Housekeeping and events only</v>
      </c>
      <c r="D1606" s="737">
        <f t="shared" si="381"/>
        <v>1</v>
      </c>
      <c r="E1606" s="737" t="str">
        <f t="shared" si="382"/>
        <v>#VALUE!</v>
      </c>
      <c r="F1606" s="737">
        <v>1.0</v>
      </c>
      <c r="G1606" s="737" t="str">
        <f t="shared" si="383"/>
        <v>#VALUE!</v>
      </c>
      <c r="H1606" s="737" t="str">
        <f>MIN($Q$11/('Orbit Info'!G$10),$Q$8*60)</f>
        <v>#VALUE!</v>
      </c>
      <c r="I1606" s="737" t="str">
        <f>IF(D1606=1,$Q$12/'Data DownlinkStorage Budget'!$M$3,0)</f>
        <v>#VALUE!</v>
      </c>
      <c r="J1606" s="737" t="str">
        <f t="shared" si="388"/>
        <v>#VALUE!</v>
      </c>
      <c r="K1606" s="11"/>
      <c r="L1606" s="737" t="str">
        <f t="shared" si="385"/>
        <v>FOUND product plus housekeeping</v>
      </c>
      <c r="M1606" s="737" t="str">
        <f>MIN($Q$18,$Q$10*60)-IF(D1606=1,$Q$17/'Data DownlinkStorage Budget'!$M$3,0)</f>
        <v>#VALUE!</v>
      </c>
      <c r="N1606" s="182"/>
      <c r="O1606" s="737" t="str">
        <f t="shared" si="389"/>
        <v>#VALUE!</v>
      </c>
      <c r="P1606" s="11"/>
      <c r="Q1606" s="11"/>
      <c r="R1606" s="11"/>
      <c r="S1606" s="11"/>
      <c r="T1606" s="11"/>
      <c r="U1606" s="11"/>
      <c r="V1606" s="11"/>
      <c r="W1606" s="11"/>
      <c r="X1606" s="11"/>
      <c r="Y1606" s="11"/>
      <c r="Z1606" s="11"/>
      <c r="AA1606" s="11"/>
    </row>
    <row r="1607" ht="15.75" customHeight="1">
      <c r="A1607" s="737">
        <f t="shared" si="387"/>
        <v>0</v>
      </c>
      <c r="B1607" s="737">
        <f>A1607/'Orbit Info'!$G$10</f>
        <v>0</v>
      </c>
      <c r="C1607" s="737" t="str">
        <f t="shared" si="380"/>
        <v>Housekeeping and events only</v>
      </c>
      <c r="D1607" s="737">
        <f t="shared" si="381"/>
        <v>1</v>
      </c>
      <c r="E1607" s="737" t="str">
        <f t="shared" si="382"/>
        <v>#VALUE!</v>
      </c>
      <c r="F1607" s="737">
        <v>1.0</v>
      </c>
      <c r="G1607" s="737" t="str">
        <f t="shared" si="383"/>
        <v>#VALUE!</v>
      </c>
      <c r="H1607" s="737" t="str">
        <f>MIN($Q$11/('Orbit Info'!G$10),$Q$8*60)</f>
        <v>#VALUE!</v>
      </c>
      <c r="I1607" s="737" t="str">
        <f>IF(D1607=1,$Q$12/'Data DownlinkStorage Budget'!$M$3,0)</f>
        <v>#VALUE!</v>
      </c>
      <c r="J1607" s="737" t="str">
        <f t="shared" si="388"/>
        <v>#VALUE!</v>
      </c>
      <c r="K1607" s="11"/>
      <c r="L1607" s="737" t="str">
        <f t="shared" si="385"/>
        <v>FOUND product plus housekeeping</v>
      </c>
      <c r="M1607" s="737" t="str">
        <f>MIN($Q$18,$Q$10*60)-IF(D1607=1,$Q$17/'Data DownlinkStorage Budget'!$M$3,0)</f>
        <v>#VALUE!</v>
      </c>
      <c r="N1607" s="182"/>
      <c r="O1607" s="737" t="str">
        <f t="shared" si="389"/>
        <v>#VALUE!</v>
      </c>
      <c r="P1607" s="11"/>
      <c r="Q1607" s="11"/>
      <c r="R1607" s="11"/>
      <c r="S1607" s="11"/>
      <c r="T1607" s="11"/>
      <c r="U1607" s="11"/>
      <c r="V1607" s="11"/>
      <c r="W1607" s="11"/>
      <c r="X1607" s="11"/>
      <c r="Y1607" s="11"/>
      <c r="Z1607" s="11"/>
      <c r="AA1607" s="11"/>
    </row>
    <row r="1608" ht="15.75" customHeight="1">
      <c r="A1608" s="737">
        <f t="shared" si="387"/>
        <v>0</v>
      </c>
      <c r="B1608" s="737">
        <f>A1608/'Orbit Info'!$G$10</f>
        <v>0</v>
      </c>
      <c r="C1608" s="737" t="str">
        <f t="shared" si="380"/>
        <v>Housekeeping and events only</v>
      </c>
      <c r="D1608" s="737">
        <f t="shared" si="381"/>
        <v>1</v>
      </c>
      <c r="E1608" s="737" t="str">
        <f t="shared" si="382"/>
        <v>#VALUE!</v>
      </c>
      <c r="F1608" s="737">
        <v>1.0</v>
      </c>
      <c r="G1608" s="737" t="str">
        <f t="shared" si="383"/>
        <v>#VALUE!</v>
      </c>
      <c r="H1608" s="737" t="str">
        <f>MIN($Q$11/('Orbit Info'!G$10),$Q$8*60)</f>
        <v>#VALUE!</v>
      </c>
      <c r="I1608" s="737" t="str">
        <f>IF(D1608=1,$Q$12/'Data DownlinkStorage Budget'!$M$3,0)</f>
        <v>#VALUE!</v>
      </c>
      <c r="J1608" s="737" t="str">
        <f t="shared" si="388"/>
        <v>#VALUE!</v>
      </c>
      <c r="K1608" s="11"/>
      <c r="L1608" s="737" t="str">
        <f t="shared" si="385"/>
        <v>FOUND product plus housekeeping</v>
      </c>
      <c r="M1608" s="737" t="str">
        <f>MIN($Q$18,$Q$10*60)-IF(D1608=1,$Q$17/'Data DownlinkStorage Budget'!$M$3,0)</f>
        <v>#VALUE!</v>
      </c>
      <c r="N1608" s="182"/>
      <c r="O1608" s="737" t="str">
        <f t="shared" si="389"/>
        <v>#VALUE!</v>
      </c>
      <c r="P1608" s="11"/>
      <c r="Q1608" s="11"/>
      <c r="R1608" s="11"/>
      <c r="S1608" s="11"/>
      <c r="T1608" s="11"/>
      <c r="U1608" s="11"/>
      <c r="V1608" s="11"/>
      <c r="W1608" s="11"/>
      <c r="X1608" s="11"/>
      <c r="Y1608" s="11"/>
      <c r="Z1608" s="11"/>
      <c r="AA1608" s="11"/>
    </row>
    <row r="1609" ht="15.75" customHeight="1">
      <c r="A1609" s="737">
        <f t="shared" si="387"/>
        <v>0</v>
      </c>
      <c r="B1609" s="737">
        <f>A1609/'Orbit Info'!$G$10</f>
        <v>0</v>
      </c>
      <c r="C1609" s="737" t="str">
        <f t="shared" si="380"/>
        <v>Housekeeping and events only</v>
      </c>
      <c r="D1609" s="737">
        <f t="shared" si="381"/>
        <v>1</v>
      </c>
      <c r="E1609" s="737" t="str">
        <f t="shared" si="382"/>
        <v>#VALUE!</v>
      </c>
      <c r="F1609" s="737">
        <v>1.0</v>
      </c>
      <c r="G1609" s="737" t="str">
        <f t="shared" si="383"/>
        <v>#VALUE!</v>
      </c>
      <c r="H1609" s="737" t="str">
        <f>MIN($Q$11/('Orbit Info'!G$10),$Q$8*60)</f>
        <v>#VALUE!</v>
      </c>
      <c r="I1609" s="737" t="str">
        <f>IF(D1609=1,$Q$12/'Data DownlinkStorage Budget'!$M$3,0)</f>
        <v>#VALUE!</v>
      </c>
      <c r="J1609" s="737" t="str">
        <f t="shared" si="388"/>
        <v>#VALUE!</v>
      </c>
      <c r="K1609" s="11"/>
      <c r="L1609" s="737" t="str">
        <f t="shared" si="385"/>
        <v>FOUND product plus housekeeping</v>
      </c>
      <c r="M1609" s="737" t="str">
        <f>MIN($Q$18,$Q$10*60)-IF(D1609=1,$Q$17/'Data DownlinkStorage Budget'!$M$3,0)</f>
        <v>#VALUE!</v>
      </c>
      <c r="N1609" s="182"/>
      <c r="O1609" s="737" t="str">
        <f t="shared" si="389"/>
        <v>#VALUE!</v>
      </c>
      <c r="P1609" s="11"/>
      <c r="Q1609" s="11"/>
      <c r="R1609" s="11"/>
      <c r="S1609" s="11"/>
      <c r="T1609" s="11"/>
      <c r="U1609" s="11"/>
      <c r="V1609" s="11"/>
      <c r="W1609" s="11"/>
      <c r="X1609" s="11"/>
      <c r="Y1609" s="11"/>
      <c r="Z1609" s="11"/>
      <c r="AA1609" s="11"/>
    </row>
    <row r="1610" ht="15.75" customHeight="1">
      <c r="A1610" s="737">
        <f t="shared" si="387"/>
        <v>0</v>
      </c>
      <c r="B1610" s="737">
        <f>A1610/'Orbit Info'!$G$10</f>
        <v>0</v>
      </c>
      <c r="C1610" s="737" t="str">
        <f t="shared" si="380"/>
        <v>Housekeeping and events only</v>
      </c>
      <c r="D1610" s="737">
        <f t="shared" si="381"/>
        <v>1</v>
      </c>
      <c r="E1610" s="737" t="str">
        <f t="shared" si="382"/>
        <v>#VALUE!</v>
      </c>
      <c r="F1610" s="737">
        <v>1.0</v>
      </c>
      <c r="G1610" s="737" t="str">
        <f t="shared" si="383"/>
        <v>#VALUE!</v>
      </c>
      <c r="H1610" s="737" t="str">
        <f>MIN($Q$11/('Orbit Info'!G$10),$Q$8*60)</f>
        <v>#VALUE!</v>
      </c>
      <c r="I1610" s="737" t="str">
        <f>IF(D1610=1,$Q$12/'Data DownlinkStorage Budget'!$M$3,0)</f>
        <v>#VALUE!</v>
      </c>
      <c r="J1610" s="737" t="str">
        <f t="shared" si="388"/>
        <v>#VALUE!</v>
      </c>
      <c r="K1610" s="11"/>
      <c r="L1610" s="737" t="str">
        <f t="shared" si="385"/>
        <v>FOUND product plus housekeeping</v>
      </c>
      <c r="M1610" s="737" t="str">
        <f>MIN($Q$18,$Q$10*60)-IF(D1610=1,$Q$17/'Data DownlinkStorage Budget'!$M$3,0)</f>
        <v>#VALUE!</v>
      </c>
      <c r="N1610" s="182"/>
      <c r="O1610" s="737" t="str">
        <f t="shared" si="389"/>
        <v>#VALUE!</v>
      </c>
      <c r="P1610" s="11"/>
      <c r="Q1610" s="11"/>
      <c r="R1610" s="11"/>
      <c r="S1610" s="11"/>
      <c r="T1610" s="11"/>
      <c r="U1610" s="11"/>
      <c r="V1610" s="11"/>
      <c r="W1610" s="11"/>
      <c r="X1610" s="11"/>
      <c r="Y1610" s="11"/>
      <c r="Z1610" s="11"/>
      <c r="AA1610" s="11"/>
    </row>
    <row r="1611" ht="15.75" customHeight="1">
      <c r="A1611" s="737">
        <f t="shared" si="387"/>
        <v>0</v>
      </c>
      <c r="B1611" s="737">
        <f>A1611/'Orbit Info'!$G$10</f>
        <v>0</v>
      </c>
      <c r="C1611" s="737" t="str">
        <f t="shared" si="380"/>
        <v>Housekeeping and events only</v>
      </c>
      <c r="D1611" s="737">
        <f t="shared" si="381"/>
        <v>1</v>
      </c>
      <c r="E1611" s="737" t="str">
        <f t="shared" si="382"/>
        <v>#VALUE!</v>
      </c>
      <c r="F1611" s="737">
        <v>1.0</v>
      </c>
      <c r="G1611" s="737" t="str">
        <f t="shared" si="383"/>
        <v>#VALUE!</v>
      </c>
      <c r="H1611" s="737" t="str">
        <f>MIN($Q$11/('Orbit Info'!G$10),$Q$8*60)</f>
        <v>#VALUE!</v>
      </c>
      <c r="I1611" s="737" t="str">
        <f>IF(D1611=1,$Q$12/'Data DownlinkStorage Budget'!$M$3,0)</f>
        <v>#VALUE!</v>
      </c>
      <c r="J1611" s="737" t="str">
        <f t="shared" si="388"/>
        <v>#VALUE!</v>
      </c>
      <c r="K1611" s="11"/>
      <c r="L1611" s="737" t="str">
        <f t="shared" si="385"/>
        <v>FOUND product plus housekeeping</v>
      </c>
      <c r="M1611" s="737" t="str">
        <f>MIN($Q$18,$Q$10*60)-IF(D1611=1,$Q$17/'Data DownlinkStorage Budget'!$M$3,0)</f>
        <v>#VALUE!</v>
      </c>
      <c r="N1611" s="182"/>
      <c r="O1611" s="737" t="str">
        <f t="shared" si="389"/>
        <v>#VALUE!</v>
      </c>
      <c r="P1611" s="11"/>
      <c r="Q1611" s="11"/>
      <c r="R1611" s="11"/>
      <c r="S1611" s="11"/>
      <c r="T1611" s="11"/>
      <c r="U1611" s="11"/>
      <c r="V1611" s="11"/>
      <c r="W1611" s="11"/>
      <c r="X1611" s="11"/>
      <c r="Y1611" s="11"/>
      <c r="Z1611" s="11"/>
      <c r="AA1611" s="11"/>
    </row>
    <row r="1612" ht="15.75" customHeight="1">
      <c r="A1612" s="737">
        <f t="shared" si="387"/>
        <v>0</v>
      </c>
      <c r="B1612" s="737">
        <f>A1612/'Orbit Info'!$G$10</f>
        <v>0</v>
      </c>
      <c r="C1612" s="737" t="str">
        <f t="shared" si="380"/>
        <v>Housekeeping and events only</v>
      </c>
      <c r="D1612" s="737">
        <f t="shared" si="381"/>
        <v>1</v>
      </c>
      <c r="E1612" s="737" t="str">
        <f t="shared" si="382"/>
        <v>#VALUE!</v>
      </c>
      <c r="F1612" s="737">
        <v>1.0</v>
      </c>
      <c r="G1612" s="737" t="str">
        <f t="shared" si="383"/>
        <v>#VALUE!</v>
      </c>
      <c r="H1612" s="737" t="str">
        <f>MIN($Q$11/('Orbit Info'!G$10),$Q$8*60)</f>
        <v>#VALUE!</v>
      </c>
      <c r="I1612" s="737" t="str">
        <f>IF(D1612=1,$Q$12/'Data DownlinkStorage Budget'!$M$3,0)</f>
        <v>#VALUE!</v>
      </c>
      <c r="J1612" s="737" t="str">
        <f t="shared" si="388"/>
        <v>#VALUE!</v>
      </c>
      <c r="K1612" s="11"/>
      <c r="L1612" s="737" t="str">
        <f t="shared" si="385"/>
        <v>FOUND product plus housekeeping</v>
      </c>
      <c r="M1612" s="737" t="str">
        <f>MIN($Q$18,$Q$10*60)-IF(D1612=1,$Q$17/'Data DownlinkStorage Budget'!$M$3,0)</f>
        <v>#VALUE!</v>
      </c>
      <c r="N1612" s="182"/>
      <c r="O1612" s="737" t="str">
        <f t="shared" si="389"/>
        <v>#VALUE!</v>
      </c>
      <c r="P1612" s="11"/>
      <c r="Q1612" s="11"/>
      <c r="R1612" s="11"/>
      <c r="S1612" s="11"/>
      <c r="T1612" s="11"/>
      <c r="U1612" s="11"/>
      <c r="V1612" s="11"/>
      <c r="W1612" s="11"/>
      <c r="X1612" s="11"/>
      <c r="Y1612" s="11"/>
      <c r="Z1612" s="11"/>
      <c r="AA1612" s="11"/>
    </row>
    <row r="1613" ht="15.75" customHeight="1">
      <c r="A1613" s="737">
        <f t="shared" si="387"/>
        <v>0</v>
      </c>
      <c r="B1613" s="737">
        <f>A1613/'Orbit Info'!$G$10</f>
        <v>0</v>
      </c>
      <c r="C1613" s="737" t="str">
        <f t="shared" si="380"/>
        <v>Housekeeping and events only</v>
      </c>
      <c r="D1613" s="737">
        <f t="shared" si="381"/>
        <v>1</v>
      </c>
      <c r="E1613" s="737" t="str">
        <f t="shared" si="382"/>
        <v>#VALUE!</v>
      </c>
      <c r="F1613" s="737">
        <v>1.0</v>
      </c>
      <c r="G1613" s="737" t="str">
        <f t="shared" si="383"/>
        <v>#VALUE!</v>
      </c>
      <c r="H1613" s="737" t="str">
        <f>MIN($Q$11/('Orbit Info'!G$10),$Q$8*60)</f>
        <v>#VALUE!</v>
      </c>
      <c r="I1613" s="737" t="str">
        <f>IF(D1613=1,$Q$12/'Data DownlinkStorage Budget'!$M$3,0)</f>
        <v>#VALUE!</v>
      </c>
      <c r="J1613" s="737" t="str">
        <f t="shared" si="388"/>
        <v>#VALUE!</v>
      </c>
      <c r="K1613" s="11"/>
      <c r="L1613" s="737" t="str">
        <f t="shared" si="385"/>
        <v>FOUND product plus housekeeping</v>
      </c>
      <c r="M1613" s="737" t="str">
        <f>MIN($Q$18,$Q$10*60)-IF(D1613=1,$Q$17/'Data DownlinkStorage Budget'!$M$3,0)</f>
        <v>#VALUE!</v>
      </c>
      <c r="N1613" s="182"/>
      <c r="O1613" s="737" t="str">
        <f t="shared" si="389"/>
        <v>#VALUE!</v>
      </c>
      <c r="P1613" s="11"/>
      <c r="Q1613" s="11"/>
      <c r="R1613" s="11"/>
      <c r="S1613" s="11"/>
      <c r="T1613" s="11"/>
      <c r="U1613" s="11"/>
      <c r="V1613" s="11"/>
      <c r="W1613" s="11"/>
      <c r="X1613" s="11"/>
      <c r="Y1613" s="11"/>
      <c r="Z1613" s="11"/>
      <c r="AA1613" s="11"/>
    </row>
    <row r="1614" ht="15.75" customHeight="1">
      <c r="A1614" s="737">
        <f t="shared" si="387"/>
        <v>0</v>
      </c>
      <c r="B1614" s="737">
        <f>A1614/'Orbit Info'!$G$10</f>
        <v>0</v>
      </c>
      <c r="C1614" s="737" t="str">
        <f t="shared" si="380"/>
        <v>Housekeeping and events only</v>
      </c>
      <c r="D1614" s="737">
        <f t="shared" si="381"/>
        <v>1</v>
      </c>
      <c r="E1614" s="737" t="str">
        <f t="shared" si="382"/>
        <v>#VALUE!</v>
      </c>
      <c r="F1614" s="737">
        <v>1.0</v>
      </c>
      <c r="G1614" s="737" t="str">
        <f t="shared" si="383"/>
        <v>#VALUE!</v>
      </c>
      <c r="H1614" s="737" t="str">
        <f>MIN($Q$11/('Orbit Info'!G$10),$Q$8*60)</f>
        <v>#VALUE!</v>
      </c>
      <c r="I1614" s="737" t="str">
        <f>IF(D1614=1,$Q$12/'Data DownlinkStorage Budget'!$M$3,0)</f>
        <v>#VALUE!</v>
      </c>
      <c r="J1614" s="737" t="str">
        <f t="shared" si="388"/>
        <v>#VALUE!</v>
      </c>
      <c r="K1614" s="11"/>
      <c r="L1614" s="737" t="str">
        <f t="shared" si="385"/>
        <v>FOUND product plus housekeeping</v>
      </c>
      <c r="M1614" s="737" t="str">
        <f>MIN($Q$18,$Q$10*60)-IF(D1614=1,$Q$17/'Data DownlinkStorage Budget'!$M$3,0)</f>
        <v>#VALUE!</v>
      </c>
      <c r="N1614" s="182"/>
      <c r="O1614" s="737" t="str">
        <f t="shared" si="389"/>
        <v>#VALUE!</v>
      </c>
      <c r="P1614" s="11"/>
      <c r="Q1614" s="11"/>
      <c r="R1614" s="11"/>
      <c r="S1614" s="11"/>
      <c r="T1614" s="11"/>
      <c r="U1614" s="11"/>
      <c r="V1614" s="11"/>
      <c r="W1614" s="11"/>
      <c r="X1614" s="11"/>
      <c r="Y1614" s="11"/>
      <c r="Z1614" s="11"/>
      <c r="AA1614" s="11"/>
    </row>
    <row r="1615" ht="15.75" customHeight="1">
      <c r="A1615" s="737">
        <f t="shared" si="387"/>
        <v>0</v>
      </c>
      <c r="B1615" s="737">
        <f>A1615/'Orbit Info'!$G$10</f>
        <v>0</v>
      </c>
      <c r="C1615" s="737" t="str">
        <f t="shared" si="380"/>
        <v>Housekeeping and events only</v>
      </c>
      <c r="D1615" s="737">
        <f t="shared" si="381"/>
        <v>1</v>
      </c>
      <c r="E1615" s="737" t="str">
        <f t="shared" si="382"/>
        <v>#VALUE!</v>
      </c>
      <c r="F1615" s="737">
        <v>1.0</v>
      </c>
      <c r="G1615" s="737" t="str">
        <f t="shared" si="383"/>
        <v>#VALUE!</v>
      </c>
      <c r="H1615" s="737" t="str">
        <f>MIN($Q$11/('Orbit Info'!G$10),$Q$8*60)</f>
        <v>#VALUE!</v>
      </c>
      <c r="I1615" s="737" t="str">
        <f>IF(D1615=1,$Q$12/'Data DownlinkStorage Budget'!$M$3,0)</f>
        <v>#VALUE!</v>
      </c>
      <c r="J1615" s="737" t="str">
        <f t="shared" si="388"/>
        <v>#VALUE!</v>
      </c>
      <c r="K1615" s="11"/>
      <c r="L1615" s="737" t="str">
        <f t="shared" si="385"/>
        <v>FOUND product plus housekeeping</v>
      </c>
      <c r="M1615" s="737" t="str">
        <f>MIN($Q$18,$Q$10*60)-IF(D1615=1,$Q$17/'Data DownlinkStorage Budget'!$M$3,0)</f>
        <v>#VALUE!</v>
      </c>
      <c r="N1615" s="182"/>
      <c r="O1615" s="737" t="str">
        <f t="shared" si="389"/>
        <v>#VALUE!</v>
      </c>
      <c r="P1615" s="11"/>
      <c r="Q1615" s="11"/>
      <c r="R1615" s="11"/>
      <c r="S1615" s="11"/>
      <c r="T1615" s="11"/>
      <c r="U1615" s="11"/>
      <c r="V1615" s="11"/>
      <c r="W1615" s="11"/>
      <c r="X1615" s="11"/>
      <c r="Y1615" s="11"/>
      <c r="Z1615" s="11"/>
      <c r="AA1615" s="11"/>
    </row>
    <row r="1616" ht="15.75" customHeight="1">
      <c r="A1616" s="737">
        <f t="shared" si="387"/>
        <v>0</v>
      </c>
      <c r="B1616" s="737">
        <f>A1616/'Orbit Info'!$G$10</f>
        <v>0</v>
      </c>
      <c r="C1616" s="737" t="str">
        <f t="shared" si="380"/>
        <v>Housekeeping and events only</v>
      </c>
      <c r="D1616" s="737">
        <f t="shared" si="381"/>
        <v>1</v>
      </c>
      <c r="E1616" s="737" t="str">
        <f t="shared" si="382"/>
        <v>#VALUE!</v>
      </c>
      <c r="F1616" s="737">
        <v>1.0</v>
      </c>
      <c r="G1616" s="737" t="str">
        <f t="shared" si="383"/>
        <v>#VALUE!</v>
      </c>
      <c r="H1616" s="737" t="str">
        <f>MIN($Q$11/('Orbit Info'!G$10),$Q$8*60)</f>
        <v>#VALUE!</v>
      </c>
      <c r="I1616" s="737" t="str">
        <f>IF(D1616=1,$Q$12/'Data DownlinkStorage Budget'!$M$3,0)</f>
        <v>#VALUE!</v>
      </c>
      <c r="J1616" s="737" t="str">
        <f t="shared" si="388"/>
        <v>#VALUE!</v>
      </c>
      <c r="K1616" s="11"/>
      <c r="L1616" s="737" t="str">
        <f t="shared" si="385"/>
        <v>FOUND product plus housekeeping</v>
      </c>
      <c r="M1616" s="737" t="str">
        <f>MIN($Q$18,$Q$10*60)-IF(D1616=1,$Q$17/'Data DownlinkStorage Budget'!$M$3,0)</f>
        <v>#VALUE!</v>
      </c>
      <c r="N1616" s="182"/>
      <c r="O1616" s="737" t="str">
        <f t="shared" si="389"/>
        <v>#VALUE!</v>
      </c>
      <c r="P1616" s="11"/>
      <c r="Q1616" s="11"/>
      <c r="R1616" s="11"/>
      <c r="S1616" s="11"/>
      <c r="T1616" s="11"/>
      <c r="U1616" s="11"/>
      <c r="V1616" s="11"/>
      <c r="W1616" s="11"/>
      <c r="X1616" s="11"/>
      <c r="Y1616" s="11"/>
      <c r="Z1616" s="11"/>
      <c r="AA1616" s="11"/>
    </row>
    <row r="1617" ht="15.75" customHeight="1">
      <c r="A1617" s="737">
        <f t="shared" si="387"/>
        <v>0</v>
      </c>
      <c r="B1617" s="737">
        <f>A1617/'Orbit Info'!$G$10</f>
        <v>0</v>
      </c>
      <c r="C1617" s="737" t="str">
        <f t="shared" si="380"/>
        <v>Housekeeping and events only</v>
      </c>
      <c r="D1617" s="737">
        <f t="shared" si="381"/>
        <v>1</v>
      </c>
      <c r="E1617" s="737" t="str">
        <f t="shared" si="382"/>
        <v>#VALUE!</v>
      </c>
      <c r="F1617" s="737">
        <v>1.0</v>
      </c>
      <c r="G1617" s="737" t="str">
        <f t="shared" si="383"/>
        <v>#VALUE!</v>
      </c>
      <c r="H1617" s="737" t="str">
        <f>MIN($Q$11/('Orbit Info'!G$10),$Q$8*60)</f>
        <v>#VALUE!</v>
      </c>
      <c r="I1617" s="737" t="str">
        <f>IF(D1617=1,$Q$12/'Data DownlinkStorage Budget'!$M$3,0)</f>
        <v>#VALUE!</v>
      </c>
      <c r="J1617" s="737" t="str">
        <f t="shared" si="388"/>
        <v>#VALUE!</v>
      </c>
      <c r="K1617" s="11"/>
      <c r="L1617" s="737" t="str">
        <f t="shared" si="385"/>
        <v>FOUND product plus housekeeping</v>
      </c>
      <c r="M1617" s="737" t="str">
        <f>MIN($Q$18,$Q$10*60)-IF(D1617=1,$Q$17/'Data DownlinkStorage Budget'!$M$3,0)</f>
        <v>#VALUE!</v>
      </c>
      <c r="N1617" s="182"/>
      <c r="O1617" s="737" t="str">
        <f t="shared" si="389"/>
        <v>#VALUE!</v>
      </c>
      <c r="P1617" s="11"/>
      <c r="Q1617" s="11"/>
      <c r="R1617" s="11"/>
      <c r="S1617" s="11"/>
      <c r="T1617" s="11"/>
      <c r="U1617" s="11"/>
      <c r="V1617" s="11"/>
      <c r="W1617" s="11"/>
      <c r="X1617" s="11"/>
      <c r="Y1617" s="11"/>
      <c r="Z1617" s="11"/>
      <c r="AA1617" s="11"/>
    </row>
    <row r="1618" ht="15.75" customHeight="1">
      <c r="A1618" s="737">
        <f t="shared" si="387"/>
        <v>0</v>
      </c>
      <c r="B1618" s="737">
        <f>A1618/'Orbit Info'!$G$10</f>
        <v>0</v>
      </c>
      <c r="C1618" s="737" t="str">
        <f t="shared" si="380"/>
        <v>Housekeeping and events only</v>
      </c>
      <c r="D1618" s="737">
        <f t="shared" si="381"/>
        <v>1</v>
      </c>
      <c r="E1618" s="737" t="str">
        <f t="shared" si="382"/>
        <v>#VALUE!</v>
      </c>
      <c r="F1618" s="737">
        <v>1.0</v>
      </c>
      <c r="G1618" s="737" t="str">
        <f t="shared" si="383"/>
        <v>#VALUE!</v>
      </c>
      <c r="H1618" s="737" t="str">
        <f>MIN($Q$11/('Orbit Info'!G$10),$Q$8*60)</f>
        <v>#VALUE!</v>
      </c>
      <c r="I1618" s="737" t="str">
        <f>IF(D1618=1,$Q$12/'Data DownlinkStorage Budget'!$M$3,0)</f>
        <v>#VALUE!</v>
      </c>
      <c r="J1618" s="737" t="str">
        <f t="shared" si="388"/>
        <v>#VALUE!</v>
      </c>
      <c r="K1618" s="11"/>
      <c r="L1618" s="737" t="str">
        <f t="shared" si="385"/>
        <v>FOUND product plus housekeeping</v>
      </c>
      <c r="M1618" s="737" t="str">
        <f>MIN($Q$18,$Q$10*60)-IF(D1618=1,$Q$17/'Data DownlinkStorage Budget'!$M$3,0)</f>
        <v>#VALUE!</v>
      </c>
      <c r="N1618" s="182"/>
      <c r="O1618" s="737" t="str">
        <f t="shared" si="389"/>
        <v>#VALUE!</v>
      </c>
      <c r="P1618" s="11"/>
      <c r="Q1618" s="11"/>
      <c r="R1618" s="11"/>
      <c r="S1618" s="11"/>
      <c r="T1618" s="11"/>
      <c r="U1618" s="11"/>
      <c r="V1618" s="11"/>
      <c r="W1618" s="11"/>
      <c r="X1618" s="11"/>
      <c r="Y1618" s="11"/>
      <c r="Z1618" s="11"/>
      <c r="AA1618" s="11"/>
    </row>
    <row r="1619" ht="15.75" customHeight="1">
      <c r="A1619" s="737">
        <f t="shared" si="387"/>
        <v>0</v>
      </c>
      <c r="B1619" s="737">
        <f>A1619/'Orbit Info'!$G$10</f>
        <v>0</v>
      </c>
      <c r="C1619" s="737" t="str">
        <f t="shared" si="380"/>
        <v>Housekeeping and events only</v>
      </c>
      <c r="D1619" s="737">
        <f t="shared" si="381"/>
        <v>1</v>
      </c>
      <c r="E1619" s="737" t="str">
        <f t="shared" si="382"/>
        <v>#VALUE!</v>
      </c>
      <c r="F1619" s="737">
        <v>1.0</v>
      </c>
      <c r="G1619" s="737" t="str">
        <f t="shared" si="383"/>
        <v>#VALUE!</v>
      </c>
      <c r="H1619" s="737" t="str">
        <f>MIN($Q$11/('Orbit Info'!G$10),$Q$8*60)</f>
        <v>#VALUE!</v>
      </c>
      <c r="I1619" s="737" t="str">
        <f>IF(D1619=1,$Q$12/'Data DownlinkStorage Budget'!$M$3,0)</f>
        <v>#VALUE!</v>
      </c>
      <c r="J1619" s="737" t="str">
        <f t="shared" si="388"/>
        <v>#VALUE!</v>
      </c>
      <c r="K1619" s="11"/>
      <c r="L1619" s="737" t="str">
        <f t="shared" si="385"/>
        <v>FOUND product plus housekeeping</v>
      </c>
      <c r="M1619" s="737" t="str">
        <f>MIN($Q$18,$Q$10*60)-IF(D1619=1,$Q$17/'Data DownlinkStorage Budget'!$M$3,0)</f>
        <v>#VALUE!</v>
      </c>
      <c r="N1619" s="182"/>
      <c r="O1619" s="737" t="str">
        <f t="shared" si="389"/>
        <v>#VALUE!</v>
      </c>
      <c r="P1619" s="11"/>
      <c r="Q1619" s="11"/>
      <c r="R1619" s="11"/>
      <c r="S1619" s="11"/>
      <c r="T1619" s="11"/>
      <c r="U1619" s="11"/>
      <c r="V1619" s="11"/>
      <c r="W1619" s="11"/>
      <c r="X1619" s="11"/>
      <c r="Y1619" s="11"/>
      <c r="Z1619" s="11"/>
      <c r="AA1619" s="11"/>
    </row>
    <row r="1620" ht="15.75" customHeight="1">
      <c r="A1620" s="737">
        <f t="shared" si="387"/>
        <v>0</v>
      </c>
      <c r="B1620" s="737">
        <f>A1620/'Orbit Info'!$G$10</f>
        <v>0</v>
      </c>
      <c r="C1620" s="737" t="str">
        <f t="shared" si="380"/>
        <v>Housekeeping and events only</v>
      </c>
      <c r="D1620" s="737">
        <f t="shared" si="381"/>
        <v>1</v>
      </c>
      <c r="E1620" s="737" t="str">
        <f t="shared" si="382"/>
        <v>#VALUE!</v>
      </c>
      <c r="F1620" s="737">
        <v>1.0</v>
      </c>
      <c r="G1620" s="737" t="str">
        <f t="shared" si="383"/>
        <v>#VALUE!</v>
      </c>
      <c r="H1620" s="737" t="str">
        <f>MIN($Q$11/('Orbit Info'!G$10),$Q$8*60)</f>
        <v>#VALUE!</v>
      </c>
      <c r="I1620" s="737" t="str">
        <f>IF(D1620=1,$Q$12/'Data DownlinkStorage Budget'!$M$3,0)</f>
        <v>#VALUE!</v>
      </c>
      <c r="J1620" s="737" t="str">
        <f t="shared" si="388"/>
        <v>#VALUE!</v>
      </c>
      <c r="K1620" s="11"/>
      <c r="L1620" s="737" t="str">
        <f t="shared" si="385"/>
        <v>FOUND product plus housekeeping</v>
      </c>
      <c r="M1620" s="737" t="str">
        <f>MIN($Q$18,$Q$10*60)-IF(D1620=1,$Q$17/'Data DownlinkStorage Budget'!$M$3,0)</f>
        <v>#VALUE!</v>
      </c>
      <c r="N1620" s="182"/>
      <c r="O1620" s="737" t="str">
        <f t="shared" si="389"/>
        <v>#VALUE!</v>
      </c>
      <c r="P1620" s="11"/>
      <c r="Q1620" s="11"/>
      <c r="R1620" s="11"/>
      <c r="S1620" s="11"/>
      <c r="T1620" s="11"/>
      <c r="U1620" s="11"/>
      <c r="V1620" s="11"/>
      <c r="W1620" s="11"/>
      <c r="X1620" s="11"/>
      <c r="Y1620" s="11"/>
      <c r="Z1620" s="11"/>
      <c r="AA1620" s="11"/>
    </row>
    <row r="1621" ht="15.75" customHeight="1">
      <c r="A1621" s="737">
        <f t="shared" si="387"/>
        <v>0</v>
      </c>
      <c r="B1621" s="737">
        <f>A1621/'Orbit Info'!$G$10</f>
        <v>0</v>
      </c>
      <c r="C1621" s="737" t="str">
        <f t="shared" si="380"/>
        <v>Housekeeping and events only</v>
      </c>
      <c r="D1621" s="737">
        <f t="shared" si="381"/>
        <v>1</v>
      </c>
      <c r="E1621" s="737" t="str">
        <f t="shared" si="382"/>
        <v>#VALUE!</v>
      </c>
      <c r="F1621" s="737">
        <v>1.0</v>
      </c>
      <c r="G1621" s="737" t="str">
        <f t="shared" si="383"/>
        <v>#VALUE!</v>
      </c>
      <c r="H1621" s="737" t="str">
        <f>MIN($Q$11/('Orbit Info'!G$10),$Q$8*60)</f>
        <v>#VALUE!</v>
      </c>
      <c r="I1621" s="737" t="str">
        <f>IF(D1621=1,$Q$12/'Data DownlinkStorage Budget'!$M$3,0)</f>
        <v>#VALUE!</v>
      </c>
      <c r="J1621" s="737" t="str">
        <f t="shared" si="388"/>
        <v>#VALUE!</v>
      </c>
      <c r="K1621" s="11"/>
      <c r="L1621" s="737" t="str">
        <f t="shared" si="385"/>
        <v>FOUND product plus housekeeping</v>
      </c>
      <c r="M1621" s="737" t="str">
        <f>MIN($Q$18,$Q$10*60)-IF(D1621=1,$Q$17/'Data DownlinkStorage Budget'!$M$3,0)</f>
        <v>#VALUE!</v>
      </c>
      <c r="N1621" s="182"/>
      <c r="O1621" s="737" t="str">
        <f t="shared" si="389"/>
        <v>#VALUE!</v>
      </c>
      <c r="P1621" s="11"/>
      <c r="Q1621" s="11"/>
      <c r="R1621" s="11"/>
      <c r="S1621" s="11"/>
      <c r="T1621" s="11"/>
      <c r="U1621" s="11"/>
      <c r="V1621" s="11"/>
      <c r="W1621" s="11"/>
      <c r="X1621" s="11"/>
      <c r="Y1621" s="11"/>
      <c r="Z1621" s="11"/>
      <c r="AA1621" s="11"/>
    </row>
    <row r="1622" ht="15.75" customHeight="1">
      <c r="A1622" s="737">
        <f t="shared" si="387"/>
        <v>0</v>
      </c>
      <c r="B1622" s="737">
        <f>A1622/'Orbit Info'!$G$10</f>
        <v>0</v>
      </c>
      <c r="C1622" s="737" t="str">
        <f t="shared" si="380"/>
        <v>Housekeeping and events only</v>
      </c>
      <c r="D1622" s="737">
        <f t="shared" si="381"/>
        <v>1</v>
      </c>
      <c r="E1622" s="737" t="str">
        <f t="shared" si="382"/>
        <v>#VALUE!</v>
      </c>
      <c r="F1622" s="737">
        <v>1.0</v>
      </c>
      <c r="G1622" s="737" t="str">
        <f t="shared" si="383"/>
        <v>#VALUE!</v>
      </c>
      <c r="H1622" s="737" t="str">
        <f>MIN($Q$11/('Orbit Info'!G$10),$Q$8*60)</f>
        <v>#VALUE!</v>
      </c>
      <c r="I1622" s="737" t="str">
        <f>IF(D1622=1,$Q$12/'Data DownlinkStorage Budget'!$M$3,0)</f>
        <v>#VALUE!</v>
      </c>
      <c r="J1622" s="737" t="str">
        <f t="shared" si="388"/>
        <v>#VALUE!</v>
      </c>
      <c r="K1622" s="11"/>
      <c r="L1622" s="737" t="str">
        <f t="shared" si="385"/>
        <v>FOUND product plus housekeeping</v>
      </c>
      <c r="M1622" s="737" t="str">
        <f>MIN($Q$18,$Q$10*60)-IF(D1622=1,$Q$17/'Data DownlinkStorage Budget'!$M$3,0)</f>
        <v>#VALUE!</v>
      </c>
      <c r="N1622" s="182"/>
      <c r="O1622" s="737" t="str">
        <f t="shared" si="389"/>
        <v>#VALUE!</v>
      </c>
      <c r="P1622" s="11"/>
      <c r="Q1622" s="11"/>
      <c r="R1622" s="11"/>
      <c r="S1622" s="11"/>
      <c r="T1622" s="11"/>
      <c r="U1622" s="11"/>
      <c r="V1622" s="11"/>
      <c r="W1622" s="11"/>
      <c r="X1622" s="11"/>
      <c r="Y1622" s="11"/>
      <c r="Z1622" s="11"/>
      <c r="AA1622" s="11"/>
    </row>
    <row r="1623" ht="15.75" customHeight="1">
      <c r="A1623" s="737">
        <f t="shared" si="387"/>
        <v>0</v>
      </c>
      <c r="B1623" s="737">
        <f>A1623/'Orbit Info'!$G$10</f>
        <v>0</v>
      </c>
      <c r="C1623" s="737" t="str">
        <f t="shared" si="380"/>
        <v>Housekeeping and events only</v>
      </c>
      <c r="D1623" s="737">
        <f t="shared" si="381"/>
        <v>1</v>
      </c>
      <c r="E1623" s="737" t="str">
        <f t="shared" si="382"/>
        <v>#VALUE!</v>
      </c>
      <c r="F1623" s="737">
        <v>1.0</v>
      </c>
      <c r="G1623" s="737" t="str">
        <f t="shared" si="383"/>
        <v>#VALUE!</v>
      </c>
      <c r="H1623" s="737" t="str">
        <f>MIN($Q$11/('Orbit Info'!G$10),$Q$8*60)</f>
        <v>#VALUE!</v>
      </c>
      <c r="I1623" s="737" t="str">
        <f>IF(D1623=1,$Q$12/'Data DownlinkStorage Budget'!$M$3,0)</f>
        <v>#VALUE!</v>
      </c>
      <c r="J1623" s="737" t="str">
        <f t="shared" si="388"/>
        <v>#VALUE!</v>
      </c>
      <c r="K1623" s="11"/>
      <c r="L1623" s="737" t="str">
        <f t="shared" si="385"/>
        <v>FOUND product plus housekeeping</v>
      </c>
      <c r="M1623" s="737" t="str">
        <f>MIN($Q$18,$Q$10*60)-IF(D1623=1,$Q$17/'Data DownlinkStorage Budget'!$M$3,0)</f>
        <v>#VALUE!</v>
      </c>
      <c r="N1623" s="182"/>
      <c r="O1623" s="737" t="str">
        <f t="shared" si="389"/>
        <v>#VALUE!</v>
      </c>
      <c r="P1623" s="11"/>
      <c r="Q1623" s="11"/>
      <c r="R1623" s="11"/>
      <c r="S1623" s="11"/>
      <c r="T1623" s="11"/>
      <c r="U1623" s="11"/>
      <c r="V1623" s="11"/>
      <c r="W1623" s="11"/>
      <c r="X1623" s="11"/>
      <c r="Y1623" s="11"/>
      <c r="Z1623" s="11"/>
      <c r="AA1623" s="11"/>
    </row>
    <row r="1624" ht="15.75" customHeight="1">
      <c r="A1624" s="737">
        <f t="shared" si="387"/>
        <v>0</v>
      </c>
      <c r="B1624" s="737">
        <f>A1624/'Orbit Info'!$G$10</f>
        <v>0</v>
      </c>
      <c r="C1624" s="737" t="str">
        <f t="shared" si="380"/>
        <v>Housekeeping and events only</v>
      </c>
      <c r="D1624" s="737">
        <f t="shared" si="381"/>
        <v>1</v>
      </c>
      <c r="E1624" s="737" t="str">
        <f t="shared" si="382"/>
        <v>#VALUE!</v>
      </c>
      <c r="F1624" s="737">
        <v>1.0</v>
      </c>
      <c r="G1624" s="737" t="str">
        <f t="shared" si="383"/>
        <v>#VALUE!</v>
      </c>
      <c r="H1624" s="737" t="str">
        <f>MIN($Q$11/('Orbit Info'!G$10),$Q$8*60)</f>
        <v>#VALUE!</v>
      </c>
      <c r="I1624" s="737" t="str">
        <f>IF(D1624=1,$Q$12/'Data DownlinkStorage Budget'!$M$3,0)</f>
        <v>#VALUE!</v>
      </c>
      <c r="J1624" s="737" t="str">
        <f t="shared" si="388"/>
        <v>#VALUE!</v>
      </c>
      <c r="K1624" s="11"/>
      <c r="L1624" s="737" t="str">
        <f t="shared" si="385"/>
        <v>FOUND product plus housekeeping</v>
      </c>
      <c r="M1624" s="737" t="str">
        <f>MIN($Q$18,$Q$10*60)-IF(D1624=1,$Q$17/'Data DownlinkStorage Budget'!$M$3,0)</f>
        <v>#VALUE!</v>
      </c>
      <c r="N1624" s="182"/>
      <c r="O1624" s="737" t="str">
        <f t="shared" si="389"/>
        <v>#VALUE!</v>
      </c>
      <c r="P1624" s="11"/>
      <c r="Q1624" s="11"/>
      <c r="R1624" s="11"/>
      <c r="S1624" s="11"/>
      <c r="T1624" s="11"/>
      <c r="U1624" s="11"/>
      <c r="V1624" s="11"/>
      <c r="W1624" s="11"/>
      <c r="X1624" s="11"/>
      <c r="Y1624" s="11"/>
      <c r="Z1624" s="11"/>
      <c r="AA1624" s="11"/>
    </row>
    <row r="1625" ht="15.75" customHeight="1">
      <c r="A1625" s="737">
        <f t="shared" si="387"/>
        <v>0</v>
      </c>
      <c r="B1625" s="737">
        <f>A1625/'Orbit Info'!$G$10</f>
        <v>0</v>
      </c>
      <c r="C1625" s="737" t="str">
        <f t="shared" si="380"/>
        <v>Housekeeping and events only</v>
      </c>
      <c r="D1625" s="737">
        <f t="shared" si="381"/>
        <v>1</v>
      </c>
      <c r="E1625" s="737" t="str">
        <f t="shared" si="382"/>
        <v>#VALUE!</v>
      </c>
      <c r="F1625" s="737">
        <v>1.0</v>
      </c>
      <c r="G1625" s="737" t="str">
        <f t="shared" si="383"/>
        <v>#VALUE!</v>
      </c>
      <c r="H1625" s="737" t="str">
        <f>MIN($Q$11/('Orbit Info'!G$10),$Q$8*60)</f>
        <v>#VALUE!</v>
      </c>
      <c r="I1625" s="737" t="str">
        <f>IF(D1625=1,$Q$12/'Data DownlinkStorage Budget'!$M$3,0)</f>
        <v>#VALUE!</v>
      </c>
      <c r="J1625" s="737" t="str">
        <f t="shared" si="388"/>
        <v>#VALUE!</v>
      </c>
      <c r="K1625" s="11"/>
      <c r="L1625" s="737" t="str">
        <f t="shared" si="385"/>
        <v>FOUND product plus housekeeping</v>
      </c>
      <c r="M1625" s="737" t="str">
        <f>MIN($Q$18,$Q$10*60)-IF(D1625=1,$Q$17/'Data DownlinkStorage Budget'!$M$3,0)</f>
        <v>#VALUE!</v>
      </c>
      <c r="N1625" s="182"/>
      <c r="O1625" s="737" t="str">
        <f t="shared" si="389"/>
        <v>#VALUE!</v>
      </c>
      <c r="P1625" s="11"/>
      <c r="Q1625" s="11"/>
      <c r="R1625" s="11"/>
      <c r="S1625" s="11"/>
      <c r="T1625" s="11"/>
      <c r="U1625" s="11"/>
      <c r="V1625" s="11"/>
      <c r="W1625" s="11"/>
      <c r="X1625" s="11"/>
      <c r="Y1625" s="11"/>
      <c r="Z1625" s="11"/>
      <c r="AA1625" s="11"/>
    </row>
    <row r="1626" ht="15.75" customHeight="1">
      <c r="A1626" s="737">
        <f t="shared" si="387"/>
        <v>0</v>
      </c>
      <c r="B1626" s="737">
        <f>A1626/'Orbit Info'!$G$10</f>
        <v>0</v>
      </c>
      <c r="C1626" s="737" t="str">
        <f t="shared" si="380"/>
        <v>Housekeeping and events only</v>
      </c>
      <c r="D1626" s="737">
        <f t="shared" si="381"/>
        <v>1</v>
      </c>
      <c r="E1626" s="737" t="str">
        <f t="shared" si="382"/>
        <v>#VALUE!</v>
      </c>
      <c r="F1626" s="737">
        <v>1.0</v>
      </c>
      <c r="G1626" s="737" t="str">
        <f t="shared" si="383"/>
        <v>#VALUE!</v>
      </c>
      <c r="H1626" s="737" t="str">
        <f>MIN($Q$11/('Orbit Info'!G$10),$Q$8*60)</f>
        <v>#VALUE!</v>
      </c>
      <c r="I1626" s="737" t="str">
        <f>IF(D1626=1,$Q$12/'Data DownlinkStorage Budget'!$M$3,0)</f>
        <v>#VALUE!</v>
      </c>
      <c r="J1626" s="737" t="str">
        <f t="shared" si="388"/>
        <v>#VALUE!</v>
      </c>
      <c r="K1626" s="11"/>
      <c r="L1626" s="737" t="str">
        <f t="shared" si="385"/>
        <v>FOUND product plus housekeeping</v>
      </c>
      <c r="M1626" s="737" t="str">
        <f>MIN($Q$18,$Q$10*60)-IF(D1626=1,$Q$17/'Data DownlinkStorage Budget'!$M$3,0)</f>
        <v>#VALUE!</v>
      </c>
      <c r="N1626" s="182"/>
      <c r="O1626" s="737" t="str">
        <f t="shared" si="389"/>
        <v>#VALUE!</v>
      </c>
      <c r="P1626" s="11"/>
      <c r="Q1626" s="11"/>
      <c r="R1626" s="11"/>
      <c r="S1626" s="11"/>
      <c r="T1626" s="11"/>
      <c r="U1626" s="11"/>
      <c r="V1626" s="11"/>
      <c r="W1626" s="11"/>
      <c r="X1626" s="11"/>
      <c r="Y1626" s="11"/>
      <c r="Z1626" s="11"/>
      <c r="AA1626" s="11"/>
    </row>
    <row r="1627" ht="15.75" customHeight="1">
      <c r="A1627" s="737">
        <f t="shared" si="387"/>
        <v>0</v>
      </c>
      <c r="B1627" s="737">
        <f>A1627/'Orbit Info'!$G$10</f>
        <v>0</v>
      </c>
      <c r="C1627" s="737" t="str">
        <f t="shared" si="380"/>
        <v>Housekeeping and events only</v>
      </c>
      <c r="D1627" s="737">
        <f t="shared" si="381"/>
        <v>1</v>
      </c>
      <c r="E1627" s="737" t="str">
        <f t="shared" si="382"/>
        <v>#VALUE!</v>
      </c>
      <c r="F1627" s="737">
        <v>1.0</v>
      </c>
      <c r="G1627" s="737" t="str">
        <f t="shared" si="383"/>
        <v>#VALUE!</v>
      </c>
      <c r="H1627" s="737" t="str">
        <f>MIN($Q$11/('Orbit Info'!G$10),$Q$8*60)</f>
        <v>#VALUE!</v>
      </c>
      <c r="I1627" s="737" t="str">
        <f>IF(D1627=1,$Q$12/'Data DownlinkStorage Budget'!$M$3,0)</f>
        <v>#VALUE!</v>
      </c>
      <c r="J1627" s="737" t="str">
        <f t="shared" si="388"/>
        <v>#VALUE!</v>
      </c>
      <c r="K1627" s="11"/>
      <c r="L1627" s="737" t="str">
        <f t="shared" si="385"/>
        <v>FOUND product plus housekeeping</v>
      </c>
      <c r="M1627" s="737" t="str">
        <f>MIN($Q$18,$Q$10*60)-IF(D1627=1,$Q$17/'Data DownlinkStorage Budget'!$M$3,0)</f>
        <v>#VALUE!</v>
      </c>
      <c r="N1627" s="182"/>
      <c r="O1627" s="737" t="str">
        <f t="shared" si="389"/>
        <v>#VALUE!</v>
      </c>
      <c r="P1627" s="11"/>
      <c r="Q1627" s="11"/>
      <c r="R1627" s="11"/>
      <c r="S1627" s="11"/>
      <c r="T1627" s="11"/>
      <c r="U1627" s="11"/>
      <c r="V1627" s="11"/>
      <c r="W1627" s="11"/>
      <c r="X1627" s="11"/>
      <c r="Y1627" s="11"/>
      <c r="Z1627" s="11"/>
      <c r="AA1627" s="11"/>
    </row>
    <row r="1628" ht="15.75" customHeight="1">
      <c r="A1628" s="737">
        <f t="shared" si="387"/>
        <v>0</v>
      </c>
      <c r="B1628" s="737">
        <f>A1628/'Orbit Info'!$G$10</f>
        <v>0</v>
      </c>
      <c r="C1628" s="737" t="str">
        <f t="shared" si="380"/>
        <v>Housekeeping and events only</v>
      </c>
      <c r="D1628" s="737">
        <f t="shared" si="381"/>
        <v>1</v>
      </c>
      <c r="E1628" s="737" t="str">
        <f t="shared" si="382"/>
        <v>#VALUE!</v>
      </c>
      <c r="F1628" s="737">
        <v>1.0</v>
      </c>
      <c r="G1628" s="737" t="str">
        <f t="shared" si="383"/>
        <v>#VALUE!</v>
      </c>
      <c r="H1628" s="737" t="str">
        <f>MIN($Q$11/('Orbit Info'!G$10),$Q$8*60)</f>
        <v>#VALUE!</v>
      </c>
      <c r="I1628" s="737" t="str">
        <f>IF(D1628=1,$Q$12/'Data DownlinkStorage Budget'!$M$3,0)</f>
        <v>#VALUE!</v>
      </c>
      <c r="J1628" s="737" t="str">
        <f t="shared" si="388"/>
        <v>#VALUE!</v>
      </c>
      <c r="K1628" s="11"/>
      <c r="L1628" s="737" t="str">
        <f t="shared" si="385"/>
        <v>FOUND product plus housekeeping</v>
      </c>
      <c r="M1628" s="737" t="str">
        <f>MIN($Q$18,$Q$10*60)-IF(D1628=1,$Q$17/'Data DownlinkStorage Budget'!$M$3,0)</f>
        <v>#VALUE!</v>
      </c>
      <c r="N1628" s="182"/>
      <c r="O1628" s="737" t="str">
        <f t="shared" si="389"/>
        <v>#VALUE!</v>
      </c>
      <c r="P1628" s="11"/>
      <c r="Q1628" s="11"/>
      <c r="R1628" s="11"/>
      <c r="S1628" s="11"/>
      <c r="T1628" s="11"/>
      <c r="U1628" s="11"/>
      <c r="V1628" s="11"/>
      <c r="W1628" s="11"/>
      <c r="X1628" s="11"/>
      <c r="Y1628" s="11"/>
      <c r="Z1628" s="11"/>
      <c r="AA1628" s="11"/>
    </row>
    <row r="1629" ht="15.75" customHeight="1">
      <c r="A1629" s="737">
        <f t="shared" si="387"/>
        <v>0</v>
      </c>
      <c r="B1629" s="737">
        <f>A1629/'Orbit Info'!$G$10</f>
        <v>0</v>
      </c>
      <c r="C1629" s="737" t="str">
        <f t="shared" si="380"/>
        <v>Housekeeping and events only</v>
      </c>
      <c r="D1629" s="737">
        <f t="shared" si="381"/>
        <v>1</v>
      </c>
      <c r="E1629" s="737" t="str">
        <f t="shared" si="382"/>
        <v>#VALUE!</v>
      </c>
      <c r="F1629" s="737">
        <v>1.0</v>
      </c>
      <c r="G1629" s="737" t="str">
        <f t="shared" si="383"/>
        <v>#VALUE!</v>
      </c>
      <c r="H1629" s="737" t="str">
        <f>MIN($Q$11/('Orbit Info'!G$10),$Q$8*60)</f>
        <v>#VALUE!</v>
      </c>
      <c r="I1629" s="737" t="str">
        <f>IF(D1629=1,$Q$12/'Data DownlinkStorage Budget'!$M$3,0)</f>
        <v>#VALUE!</v>
      </c>
      <c r="J1629" s="737" t="str">
        <f t="shared" si="388"/>
        <v>#VALUE!</v>
      </c>
      <c r="K1629" s="11"/>
      <c r="L1629" s="737" t="str">
        <f t="shared" si="385"/>
        <v>FOUND product plus housekeeping</v>
      </c>
      <c r="M1629" s="737" t="str">
        <f>MIN($Q$18,$Q$10*60)-IF(D1629=1,$Q$17/'Data DownlinkStorage Budget'!$M$3,0)</f>
        <v>#VALUE!</v>
      </c>
      <c r="N1629" s="182"/>
      <c r="O1629" s="737" t="str">
        <f t="shared" si="389"/>
        <v>#VALUE!</v>
      </c>
      <c r="P1629" s="11"/>
      <c r="Q1629" s="11"/>
      <c r="R1629" s="11"/>
      <c r="S1629" s="11"/>
      <c r="T1629" s="11"/>
      <c r="U1629" s="11"/>
      <c r="V1629" s="11"/>
      <c r="W1629" s="11"/>
      <c r="X1629" s="11"/>
      <c r="Y1629" s="11"/>
      <c r="Z1629" s="11"/>
      <c r="AA1629" s="11"/>
    </row>
    <row r="1630" ht="15.75" customHeight="1">
      <c r="A1630" s="737">
        <f t="shared" si="387"/>
        <v>0</v>
      </c>
      <c r="B1630" s="737">
        <f>A1630/'Orbit Info'!$G$10</f>
        <v>0</v>
      </c>
      <c r="C1630" s="737" t="str">
        <f t="shared" si="380"/>
        <v>Housekeeping and events only</v>
      </c>
      <c r="D1630" s="737">
        <f t="shared" si="381"/>
        <v>1</v>
      </c>
      <c r="E1630" s="737" t="str">
        <f t="shared" si="382"/>
        <v>#VALUE!</v>
      </c>
      <c r="F1630" s="737">
        <v>1.0</v>
      </c>
      <c r="G1630" s="737" t="str">
        <f t="shared" si="383"/>
        <v>#VALUE!</v>
      </c>
      <c r="H1630" s="737" t="str">
        <f>MIN($Q$11/('Orbit Info'!G$10),$Q$8*60)</f>
        <v>#VALUE!</v>
      </c>
      <c r="I1630" s="737" t="str">
        <f>IF(D1630=1,$Q$12/'Data DownlinkStorage Budget'!$M$3,0)</f>
        <v>#VALUE!</v>
      </c>
      <c r="J1630" s="737" t="str">
        <f t="shared" si="388"/>
        <v>#VALUE!</v>
      </c>
      <c r="K1630" s="11"/>
      <c r="L1630" s="737" t="str">
        <f t="shared" si="385"/>
        <v>FOUND product plus housekeeping</v>
      </c>
      <c r="M1630" s="737" t="str">
        <f>MIN($Q$18,$Q$10*60)-IF(D1630=1,$Q$17/'Data DownlinkStorage Budget'!$M$3,0)</f>
        <v>#VALUE!</v>
      </c>
      <c r="N1630" s="182"/>
      <c r="O1630" s="737" t="str">
        <f t="shared" si="389"/>
        <v>#VALUE!</v>
      </c>
      <c r="P1630" s="11"/>
      <c r="Q1630" s="11"/>
      <c r="R1630" s="11"/>
      <c r="S1630" s="11"/>
      <c r="T1630" s="11"/>
      <c r="U1630" s="11"/>
      <c r="V1630" s="11"/>
      <c r="W1630" s="11"/>
      <c r="X1630" s="11"/>
      <c r="Y1630" s="11"/>
      <c r="Z1630" s="11"/>
      <c r="AA1630" s="11"/>
    </row>
    <row r="1631" ht="15.75" customHeight="1">
      <c r="A1631" s="737">
        <f t="shared" si="387"/>
        <v>0</v>
      </c>
      <c r="B1631" s="737">
        <f>A1631/'Orbit Info'!$G$10</f>
        <v>0</v>
      </c>
      <c r="C1631" s="737" t="str">
        <f t="shared" si="380"/>
        <v>Housekeeping and events only</v>
      </c>
      <c r="D1631" s="737">
        <f t="shared" si="381"/>
        <v>1</v>
      </c>
      <c r="E1631" s="737" t="str">
        <f t="shared" si="382"/>
        <v>#VALUE!</v>
      </c>
      <c r="F1631" s="737">
        <v>1.0</v>
      </c>
      <c r="G1631" s="737" t="str">
        <f t="shared" si="383"/>
        <v>#VALUE!</v>
      </c>
      <c r="H1631" s="737" t="str">
        <f>MIN($Q$11/('Orbit Info'!G$10),$Q$8*60)</f>
        <v>#VALUE!</v>
      </c>
      <c r="I1631" s="737" t="str">
        <f>IF(D1631=1,$Q$12/'Data DownlinkStorage Budget'!$M$3,0)</f>
        <v>#VALUE!</v>
      </c>
      <c r="J1631" s="737" t="str">
        <f t="shared" si="388"/>
        <v>#VALUE!</v>
      </c>
      <c r="K1631" s="11"/>
      <c r="L1631" s="737" t="str">
        <f t="shared" si="385"/>
        <v>FOUND product plus housekeeping</v>
      </c>
      <c r="M1631" s="737" t="str">
        <f>MIN($Q$18,$Q$10*60)-IF(D1631=1,$Q$17/'Data DownlinkStorage Budget'!$M$3,0)</f>
        <v>#VALUE!</v>
      </c>
      <c r="N1631" s="182"/>
      <c r="O1631" s="737" t="str">
        <f t="shared" si="389"/>
        <v>#VALUE!</v>
      </c>
      <c r="P1631" s="11"/>
      <c r="Q1631" s="11"/>
      <c r="R1631" s="11"/>
      <c r="S1631" s="11"/>
      <c r="T1631" s="11"/>
      <c r="U1631" s="11"/>
      <c r="V1631" s="11"/>
      <c r="W1631" s="11"/>
      <c r="X1631" s="11"/>
      <c r="Y1631" s="11"/>
      <c r="Z1631" s="11"/>
      <c r="AA1631" s="11"/>
    </row>
    <row r="1632" ht="15.75" customHeight="1">
      <c r="A1632" s="737">
        <f t="shared" si="387"/>
        <v>0</v>
      </c>
      <c r="B1632" s="737">
        <f>A1632/'Orbit Info'!$G$10</f>
        <v>0</v>
      </c>
      <c r="C1632" s="737" t="str">
        <f t="shared" si="380"/>
        <v>Housekeeping and events only</v>
      </c>
      <c r="D1632" s="737">
        <f t="shared" si="381"/>
        <v>1</v>
      </c>
      <c r="E1632" s="737" t="str">
        <f t="shared" si="382"/>
        <v>#VALUE!</v>
      </c>
      <c r="F1632" s="737">
        <v>1.0</v>
      </c>
      <c r="G1632" s="737" t="str">
        <f t="shared" si="383"/>
        <v>#VALUE!</v>
      </c>
      <c r="H1632" s="737" t="str">
        <f>MIN($Q$11/('Orbit Info'!G$10),$Q$8*60)</f>
        <v>#VALUE!</v>
      </c>
      <c r="I1632" s="737" t="str">
        <f>IF(D1632=1,$Q$12/'Data DownlinkStorage Budget'!$M$3,0)</f>
        <v>#VALUE!</v>
      </c>
      <c r="J1632" s="737" t="str">
        <f t="shared" si="388"/>
        <v>#VALUE!</v>
      </c>
      <c r="K1632" s="11"/>
      <c r="L1632" s="737" t="str">
        <f t="shared" si="385"/>
        <v>FOUND product plus housekeeping</v>
      </c>
      <c r="M1632" s="737" t="str">
        <f>MIN($Q$18,$Q$10*60)-IF(D1632=1,$Q$17/'Data DownlinkStorage Budget'!$M$3,0)</f>
        <v>#VALUE!</v>
      </c>
      <c r="N1632" s="182"/>
      <c r="O1632" s="737" t="str">
        <f t="shared" si="389"/>
        <v>#VALUE!</v>
      </c>
      <c r="P1632" s="11"/>
      <c r="Q1632" s="11"/>
      <c r="R1632" s="11"/>
      <c r="S1632" s="11"/>
      <c r="T1632" s="11"/>
      <c r="U1632" s="11"/>
      <c r="V1632" s="11"/>
      <c r="W1632" s="11"/>
      <c r="X1632" s="11"/>
      <c r="Y1632" s="11"/>
      <c r="Z1632" s="11"/>
      <c r="AA1632" s="11"/>
    </row>
    <row r="1633" ht="15.75" customHeight="1">
      <c r="A1633" s="737">
        <f t="shared" si="387"/>
        <v>0</v>
      </c>
      <c r="B1633" s="737">
        <f>A1633/'Orbit Info'!$G$10</f>
        <v>0</v>
      </c>
      <c r="C1633" s="737" t="str">
        <f t="shared" si="380"/>
        <v>Housekeeping and events only</v>
      </c>
      <c r="D1633" s="737">
        <f t="shared" si="381"/>
        <v>1</v>
      </c>
      <c r="E1633" s="737" t="str">
        <f t="shared" si="382"/>
        <v>#VALUE!</v>
      </c>
      <c r="F1633" s="737">
        <v>1.0</v>
      </c>
      <c r="G1633" s="737" t="str">
        <f t="shared" si="383"/>
        <v>#VALUE!</v>
      </c>
      <c r="H1633" s="737" t="str">
        <f>MIN($Q$11/('Orbit Info'!G$10),$Q$8*60)</f>
        <v>#VALUE!</v>
      </c>
      <c r="I1633" s="737" t="str">
        <f>IF(D1633=1,$Q$12/'Data DownlinkStorage Budget'!$M$3,0)</f>
        <v>#VALUE!</v>
      </c>
      <c r="J1633" s="737" t="str">
        <f t="shared" si="388"/>
        <v>#VALUE!</v>
      </c>
      <c r="K1633" s="11"/>
      <c r="L1633" s="737" t="str">
        <f t="shared" si="385"/>
        <v>FOUND product plus housekeeping</v>
      </c>
      <c r="M1633" s="737" t="str">
        <f>MIN($Q$18,$Q$10*60)-IF(D1633=1,$Q$17/'Data DownlinkStorage Budget'!$M$3,0)</f>
        <v>#VALUE!</v>
      </c>
      <c r="N1633" s="182"/>
      <c r="O1633" s="737" t="str">
        <f t="shared" si="389"/>
        <v>#VALUE!</v>
      </c>
      <c r="P1633" s="11"/>
      <c r="Q1633" s="11"/>
      <c r="R1633" s="11"/>
      <c r="S1633" s="11"/>
      <c r="T1633" s="11"/>
      <c r="U1633" s="11"/>
      <c r="V1633" s="11"/>
      <c r="W1633" s="11"/>
      <c r="X1633" s="11"/>
      <c r="Y1633" s="11"/>
      <c r="Z1633" s="11"/>
      <c r="AA1633" s="11"/>
    </row>
    <row r="1634" ht="15.75" customHeight="1">
      <c r="A1634" s="737">
        <f t="shared" si="387"/>
        <v>0</v>
      </c>
      <c r="B1634" s="737">
        <f>A1634/'Orbit Info'!$G$10</f>
        <v>0</v>
      </c>
      <c r="C1634" s="737" t="str">
        <f t="shared" si="380"/>
        <v>Housekeeping and events only</v>
      </c>
      <c r="D1634" s="737">
        <f t="shared" si="381"/>
        <v>1</v>
      </c>
      <c r="E1634" s="737" t="str">
        <f t="shared" si="382"/>
        <v>#VALUE!</v>
      </c>
      <c r="F1634" s="737">
        <v>1.0</v>
      </c>
      <c r="G1634" s="737" t="str">
        <f t="shared" si="383"/>
        <v>#VALUE!</v>
      </c>
      <c r="H1634" s="737" t="str">
        <f>MIN($Q$11/('Orbit Info'!G$10),$Q$8*60)</f>
        <v>#VALUE!</v>
      </c>
      <c r="I1634" s="737" t="str">
        <f>IF(D1634=1,$Q$12/'Data DownlinkStorage Budget'!$M$3,0)</f>
        <v>#VALUE!</v>
      </c>
      <c r="J1634" s="737" t="str">
        <f t="shared" si="388"/>
        <v>#VALUE!</v>
      </c>
      <c r="K1634" s="11"/>
      <c r="L1634" s="737" t="str">
        <f t="shared" si="385"/>
        <v>FOUND product plus housekeeping</v>
      </c>
      <c r="M1634" s="737" t="str">
        <f>MIN($Q$18,$Q$10*60)-IF(D1634=1,$Q$17/'Data DownlinkStorage Budget'!$M$3,0)</f>
        <v>#VALUE!</v>
      </c>
      <c r="N1634" s="182"/>
      <c r="O1634" s="737" t="str">
        <f t="shared" si="389"/>
        <v>#VALUE!</v>
      </c>
      <c r="P1634" s="11"/>
      <c r="Q1634" s="11"/>
      <c r="R1634" s="11"/>
      <c r="S1634" s="11"/>
      <c r="T1634" s="11"/>
      <c r="U1634" s="11"/>
      <c r="V1634" s="11"/>
      <c r="W1634" s="11"/>
      <c r="X1634" s="11"/>
      <c r="Y1634" s="11"/>
      <c r="Z1634" s="11"/>
      <c r="AA1634" s="11"/>
    </row>
    <row r="1635" ht="15.75" customHeight="1">
      <c r="A1635" s="737">
        <f t="shared" si="387"/>
        <v>0</v>
      </c>
      <c r="B1635" s="737">
        <f>A1635/'Orbit Info'!$G$10</f>
        <v>0</v>
      </c>
      <c r="C1635" s="737" t="str">
        <f t="shared" si="380"/>
        <v>Housekeeping and events only</v>
      </c>
      <c r="D1635" s="737">
        <f t="shared" si="381"/>
        <v>1</v>
      </c>
      <c r="E1635" s="737" t="str">
        <f t="shared" si="382"/>
        <v>#VALUE!</v>
      </c>
      <c r="F1635" s="737">
        <v>1.0</v>
      </c>
      <c r="G1635" s="737" t="str">
        <f t="shared" si="383"/>
        <v>#VALUE!</v>
      </c>
      <c r="H1635" s="737" t="str">
        <f>MIN($Q$11/('Orbit Info'!G$10),$Q$8*60)</f>
        <v>#VALUE!</v>
      </c>
      <c r="I1635" s="737" t="str">
        <f>IF(D1635=1,$Q$12/'Data DownlinkStorage Budget'!$M$3,0)</f>
        <v>#VALUE!</v>
      </c>
      <c r="J1635" s="737" t="str">
        <f t="shared" si="388"/>
        <v>#VALUE!</v>
      </c>
      <c r="K1635" s="11"/>
      <c r="L1635" s="737" t="str">
        <f t="shared" si="385"/>
        <v>FOUND product plus housekeeping</v>
      </c>
      <c r="M1635" s="737" t="str">
        <f>MIN($Q$18,$Q$10*60)-IF(D1635=1,$Q$17/'Data DownlinkStorage Budget'!$M$3,0)</f>
        <v>#VALUE!</v>
      </c>
      <c r="N1635" s="182"/>
      <c r="O1635" s="737" t="str">
        <f t="shared" si="389"/>
        <v>#VALUE!</v>
      </c>
      <c r="P1635" s="11"/>
      <c r="Q1635" s="11"/>
      <c r="R1635" s="11"/>
      <c r="S1635" s="11"/>
      <c r="T1635" s="11"/>
      <c r="U1635" s="11"/>
      <c r="V1635" s="11"/>
      <c r="W1635" s="11"/>
      <c r="X1635" s="11"/>
      <c r="Y1635" s="11"/>
      <c r="Z1635" s="11"/>
      <c r="AA1635" s="11"/>
    </row>
    <row r="1636" ht="15.75" customHeight="1">
      <c r="A1636" s="737">
        <f t="shared" si="387"/>
        <v>0</v>
      </c>
      <c r="B1636" s="737">
        <f>A1636/'Orbit Info'!$G$10</f>
        <v>0</v>
      </c>
      <c r="C1636" s="737" t="str">
        <f t="shared" si="380"/>
        <v>Housekeeping and events only</v>
      </c>
      <c r="D1636" s="737">
        <f t="shared" si="381"/>
        <v>1</v>
      </c>
      <c r="E1636" s="737" t="str">
        <f t="shared" si="382"/>
        <v>#VALUE!</v>
      </c>
      <c r="F1636" s="737">
        <v>1.0</v>
      </c>
      <c r="G1636" s="737" t="str">
        <f t="shared" si="383"/>
        <v>#VALUE!</v>
      </c>
      <c r="H1636" s="737" t="str">
        <f>MIN($Q$11/('Orbit Info'!G$10),$Q$8*60)</f>
        <v>#VALUE!</v>
      </c>
      <c r="I1636" s="737" t="str">
        <f>IF(D1636=1,$Q$12/'Data DownlinkStorage Budget'!$M$3,0)</f>
        <v>#VALUE!</v>
      </c>
      <c r="J1636" s="737" t="str">
        <f t="shared" si="388"/>
        <v>#VALUE!</v>
      </c>
      <c r="K1636" s="11"/>
      <c r="L1636" s="737" t="str">
        <f t="shared" si="385"/>
        <v>FOUND product plus housekeeping</v>
      </c>
      <c r="M1636" s="737" t="str">
        <f>MIN($Q$18,$Q$10*60)-IF(D1636=1,$Q$17/'Data DownlinkStorage Budget'!$M$3,0)</f>
        <v>#VALUE!</v>
      </c>
      <c r="N1636" s="182"/>
      <c r="O1636" s="737" t="str">
        <f t="shared" si="389"/>
        <v>#VALUE!</v>
      </c>
      <c r="P1636" s="11"/>
      <c r="Q1636" s="11"/>
      <c r="R1636" s="11"/>
      <c r="S1636" s="11"/>
      <c r="T1636" s="11"/>
      <c r="U1636" s="11"/>
      <c r="V1636" s="11"/>
      <c r="W1636" s="11"/>
      <c r="X1636" s="11"/>
      <c r="Y1636" s="11"/>
      <c r="Z1636" s="11"/>
      <c r="AA1636" s="11"/>
    </row>
    <row r="1637" ht="15.75" customHeight="1">
      <c r="A1637" s="737">
        <f t="shared" si="387"/>
        <v>0</v>
      </c>
      <c r="B1637" s="737">
        <f>A1637/'Orbit Info'!$G$10</f>
        <v>0</v>
      </c>
      <c r="C1637" s="737" t="str">
        <f t="shared" si="380"/>
        <v>Housekeeping and events only</v>
      </c>
      <c r="D1637" s="737">
        <f t="shared" si="381"/>
        <v>1</v>
      </c>
      <c r="E1637" s="737" t="str">
        <f t="shared" si="382"/>
        <v>#VALUE!</v>
      </c>
      <c r="F1637" s="737">
        <v>1.0</v>
      </c>
      <c r="G1637" s="737" t="str">
        <f t="shared" si="383"/>
        <v>#VALUE!</v>
      </c>
      <c r="H1637" s="737" t="str">
        <f>MIN($Q$11/('Orbit Info'!G$10),$Q$8*60)</f>
        <v>#VALUE!</v>
      </c>
      <c r="I1637" s="737" t="str">
        <f>IF(D1637=1,$Q$12/'Data DownlinkStorage Budget'!$M$3,0)</f>
        <v>#VALUE!</v>
      </c>
      <c r="J1637" s="737" t="str">
        <f t="shared" si="388"/>
        <v>#VALUE!</v>
      </c>
      <c r="K1637" s="11"/>
      <c r="L1637" s="737" t="str">
        <f t="shared" si="385"/>
        <v>FOUND product plus housekeeping</v>
      </c>
      <c r="M1637" s="737" t="str">
        <f>MIN($Q$18,$Q$10*60)-IF(D1637=1,$Q$17/'Data DownlinkStorage Budget'!$M$3,0)</f>
        <v>#VALUE!</v>
      </c>
      <c r="N1637" s="182"/>
      <c r="O1637" s="737" t="str">
        <f t="shared" si="389"/>
        <v>#VALUE!</v>
      </c>
      <c r="P1637" s="11"/>
      <c r="Q1637" s="11"/>
      <c r="R1637" s="11"/>
      <c r="S1637" s="11"/>
      <c r="T1637" s="11"/>
      <c r="U1637" s="11"/>
      <c r="V1637" s="11"/>
      <c r="W1637" s="11"/>
      <c r="X1637" s="11"/>
      <c r="Y1637" s="11"/>
      <c r="Z1637" s="11"/>
      <c r="AA1637" s="11"/>
    </row>
    <row r="1638" ht="15.75" customHeight="1">
      <c r="A1638" s="737">
        <f t="shared" si="387"/>
        <v>0</v>
      </c>
      <c r="B1638" s="737">
        <f>A1638/'Orbit Info'!$G$10</f>
        <v>0</v>
      </c>
      <c r="C1638" s="737" t="str">
        <f t="shared" si="380"/>
        <v>Housekeeping and events only</v>
      </c>
      <c r="D1638" s="737">
        <f t="shared" si="381"/>
        <v>1</v>
      </c>
      <c r="E1638" s="737" t="str">
        <f t="shared" si="382"/>
        <v>#VALUE!</v>
      </c>
      <c r="F1638" s="737">
        <v>1.0</v>
      </c>
      <c r="G1638" s="737" t="str">
        <f t="shared" si="383"/>
        <v>#VALUE!</v>
      </c>
      <c r="H1638" s="737" t="str">
        <f>MIN($Q$11/('Orbit Info'!G$10),$Q$8*60)</f>
        <v>#VALUE!</v>
      </c>
      <c r="I1638" s="737" t="str">
        <f>IF(D1638=1,$Q$12/'Data DownlinkStorage Budget'!$M$3,0)</f>
        <v>#VALUE!</v>
      </c>
      <c r="J1638" s="737" t="str">
        <f t="shared" si="388"/>
        <v>#VALUE!</v>
      </c>
      <c r="K1638" s="11"/>
      <c r="L1638" s="737" t="str">
        <f t="shared" si="385"/>
        <v>FOUND product plus housekeeping</v>
      </c>
      <c r="M1638" s="737" t="str">
        <f>MIN($Q$18,$Q$10*60)-IF(D1638=1,$Q$17/'Data DownlinkStorage Budget'!$M$3,0)</f>
        <v>#VALUE!</v>
      </c>
      <c r="N1638" s="182"/>
      <c r="O1638" s="737" t="str">
        <f t="shared" si="389"/>
        <v>#VALUE!</v>
      </c>
      <c r="P1638" s="11"/>
      <c r="Q1638" s="11"/>
      <c r="R1638" s="11"/>
      <c r="S1638" s="11"/>
      <c r="T1638" s="11"/>
      <c r="U1638" s="11"/>
      <c r="V1638" s="11"/>
      <c r="W1638" s="11"/>
      <c r="X1638" s="11"/>
      <c r="Y1638" s="11"/>
      <c r="Z1638" s="11"/>
      <c r="AA1638" s="11"/>
    </row>
    <row r="1639" ht="15.75" customHeight="1">
      <c r="A1639" s="737">
        <f t="shared" si="387"/>
        <v>0</v>
      </c>
      <c r="B1639" s="737">
        <f>A1639/'Orbit Info'!$G$10</f>
        <v>0</v>
      </c>
      <c r="C1639" s="737" t="str">
        <f t="shared" si="380"/>
        <v>Housekeeping and events only</v>
      </c>
      <c r="D1639" s="737">
        <f t="shared" si="381"/>
        <v>1</v>
      </c>
      <c r="E1639" s="737" t="str">
        <f t="shared" si="382"/>
        <v>#VALUE!</v>
      </c>
      <c r="F1639" s="737">
        <v>1.0</v>
      </c>
      <c r="G1639" s="737" t="str">
        <f t="shared" si="383"/>
        <v>#VALUE!</v>
      </c>
      <c r="H1639" s="737" t="str">
        <f>MIN($Q$11/('Orbit Info'!G$10),$Q$8*60)</f>
        <v>#VALUE!</v>
      </c>
      <c r="I1639" s="737" t="str">
        <f>IF(D1639=1,$Q$12/'Data DownlinkStorage Budget'!$M$3,0)</f>
        <v>#VALUE!</v>
      </c>
      <c r="J1639" s="737" t="str">
        <f t="shared" si="388"/>
        <v>#VALUE!</v>
      </c>
      <c r="K1639" s="11"/>
      <c r="L1639" s="737" t="str">
        <f t="shared" si="385"/>
        <v>FOUND product plus housekeeping</v>
      </c>
      <c r="M1639" s="737" t="str">
        <f>MIN($Q$18,$Q$10*60)-IF(D1639=1,$Q$17/'Data DownlinkStorage Budget'!$M$3,0)</f>
        <v>#VALUE!</v>
      </c>
      <c r="N1639" s="182"/>
      <c r="O1639" s="737" t="str">
        <f t="shared" si="389"/>
        <v>#VALUE!</v>
      </c>
      <c r="P1639" s="11"/>
      <c r="Q1639" s="11"/>
      <c r="R1639" s="11"/>
      <c r="S1639" s="11"/>
      <c r="T1639" s="11"/>
      <c r="U1639" s="11"/>
      <c r="V1639" s="11"/>
      <c r="W1639" s="11"/>
      <c r="X1639" s="11"/>
      <c r="Y1639" s="11"/>
      <c r="Z1639" s="11"/>
      <c r="AA1639" s="11"/>
    </row>
    <row r="1640" ht="15.75" customHeight="1">
      <c r="A1640" s="737">
        <f t="shared" si="387"/>
        <v>0</v>
      </c>
      <c r="B1640" s="737">
        <f>A1640/'Orbit Info'!$G$10</f>
        <v>0</v>
      </c>
      <c r="C1640" s="737" t="str">
        <f t="shared" si="380"/>
        <v>Housekeeping and events only</v>
      </c>
      <c r="D1640" s="737">
        <f t="shared" si="381"/>
        <v>1</v>
      </c>
      <c r="E1640" s="737" t="str">
        <f t="shared" si="382"/>
        <v>#VALUE!</v>
      </c>
      <c r="F1640" s="737">
        <v>1.0</v>
      </c>
      <c r="G1640" s="737" t="str">
        <f t="shared" si="383"/>
        <v>#VALUE!</v>
      </c>
      <c r="H1640" s="737" t="str">
        <f>MIN($Q$11/('Orbit Info'!G$10),$Q$8*60)</f>
        <v>#VALUE!</v>
      </c>
      <c r="I1640" s="737" t="str">
        <f>IF(D1640=1,$Q$12/'Data DownlinkStorage Budget'!$M$3,0)</f>
        <v>#VALUE!</v>
      </c>
      <c r="J1640" s="737" t="str">
        <f t="shared" si="388"/>
        <v>#VALUE!</v>
      </c>
      <c r="K1640" s="11"/>
      <c r="L1640" s="737" t="str">
        <f t="shared" si="385"/>
        <v>FOUND product plus housekeeping</v>
      </c>
      <c r="M1640" s="737" t="str">
        <f>MIN($Q$18,$Q$10*60)-IF(D1640=1,$Q$17/'Data DownlinkStorage Budget'!$M$3,0)</f>
        <v>#VALUE!</v>
      </c>
      <c r="N1640" s="182"/>
      <c r="O1640" s="737" t="str">
        <f t="shared" si="389"/>
        <v>#VALUE!</v>
      </c>
      <c r="P1640" s="11"/>
      <c r="Q1640" s="11"/>
      <c r="R1640" s="11"/>
      <c r="S1640" s="11"/>
      <c r="T1640" s="11"/>
      <c r="U1640" s="11"/>
      <c r="V1640" s="11"/>
      <c r="W1640" s="11"/>
      <c r="X1640" s="11"/>
      <c r="Y1640" s="11"/>
      <c r="Z1640" s="11"/>
      <c r="AA1640" s="11"/>
    </row>
    <row r="1641" ht="15.75" customHeight="1">
      <c r="A1641" s="737">
        <f t="shared" si="387"/>
        <v>0</v>
      </c>
      <c r="B1641" s="737">
        <f>A1641/'Orbit Info'!$G$10</f>
        <v>0</v>
      </c>
      <c r="C1641" s="737" t="str">
        <f t="shared" si="380"/>
        <v>Housekeeping and events only</v>
      </c>
      <c r="D1641" s="737">
        <f t="shared" si="381"/>
        <v>1</v>
      </c>
      <c r="E1641" s="737" t="str">
        <f t="shared" si="382"/>
        <v>#VALUE!</v>
      </c>
      <c r="F1641" s="737">
        <v>1.0</v>
      </c>
      <c r="G1641" s="737" t="str">
        <f t="shared" si="383"/>
        <v>#VALUE!</v>
      </c>
      <c r="H1641" s="737" t="str">
        <f>MIN($Q$11/('Orbit Info'!G$10),$Q$8*60)</f>
        <v>#VALUE!</v>
      </c>
      <c r="I1641" s="737" t="str">
        <f>IF(D1641=1,$Q$12/'Data DownlinkStorage Budget'!$M$3,0)</f>
        <v>#VALUE!</v>
      </c>
      <c r="J1641" s="737" t="str">
        <f t="shared" si="388"/>
        <v>#VALUE!</v>
      </c>
      <c r="K1641" s="11"/>
      <c r="L1641" s="737" t="str">
        <f t="shared" si="385"/>
        <v>FOUND product plus housekeeping</v>
      </c>
      <c r="M1641" s="737" t="str">
        <f>MIN($Q$18,$Q$10*60)-IF(D1641=1,$Q$17/'Data DownlinkStorage Budget'!$M$3,0)</f>
        <v>#VALUE!</v>
      </c>
      <c r="N1641" s="182"/>
      <c r="O1641" s="737" t="str">
        <f t="shared" si="389"/>
        <v>#VALUE!</v>
      </c>
      <c r="P1641" s="11"/>
      <c r="Q1641" s="11"/>
      <c r="R1641" s="11"/>
      <c r="S1641" s="11"/>
      <c r="T1641" s="11"/>
      <c r="U1641" s="11"/>
      <c r="V1641" s="11"/>
      <c r="W1641" s="11"/>
      <c r="X1641" s="11"/>
      <c r="Y1641" s="11"/>
      <c r="Z1641" s="11"/>
      <c r="AA1641" s="11"/>
    </row>
    <row r="1642" ht="15.75" customHeight="1">
      <c r="A1642" s="737">
        <f t="shared" si="387"/>
        <v>0</v>
      </c>
      <c r="B1642" s="737">
        <f>A1642/'Orbit Info'!$G$10</f>
        <v>0</v>
      </c>
      <c r="C1642" s="737" t="str">
        <f t="shared" si="380"/>
        <v>Housekeeping and events only</v>
      </c>
      <c r="D1642" s="737">
        <f t="shared" si="381"/>
        <v>1</v>
      </c>
      <c r="E1642" s="737" t="str">
        <f t="shared" si="382"/>
        <v>#VALUE!</v>
      </c>
      <c r="F1642" s="737">
        <v>1.0</v>
      </c>
      <c r="G1642" s="737" t="str">
        <f t="shared" si="383"/>
        <v>#VALUE!</v>
      </c>
      <c r="H1642" s="737" t="str">
        <f>MIN($Q$11/('Orbit Info'!G$10),$Q$8*60)</f>
        <v>#VALUE!</v>
      </c>
      <c r="I1642" s="737" t="str">
        <f>IF(D1642=1,$Q$12/'Data DownlinkStorage Budget'!$M$3,0)</f>
        <v>#VALUE!</v>
      </c>
      <c r="J1642" s="737" t="str">
        <f t="shared" si="388"/>
        <v>#VALUE!</v>
      </c>
      <c r="K1642" s="11"/>
      <c r="L1642" s="737" t="str">
        <f t="shared" si="385"/>
        <v>FOUND product plus housekeeping</v>
      </c>
      <c r="M1642" s="737" t="str">
        <f>MIN($Q$18,$Q$10*60)-IF(D1642=1,$Q$17/'Data DownlinkStorage Budget'!$M$3,0)</f>
        <v>#VALUE!</v>
      </c>
      <c r="N1642" s="182"/>
      <c r="O1642" s="737" t="str">
        <f t="shared" si="389"/>
        <v>#VALUE!</v>
      </c>
      <c r="P1642" s="11"/>
      <c r="Q1642" s="11"/>
      <c r="R1642" s="11"/>
      <c r="S1642" s="11"/>
      <c r="T1642" s="11"/>
      <c r="U1642" s="11"/>
      <c r="V1642" s="11"/>
      <c r="W1642" s="11"/>
      <c r="X1642" s="11"/>
      <c r="Y1642" s="11"/>
      <c r="Z1642" s="11"/>
      <c r="AA1642" s="11"/>
    </row>
    <row r="1643" ht="15.75" customHeight="1">
      <c r="A1643" s="737">
        <f t="shared" si="387"/>
        <v>0</v>
      </c>
      <c r="B1643" s="737">
        <f>A1643/'Orbit Info'!$G$10</f>
        <v>0</v>
      </c>
      <c r="C1643" s="737" t="str">
        <f t="shared" si="380"/>
        <v>Housekeeping and events only</v>
      </c>
      <c r="D1643" s="737">
        <f t="shared" si="381"/>
        <v>1</v>
      </c>
      <c r="E1643" s="737" t="str">
        <f t="shared" si="382"/>
        <v>#VALUE!</v>
      </c>
      <c r="F1643" s="737">
        <v>1.0</v>
      </c>
      <c r="G1643" s="737" t="str">
        <f t="shared" si="383"/>
        <v>#VALUE!</v>
      </c>
      <c r="H1643" s="737" t="str">
        <f>MIN($Q$11/('Orbit Info'!G$10),$Q$8*60)</f>
        <v>#VALUE!</v>
      </c>
      <c r="I1643" s="737" t="str">
        <f>IF(D1643=1,$Q$12/'Data DownlinkStorage Budget'!$M$3,0)</f>
        <v>#VALUE!</v>
      </c>
      <c r="J1643" s="737" t="str">
        <f t="shared" si="388"/>
        <v>#VALUE!</v>
      </c>
      <c r="K1643" s="11"/>
      <c r="L1643" s="737" t="str">
        <f t="shared" si="385"/>
        <v>FOUND product plus housekeeping</v>
      </c>
      <c r="M1643" s="737" t="str">
        <f>MIN($Q$18,$Q$10*60)-IF(D1643=1,$Q$17/'Data DownlinkStorage Budget'!$M$3,0)</f>
        <v>#VALUE!</v>
      </c>
      <c r="N1643" s="182"/>
      <c r="O1643" s="737" t="str">
        <f t="shared" si="389"/>
        <v>#VALUE!</v>
      </c>
      <c r="P1643" s="11"/>
      <c r="Q1643" s="11"/>
      <c r="R1643" s="11"/>
      <c r="S1643" s="11"/>
      <c r="T1643" s="11"/>
      <c r="U1643" s="11"/>
      <c r="V1643" s="11"/>
      <c r="W1643" s="11"/>
      <c r="X1643" s="11"/>
      <c r="Y1643" s="11"/>
      <c r="Z1643" s="11"/>
      <c r="AA1643" s="11"/>
    </row>
    <row r="1644" ht="15.75" customHeight="1">
      <c r="A1644" s="737">
        <f t="shared" si="387"/>
        <v>0</v>
      </c>
      <c r="B1644" s="737">
        <f>A1644/'Orbit Info'!$G$10</f>
        <v>0</v>
      </c>
      <c r="C1644" s="737" t="str">
        <f t="shared" si="380"/>
        <v>Housekeeping and events only</v>
      </c>
      <c r="D1644" s="737">
        <f t="shared" si="381"/>
        <v>1</v>
      </c>
      <c r="E1644" s="737" t="str">
        <f t="shared" si="382"/>
        <v>#VALUE!</v>
      </c>
      <c r="F1644" s="737">
        <v>1.0</v>
      </c>
      <c r="G1644" s="737" t="str">
        <f t="shared" si="383"/>
        <v>#VALUE!</v>
      </c>
      <c r="H1644" s="737" t="str">
        <f>MIN($Q$11/('Orbit Info'!G$10),$Q$8*60)</f>
        <v>#VALUE!</v>
      </c>
      <c r="I1644" s="737" t="str">
        <f>IF(D1644=1,$Q$12/'Data DownlinkStorage Budget'!$M$3,0)</f>
        <v>#VALUE!</v>
      </c>
      <c r="J1644" s="737" t="str">
        <f t="shared" si="388"/>
        <v>#VALUE!</v>
      </c>
      <c r="K1644" s="11"/>
      <c r="L1644" s="737" t="str">
        <f t="shared" si="385"/>
        <v>FOUND product plus housekeeping</v>
      </c>
      <c r="M1644" s="737" t="str">
        <f>MIN($Q$18,$Q$10*60)-IF(D1644=1,$Q$17/'Data DownlinkStorage Budget'!$M$3,0)</f>
        <v>#VALUE!</v>
      </c>
      <c r="N1644" s="182"/>
      <c r="O1644" s="737" t="str">
        <f t="shared" si="389"/>
        <v>#VALUE!</v>
      </c>
      <c r="P1644" s="11"/>
      <c r="Q1644" s="11"/>
      <c r="R1644" s="11"/>
      <c r="S1644" s="11"/>
      <c r="T1644" s="11"/>
      <c r="U1644" s="11"/>
      <c r="V1644" s="11"/>
      <c r="W1644" s="11"/>
      <c r="X1644" s="11"/>
      <c r="Y1644" s="11"/>
      <c r="Z1644" s="11"/>
      <c r="AA1644" s="11"/>
    </row>
    <row r="1645" ht="15.75" customHeight="1">
      <c r="A1645" s="737">
        <f t="shared" si="387"/>
        <v>0</v>
      </c>
      <c r="B1645" s="737">
        <f>A1645/'Orbit Info'!$G$10</f>
        <v>0</v>
      </c>
      <c r="C1645" s="737" t="str">
        <f t="shared" si="380"/>
        <v>Housekeeping and events only</v>
      </c>
      <c r="D1645" s="737">
        <f t="shared" si="381"/>
        <v>1</v>
      </c>
      <c r="E1645" s="737" t="str">
        <f t="shared" si="382"/>
        <v>#VALUE!</v>
      </c>
      <c r="F1645" s="737">
        <v>1.0</v>
      </c>
      <c r="G1645" s="737" t="str">
        <f t="shared" si="383"/>
        <v>#VALUE!</v>
      </c>
      <c r="H1645" s="737" t="str">
        <f>MIN($Q$11/('Orbit Info'!G$10),$Q$8*60)</f>
        <v>#VALUE!</v>
      </c>
      <c r="I1645" s="737" t="str">
        <f>IF(D1645=1,$Q$12/'Data DownlinkStorage Budget'!$M$3,0)</f>
        <v>#VALUE!</v>
      </c>
      <c r="J1645" s="737" t="str">
        <f t="shared" si="388"/>
        <v>#VALUE!</v>
      </c>
      <c r="K1645" s="11"/>
      <c r="L1645" s="737" t="str">
        <f t="shared" si="385"/>
        <v>FOUND product plus housekeeping</v>
      </c>
      <c r="M1645" s="737" t="str">
        <f>MIN($Q$18,$Q$10*60)-IF(D1645=1,$Q$17/'Data DownlinkStorage Budget'!$M$3,0)</f>
        <v>#VALUE!</v>
      </c>
      <c r="N1645" s="182"/>
      <c r="O1645" s="737" t="str">
        <f t="shared" si="389"/>
        <v>#VALUE!</v>
      </c>
      <c r="P1645" s="11"/>
      <c r="Q1645" s="11"/>
      <c r="R1645" s="11"/>
      <c r="S1645" s="11"/>
      <c r="T1645" s="11"/>
      <c r="U1645" s="11"/>
      <c r="V1645" s="11"/>
      <c r="W1645" s="11"/>
      <c r="X1645" s="11"/>
      <c r="Y1645" s="11"/>
      <c r="Z1645" s="11"/>
      <c r="AA1645" s="11"/>
    </row>
    <row r="1646" ht="15.75" customHeight="1">
      <c r="A1646" s="737">
        <f t="shared" si="387"/>
        <v>0</v>
      </c>
      <c r="B1646" s="737">
        <f>A1646/'Orbit Info'!$G$10</f>
        <v>0</v>
      </c>
      <c r="C1646" s="737" t="str">
        <f t="shared" si="380"/>
        <v>Housekeeping and events only</v>
      </c>
      <c r="D1646" s="737">
        <f t="shared" si="381"/>
        <v>1</v>
      </c>
      <c r="E1646" s="737" t="str">
        <f t="shared" si="382"/>
        <v>#VALUE!</v>
      </c>
      <c r="F1646" s="737">
        <v>1.0</v>
      </c>
      <c r="G1646" s="737" t="str">
        <f t="shared" si="383"/>
        <v>#VALUE!</v>
      </c>
      <c r="H1646" s="737" t="str">
        <f>MIN($Q$11/('Orbit Info'!G$10),$Q$8*60)</f>
        <v>#VALUE!</v>
      </c>
      <c r="I1646" s="737" t="str">
        <f>IF(D1646=1,$Q$12/'Data DownlinkStorage Budget'!$M$3,0)</f>
        <v>#VALUE!</v>
      </c>
      <c r="J1646" s="737" t="str">
        <f t="shared" si="388"/>
        <v>#VALUE!</v>
      </c>
      <c r="K1646" s="11"/>
      <c r="L1646" s="737" t="str">
        <f t="shared" si="385"/>
        <v>FOUND product plus housekeeping</v>
      </c>
      <c r="M1646" s="737" t="str">
        <f>MIN($Q$18,$Q$10*60)-IF(D1646=1,$Q$17/'Data DownlinkStorage Budget'!$M$3,0)</f>
        <v>#VALUE!</v>
      </c>
      <c r="N1646" s="182"/>
      <c r="O1646" s="737" t="str">
        <f t="shared" si="389"/>
        <v>#VALUE!</v>
      </c>
      <c r="P1646" s="11"/>
      <c r="Q1646" s="11"/>
      <c r="R1646" s="11"/>
      <c r="S1646" s="11"/>
      <c r="T1646" s="11"/>
      <c r="U1646" s="11"/>
      <c r="V1646" s="11"/>
      <c r="W1646" s="11"/>
      <c r="X1646" s="11"/>
      <c r="Y1646" s="11"/>
      <c r="Z1646" s="11"/>
      <c r="AA1646" s="11"/>
    </row>
    <row r="1647" ht="15.75" customHeight="1">
      <c r="A1647" s="737">
        <f t="shared" si="387"/>
        <v>0</v>
      </c>
      <c r="B1647" s="737">
        <f>A1647/'Orbit Info'!$G$10</f>
        <v>0</v>
      </c>
      <c r="C1647" s="737" t="str">
        <f t="shared" si="380"/>
        <v>Housekeeping and events only</v>
      </c>
      <c r="D1647" s="737">
        <f t="shared" si="381"/>
        <v>1</v>
      </c>
      <c r="E1647" s="737" t="str">
        <f t="shared" si="382"/>
        <v>#VALUE!</v>
      </c>
      <c r="F1647" s="737">
        <v>1.0</v>
      </c>
      <c r="G1647" s="737" t="str">
        <f t="shared" si="383"/>
        <v>#VALUE!</v>
      </c>
      <c r="H1647" s="737" t="str">
        <f>MIN($Q$11/('Orbit Info'!G$10),$Q$8*60)</f>
        <v>#VALUE!</v>
      </c>
      <c r="I1647" s="737" t="str">
        <f>IF(D1647=1,$Q$12/'Data DownlinkStorage Budget'!$M$3,0)</f>
        <v>#VALUE!</v>
      </c>
      <c r="J1647" s="737" t="str">
        <f t="shared" si="388"/>
        <v>#VALUE!</v>
      </c>
      <c r="K1647" s="11"/>
      <c r="L1647" s="737" t="str">
        <f t="shared" si="385"/>
        <v>FOUND product plus housekeeping</v>
      </c>
      <c r="M1647" s="737" t="str">
        <f>MIN($Q$18,$Q$10*60)-IF(D1647=1,$Q$17/'Data DownlinkStorage Budget'!$M$3,0)</f>
        <v>#VALUE!</v>
      </c>
      <c r="N1647" s="182"/>
      <c r="O1647" s="737" t="str">
        <f t="shared" si="389"/>
        <v>#VALUE!</v>
      </c>
      <c r="P1647" s="11"/>
      <c r="Q1647" s="11"/>
      <c r="R1647" s="11"/>
      <c r="S1647" s="11"/>
      <c r="T1647" s="11"/>
      <c r="U1647" s="11"/>
      <c r="V1647" s="11"/>
      <c r="W1647" s="11"/>
      <c r="X1647" s="11"/>
      <c r="Y1647" s="11"/>
      <c r="Z1647" s="11"/>
      <c r="AA1647" s="11"/>
    </row>
    <row r="1648" ht="15.75" customHeight="1">
      <c r="A1648" s="737">
        <f t="shared" si="387"/>
        <v>0</v>
      </c>
      <c r="B1648" s="737">
        <f>A1648/'Orbit Info'!$G$10</f>
        <v>0</v>
      </c>
      <c r="C1648" s="737" t="str">
        <f t="shared" si="380"/>
        <v>Housekeeping and events only</v>
      </c>
      <c r="D1648" s="737">
        <f t="shared" si="381"/>
        <v>1</v>
      </c>
      <c r="E1648" s="737" t="str">
        <f t="shared" si="382"/>
        <v>#VALUE!</v>
      </c>
      <c r="F1648" s="737">
        <v>1.0</v>
      </c>
      <c r="G1648" s="737" t="str">
        <f t="shared" si="383"/>
        <v>#VALUE!</v>
      </c>
      <c r="H1648" s="737" t="str">
        <f>MIN($Q$11/('Orbit Info'!G$10),$Q$8*60)</f>
        <v>#VALUE!</v>
      </c>
      <c r="I1648" s="737" t="str">
        <f>IF(D1648=1,$Q$12/'Data DownlinkStorage Budget'!$M$3,0)</f>
        <v>#VALUE!</v>
      </c>
      <c r="J1648" s="737" t="str">
        <f t="shared" si="388"/>
        <v>#VALUE!</v>
      </c>
      <c r="K1648" s="11"/>
      <c r="L1648" s="737" t="str">
        <f t="shared" si="385"/>
        <v>FOUND product plus housekeeping</v>
      </c>
      <c r="M1648" s="737" t="str">
        <f>MIN($Q$18,$Q$10*60)-IF(D1648=1,$Q$17/'Data DownlinkStorage Budget'!$M$3,0)</f>
        <v>#VALUE!</v>
      </c>
      <c r="N1648" s="182"/>
      <c r="O1648" s="737" t="str">
        <f t="shared" si="389"/>
        <v>#VALUE!</v>
      </c>
      <c r="P1648" s="11"/>
      <c r="Q1648" s="11"/>
      <c r="R1648" s="11"/>
      <c r="S1648" s="11"/>
      <c r="T1648" s="11"/>
      <c r="U1648" s="11"/>
      <c r="V1648" s="11"/>
      <c r="W1648" s="11"/>
      <c r="X1648" s="11"/>
      <c r="Y1648" s="11"/>
      <c r="Z1648" s="11"/>
      <c r="AA1648" s="11"/>
    </row>
    <row r="1649" ht="15.75" customHeight="1">
      <c r="A1649" s="737">
        <f t="shared" si="387"/>
        <v>0</v>
      </c>
      <c r="B1649" s="737">
        <f>A1649/'Orbit Info'!$G$10</f>
        <v>0</v>
      </c>
      <c r="C1649" s="737" t="str">
        <f t="shared" si="380"/>
        <v>Housekeeping and events only</v>
      </c>
      <c r="D1649" s="737">
        <f t="shared" si="381"/>
        <v>1</v>
      </c>
      <c r="E1649" s="737" t="str">
        <f t="shared" si="382"/>
        <v>#VALUE!</v>
      </c>
      <c r="F1649" s="737">
        <v>1.0</v>
      </c>
      <c r="G1649" s="737" t="str">
        <f t="shared" si="383"/>
        <v>#VALUE!</v>
      </c>
      <c r="H1649" s="737" t="str">
        <f>MIN($Q$11/('Orbit Info'!G$10),$Q$8*60)</f>
        <v>#VALUE!</v>
      </c>
      <c r="I1649" s="737" t="str">
        <f>IF(D1649=1,$Q$12/'Data DownlinkStorage Budget'!$M$3,0)</f>
        <v>#VALUE!</v>
      </c>
      <c r="J1649" s="737" t="str">
        <f t="shared" si="388"/>
        <v>#VALUE!</v>
      </c>
      <c r="K1649" s="11"/>
      <c r="L1649" s="737" t="str">
        <f t="shared" si="385"/>
        <v>FOUND product plus housekeeping</v>
      </c>
      <c r="M1649" s="737" t="str">
        <f>MIN($Q$18,$Q$10*60)-IF(D1649=1,$Q$17/'Data DownlinkStorage Budget'!$M$3,0)</f>
        <v>#VALUE!</v>
      </c>
      <c r="N1649" s="182"/>
      <c r="O1649" s="737" t="str">
        <f t="shared" si="389"/>
        <v>#VALUE!</v>
      </c>
      <c r="P1649" s="11"/>
      <c r="Q1649" s="11"/>
      <c r="R1649" s="11"/>
      <c r="S1649" s="11"/>
      <c r="T1649" s="11"/>
      <c r="U1649" s="11"/>
      <c r="V1649" s="11"/>
      <c r="W1649" s="11"/>
      <c r="X1649" s="11"/>
      <c r="Y1649" s="11"/>
      <c r="Z1649" s="11"/>
      <c r="AA1649" s="11"/>
    </row>
    <row r="1650" ht="15.75" customHeight="1">
      <c r="A1650" s="737">
        <f t="shared" si="387"/>
        <v>0</v>
      </c>
      <c r="B1650" s="737">
        <f>A1650/'Orbit Info'!$G$10</f>
        <v>0</v>
      </c>
      <c r="C1650" s="737" t="str">
        <f t="shared" si="380"/>
        <v>Housekeeping and events only</v>
      </c>
      <c r="D1650" s="737">
        <f t="shared" si="381"/>
        <v>1</v>
      </c>
      <c r="E1650" s="737" t="str">
        <f t="shared" si="382"/>
        <v>#VALUE!</v>
      </c>
      <c r="F1650" s="737">
        <v>1.0</v>
      </c>
      <c r="G1650" s="737" t="str">
        <f t="shared" si="383"/>
        <v>#VALUE!</v>
      </c>
      <c r="H1650" s="737" t="str">
        <f>MIN($Q$11/('Orbit Info'!G$10),$Q$8*60)</f>
        <v>#VALUE!</v>
      </c>
      <c r="I1650" s="737" t="str">
        <f>IF(D1650=1,$Q$12/'Data DownlinkStorage Budget'!$M$3,0)</f>
        <v>#VALUE!</v>
      </c>
      <c r="J1650" s="737" t="str">
        <f t="shared" si="388"/>
        <v>#VALUE!</v>
      </c>
      <c r="K1650" s="11"/>
      <c r="L1650" s="737" t="str">
        <f t="shared" si="385"/>
        <v>FOUND product plus housekeeping</v>
      </c>
      <c r="M1650" s="737" t="str">
        <f>MIN($Q$18,$Q$10*60)-IF(D1650=1,$Q$17/'Data DownlinkStorage Budget'!$M$3,0)</f>
        <v>#VALUE!</v>
      </c>
      <c r="N1650" s="182"/>
      <c r="O1650" s="737" t="str">
        <f t="shared" si="389"/>
        <v>#VALUE!</v>
      </c>
      <c r="P1650" s="11"/>
      <c r="Q1650" s="11"/>
      <c r="R1650" s="11"/>
      <c r="S1650" s="11"/>
      <c r="T1650" s="11"/>
      <c r="U1650" s="11"/>
      <c r="V1650" s="11"/>
      <c r="W1650" s="11"/>
      <c r="X1650" s="11"/>
      <c r="Y1650" s="11"/>
      <c r="Z1650" s="11"/>
      <c r="AA1650" s="11"/>
    </row>
    <row r="1651" ht="15.75" customHeight="1">
      <c r="A1651" s="737">
        <f t="shared" si="387"/>
        <v>0</v>
      </c>
      <c r="B1651" s="737">
        <f>A1651/'Orbit Info'!$G$10</f>
        <v>0</v>
      </c>
      <c r="C1651" s="737" t="str">
        <f t="shared" si="380"/>
        <v>Housekeeping and events only</v>
      </c>
      <c r="D1651" s="737">
        <f t="shared" si="381"/>
        <v>1</v>
      </c>
      <c r="E1651" s="737" t="str">
        <f t="shared" si="382"/>
        <v>#VALUE!</v>
      </c>
      <c r="F1651" s="737">
        <v>1.0</v>
      </c>
      <c r="G1651" s="737" t="str">
        <f t="shared" si="383"/>
        <v>#VALUE!</v>
      </c>
      <c r="H1651" s="737" t="str">
        <f>MIN($Q$11/('Orbit Info'!G$10),$Q$8*60)</f>
        <v>#VALUE!</v>
      </c>
      <c r="I1651" s="737" t="str">
        <f>IF(D1651=1,$Q$12/'Data DownlinkStorage Budget'!$M$3,0)</f>
        <v>#VALUE!</v>
      </c>
      <c r="J1651" s="737" t="str">
        <f t="shared" si="388"/>
        <v>#VALUE!</v>
      </c>
      <c r="K1651" s="11"/>
      <c r="L1651" s="737" t="str">
        <f t="shared" si="385"/>
        <v>FOUND product plus housekeeping</v>
      </c>
      <c r="M1651" s="737" t="str">
        <f>MIN($Q$18,$Q$10*60)-IF(D1651=1,$Q$17/'Data DownlinkStorage Budget'!$M$3,0)</f>
        <v>#VALUE!</v>
      </c>
      <c r="N1651" s="182"/>
      <c r="O1651" s="737" t="str">
        <f t="shared" si="389"/>
        <v>#VALUE!</v>
      </c>
      <c r="P1651" s="11"/>
      <c r="Q1651" s="11"/>
      <c r="R1651" s="11"/>
      <c r="S1651" s="11"/>
      <c r="T1651" s="11"/>
      <c r="U1651" s="11"/>
      <c r="V1651" s="11"/>
      <c r="W1651" s="11"/>
      <c r="X1651" s="11"/>
      <c r="Y1651" s="11"/>
      <c r="Z1651" s="11"/>
      <c r="AA1651" s="11"/>
    </row>
    <row r="1652" ht="15.75" customHeight="1">
      <c r="A1652" s="737">
        <f t="shared" si="387"/>
        <v>0</v>
      </c>
      <c r="B1652" s="737">
        <f>A1652/'Orbit Info'!$G$10</f>
        <v>0</v>
      </c>
      <c r="C1652" s="737" t="str">
        <f t="shared" si="380"/>
        <v>Housekeeping and events only</v>
      </c>
      <c r="D1652" s="737">
        <f t="shared" si="381"/>
        <v>1</v>
      </c>
      <c r="E1652" s="737" t="str">
        <f t="shared" si="382"/>
        <v>#VALUE!</v>
      </c>
      <c r="F1652" s="737">
        <v>1.0</v>
      </c>
      <c r="G1652" s="737" t="str">
        <f t="shared" si="383"/>
        <v>#VALUE!</v>
      </c>
      <c r="H1652" s="737" t="str">
        <f>MIN($Q$11/('Orbit Info'!G$10),$Q$8*60)</f>
        <v>#VALUE!</v>
      </c>
      <c r="I1652" s="737" t="str">
        <f>IF(D1652=1,$Q$12/'Data DownlinkStorage Budget'!$M$3,0)</f>
        <v>#VALUE!</v>
      </c>
      <c r="J1652" s="737" t="str">
        <f t="shared" si="388"/>
        <v>#VALUE!</v>
      </c>
      <c r="K1652" s="11"/>
      <c r="L1652" s="737" t="str">
        <f t="shared" si="385"/>
        <v>FOUND product plus housekeeping</v>
      </c>
      <c r="M1652" s="737" t="str">
        <f>MIN($Q$18,$Q$10*60)-IF(D1652=1,$Q$17/'Data DownlinkStorage Budget'!$M$3,0)</f>
        <v>#VALUE!</v>
      </c>
      <c r="N1652" s="182"/>
      <c r="O1652" s="737" t="str">
        <f t="shared" si="389"/>
        <v>#VALUE!</v>
      </c>
      <c r="P1652" s="11"/>
      <c r="Q1652" s="11"/>
      <c r="R1652" s="11"/>
      <c r="S1652" s="11"/>
      <c r="T1652" s="11"/>
      <c r="U1652" s="11"/>
      <c r="V1652" s="11"/>
      <c r="W1652" s="11"/>
      <c r="X1652" s="11"/>
      <c r="Y1652" s="11"/>
      <c r="Z1652" s="11"/>
      <c r="AA1652" s="11"/>
    </row>
    <row r="1653" ht="15.75" customHeight="1">
      <c r="A1653" s="737">
        <f t="shared" si="387"/>
        <v>0</v>
      </c>
      <c r="B1653" s="737">
        <f>A1653/'Orbit Info'!$G$10</f>
        <v>0</v>
      </c>
      <c r="C1653" s="737" t="str">
        <f t="shared" si="380"/>
        <v>Housekeeping and events only</v>
      </c>
      <c r="D1653" s="737">
        <f t="shared" si="381"/>
        <v>1</v>
      </c>
      <c r="E1653" s="737" t="str">
        <f t="shared" si="382"/>
        <v>#VALUE!</v>
      </c>
      <c r="F1653" s="737">
        <v>1.0</v>
      </c>
      <c r="G1653" s="737" t="str">
        <f t="shared" si="383"/>
        <v>#VALUE!</v>
      </c>
      <c r="H1653" s="737" t="str">
        <f>MIN($Q$11/('Orbit Info'!G$10),$Q$8*60)</f>
        <v>#VALUE!</v>
      </c>
      <c r="I1653" s="737" t="str">
        <f>IF(D1653=1,$Q$12/'Data DownlinkStorage Budget'!$M$3,0)</f>
        <v>#VALUE!</v>
      </c>
      <c r="J1653" s="737" t="str">
        <f t="shared" si="388"/>
        <v>#VALUE!</v>
      </c>
      <c r="K1653" s="11"/>
      <c r="L1653" s="737" t="str">
        <f t="shared" si="385"/>
        <v>FOUND product plus housekeeping</v>
      </c>
      <c r="M1653" s="737" t="str">
        <f>MIN($Q$18,$Q$10*60)-IF(D1653=1,$Q$17/'Data DownlinkStorage Budget'!$M$3,0)</f>
        <v>#VALUE!</v>
      </c>
      <c r="N1653" s="182"/>
      <c r="O1653" s="737" t="str">
        <f t="shared" si="389"/>
        <v>#VALUE!</v>
      </c>
      <c r="P1653" s="11"/>
      <c r="Q1653" s="11"/>
      <c r="R1653" s="11"/>
      <c r="S1653" s="11"/>
      <c r="T1653" s="11"/>
      <c r="U1653" s="11"/>
      <c r="V1653" s="11"/>
      <c r="W1653" s="11"/>
      <c r="X1653" s="11"/>
      <c r="Y1653" s="11"/>
      <c r="Z1653" s="11"/>
      <c r="AA1653" s="11"/>
    </row>
    <row r="1654" ht="15.75" customHeight="1">
      <c r="A1654" s="737">
        <f t="shared" si="387"/>
        <v>0</v>
      </c>
      <c r="B1654" s="737">
        <f>A1654/'Orbit Info'!$G$10</f>
        <v>0</v>
      </c>
      <c r="C1654" s="737" t="str">
        <f t="shared" si="380"/>
        <v>Housekeeping and events only</v>
      </c>
      <c r="D1654" s="737">
        <f t="shared" si="381"/>
        <v>1</v>
      </c>
      <c r="E1654" s="737" t="str">
        <f t="shared" si="382"/>
        <v>#VALUE!</v>
      </c>
      <c r="F1654" s="737">
        <v>1.0</v>
      </c>
      <c r="G1654" s="737" t="str">
        <f t="shared" si="383"/>
        <v>#VALUE!</v>
      </c>
      <c r="H1654" s="737" t="str">
        <f>MIN($Q$11/('Orbit Info'!G$10),$Q$8*60)</f>
        <v>#VALUE!</v>
      </c>
      <c r="I1654" s="737" t="str">
        <f>IF(D1654=1,$Q$12/'Data DownlinkStorage Budget'!$M$3,0)</f>
        <v>#VALUE!</v>
      </c>
      <c r="J1654" s="737" t="str">
        <f t="shared" si="388"/>
        <v>#VALUE!</v>
      </c>
      <c r="K1654" s="11"/>
      <c r="L1654" s="737" t="str">
        <f t="shared" si="385"/>
        <v>FOUND product plus housekeeping</v>
      </c>
      <c r="M1654" s="737" t="str">
        <f>MIN($Q$18,$Q$10*60)-IF(D1654=1,$Q$17/'Data DownlinkStorage Budget'!$M$3,0)</f>
        <v>#VALUE!</v>
      </c>
      <c r="N1654" s="182"/>
      <c r="O1654" s="737" t="str">
        <f t="shared" si="389"/>
        <v>#VALUE!</v>
      </c>
      <c r="P1654" s="11"/>
      <c r="Q1654" s="11"/>
      <c r="R1654" s="11"/>
      <c r="S1654" s="11"/>
      <c r="T1654" s="11"/>
      <c r="U1654" s="11"/>
      <c r="V1654" s="11"/>
      <c r="W1654" s="11"/>
      <c r="X1654" s="11"/>
      <c r="Y1654" s="11"/>
      <c r="Z1654" s="11"/>
      <c r="AA1654" s="11"/>
    </row>
    <row r="1655" ht="15.75" customHeight="1">
      <c r="A1655" s="737">
        <f t="shared" si="387"/>
        <v>0</v>
      </c>
      <c r="B1655" s="737">
        <f>A1655/'Orbit Info'!$G$10</f>
        <v>0</v>
      </c>
      <c r="C1655" s="737" t="str">
        <f t="shared" si="380"/>
        <v>Housekeeping and events only</v>
      </c>
      <c r="D1655" s="737">
        <f t="shared" si="381"/>
        <v>1</v>
      </c>
      <c r="E1655" s="737" t="str">
        <f t="shared" si="382"/>
        <v>#VALUE!</v>
      </c>
      <c r="F1655" s="737">
        <v>1.0</v>
      </c>
      <c r="G1655" s="737" t="str">
        <f t="shared" si="383"/>
        <v>#VALUE!</v>
      </c>
      <c r="H1655" s="737" t="str">
        <f>MIN($Q$11/('Orbit Info'!G$10),$Q$8*60)</f>
        <v>#VALUE!</v>
      </c>
      <c r="I1655" s="737" t="str">
        <f>IF(D1655=1,$Q$12/'Data DownlinkStorage Budget'!$M$3,0)</f>
        <v>#VALUE!</v>
      </c>
      <c r="J1655" s="737" t="str">
        <f t="shared" si="388"/>
        <v>#VALUE!</v>
      </c>
      <c r="K1655" s="11"/>
      <c r="L1655" s="737" t="str">
        <f t="shared" si="385"/>
        <v>FOUND product plus housekeeping</v>
      </c>
      <c r="M1655" s="737" t="str">
        <f>MIN($Q$18,$Q$10*60)-IF(D1655=1,$Q$17/'Data DownlinkStorage Budget'!$M$3,0)</f>
        <v>#VALUE!</v>
      </c>
      <c r="N1655" s="182"/>
      <c r="O1655" s="737" t="str">
        <f t="shared" si="389"/>
        <v>#VALUE!</v>
      </c>
      <c r="P1655" s="11"/>
      <c r="Q1655" s="11"/>
      <c r="R1655" s="11"/>
      <c r="S1655" s="11"/>
      <c r="T1655" s="11"/>
      <c r="U1655" s="11"/>
      <c r="V1655" s="11"/>
      <c r="W1655" s="11"/>
      <c r="X1655" s="11"/>
      <c r="Y1655" s="11"/>
      <c r="Z1655" s="11"/>
      <c r="AA1655" s="11"/>
    </row>
    <row r="1656" ht="15.75" customHeight="1">
      <c r="A1656" s="737">
        <f t="shared" si="387"/>
        <v>0</v>
      </c>
      <c r="B1656" s="737">
        <f>A1656/'Orbit Info'!$G$10</f>
        <v>0</v>
      </c>
      <c r="C1656" s="737" t="str">
        <f t="shared" si="380"/>
        <v>Housekeeping and events only</v>
      </c>
      <c r="D1656" s="737">
        <f t="shared" si="381"/>
        <v>1</v>
      </c>
      <c r="E1656" s="737" t="str">
        <f t="shared" si="382"/>
        <v>#VALUE!</v>
      </c>
      <c r="F1656" s="737">
        <v>1.0</v>
      </c>
      <c r="G1656" s="737" t="str">
        <f t="shared" si="383"/>
        <v>#VALUE!</v>
      </c>
      <c r="H1656" s="737" t="str">
        <f>MIN($Q$11/('Orbit Info'!G$10),$Q$8*60)</f>
        <v>#VALUE!</v>
      </c>
      <c r="I1656" s="737" t="str">
        <f>IF(D1656=1,$Q$12/'Data DownlinkStorage Budget'!$M$3,0)</f>
        <v>#VALUE!</v>
      </c>
      <c r="J1656" s="737" t="str">
        <f t="shared" si="388"/>
        <v>#VALUE!</v>
      </c>
      <c r="K1656" s="11"/>
      <c r="L1656" s="737" t="str">
        <f t="shared" si="385"/>
        <v>FOUND product plus housekeeping</v>
      </c>
      <c r="M1656" s="737" t="str">
        <f>MIN($Q$18,$Q$10*60)-IF(D1656=1,$Q$17/'Data DownlinkStorage Budget'!$M$3,0)</f>
        <v>#VALUE!</v>
      </c>
      <c r="N1656" s="182"/>
      <c r="O1656" s="737" t="str">
        <f t="shared" si="389"/>
        <v>#VALUE!</v>
      </c>
      <c r="P1656" s="11"/>
      <c r="Q1656" s="11"/>
      <c r="R1656" s="11"/>
      <c r="S1656" s="11"/>
      <c r="T1656" s="11"/>
      <c r="U1656" s="11"/>
      <c r="V1656" s="11"/>
      <c r="W1656" s="11"/>
      <c r="X1656" s="11"/>
      <c r="Y1656" s="11"/>
      <c r="Z1656" s="11"/>
      <c r="AA1656" s="11"/>
    </row>
    <row r="1657" ht="15.75" customHeight="1">
      <c r="A1657" s="737">
        <f t="shared" si="387"/>
        <v>0</v>
      </c>
      <c r="B1657" s="737">
        <f>A1657/'Orbit Info'!$G$10</f>
        <v>0</v>
      </c>
      <c r="C1657" s="737" t="str">
        <f t="shared" si="380"/>
        <v>Housekeeping and events only</v>
      </c>
      <c r="D1657" s="737">
        <f t="shared" si="381"/>
        <v>1</v>
      </c>
      <c r="E1657" s="737" t="str">
        <f t="shared" si="382"/>
        <v>#VALUE!</v>
      </c>
      <c r="F1657" s="737">
        <v>1.0</v>
      </c>
      <c r="G1657" s="737" t="str">
        <f t="shared" si="383"/>
        <v>#VALUE!</v>
      </c>
      <c r="H1657" s="737" t="str">
        <f>MIN($Q$11/('Orbit Info'!G$10),$Q$8*60)</f>
        <v>#VALUE!</v>
      </c>
      <c r="I1657" s="737" t="str">
        <f>IF(D1657=1,$Q$12/'Data DownlinkStorage Budget'!$M$3,0)</f>
        <v>#VALUE!</v>
      </c>
      <c r="J1657" s="737" t="str">
        <f t="shared" si="388"/>
        <v>#VALUE!</v>
      </c>
      <c r="K1657" s="11"/>
      <c r="L1657" s="737" t="str">
        <f t="shared" si="385"/>
        <v>FOUND product plus housekeeping</v>
      </c>
      <c r="M1657" s="737" t="str">
        <f>MIN($Q$18,$Q$10*60)-IF(D1657=1,$Q$17/'Data DownlinkStorage Budget'!$M$3,0)</f>
        <v>#VALUE!</v>
      </c>
      <c r="N1657" s="182"/>
      <c r="O1657" s="737" t="str">
        <f t="shared" si="389"/>
        <v>#VALUE!</v>
      </c>
      <c r="P1657" s="11"/>
      <c r="Q1657" s="11"/>
      <c r="R1657" s="11"/>
      <c r="S1657" s="11"/>
      <c r="T1657" s="11"/>
      <c r="U1657" s="11"/>
      <c r="V1657" s="11"/>
      <c r="W1657" s="11"/>
      <c r="X1657" s="11"/>
      <c r="Y1657" s="11"/>
      <c r="Z1657" s="11"/>
      <c r="AA1657" s="11"/>
    </row>
    <row r="1658" ht="15.75" customHeight="1">
      <c r="A1658" s="737">
        <f t="shared" si="387"/>
        <v>0</v>
      </c>
      <c r="B1658" s="737">
        <f>A1658/'Orbit Info'!$G$10</f>
        <v>0</v>
      </c>
      <c r="C1658" s="737" t="str">
        <f t="shared" si="380"/>
        <v>Housekeeping and events only</v>
      </c>
      <c r="D1658" s="737">
        <f t="shared" si="381"/>
        <v>1</v>
      </c>
      <c r="E1658" s="737" t="str">
        <f t="shared" si="382"/>
        <v>#VALUE!</v>
      </c>
      <c r="F1658" s="737">
        <v>1.0</v>
      </c>
      <c r="G1658" s="737" t="str">
        <f t="shared" si="383"/>
        <v>#VALUE!</v>
      </c>
      <c r="H1658" s="737" t="str">
        <f>MIN($Q$11/('Orbit Info'!G$10),$Q$8*60)</f>
        <v>#VALUE!</v>
      </c>
      <c r="I1658" s="737" t="str">
        <f>IF(D1658=1,$Q$12/'Data DownlinkStorage Budget'!$M$3,0)</f>
        <v>#VALUE!</v>
      </c>
      <c r="J1658" s="737" t="str">
        <f t="shared" si="388"/>
        <v>#VALUE!</v>
      </c>
      <c r="K1658" s="11"/>
      <c r="L1658" s="737" t="str">
        <f t="shared" si="385"/>
        <v>FOUND product plus housekeeping</v>
      </c>
      <c r="M1658" s="737" t="str">
        <f>MIN($Q$18,$Q$10*60)-IF(D1658=1,$Q$17/'Data DownlinkStorage Budget'!$M$3,0)</f>
        <v>#VALUE!</v>
      </c>
      <c r="N1658" s="182"/>
      <c r="O1658" s="737" t="str">
        <f t="shared" si="389"/>
        <v>#VALUE!</v>
      </c>
      <c r="P1658" s="11"/>
      <c r="Q1658" s="11"/>
      <c r="R1658" s="11"/>
      <c r="S1658" s="11"/>
      <c r="T1658" s="11"/>
      <c r="U1658" s="11"/>
      <c r="V1658" s="11"/>
      <c r="W1658" s="11"/>
      <c r="X1658" s="11"/>
      <c r="Y1658" s="11"/>
      <c r="Z1658" s="11"/>
      <c r="AA1658" s="11"/>
    </row>
    <row r="1659" ht="15.75" customHeight="1">
      <c r="A1659" s="737">
        <f t="shared" si="387"/>
        <v>0</v>
      </c>
      <c r="B1659" s="737">
        <f>A1659/'Orbit Info'!$G$10</f>
        <v>0</v>
      </c>
      <c r="C1659" s="737" t="str">
        <f t="shared" si="380"/>
        <v>Housekeeping and events only</v>
      </c>
      <c r="D1659" s="737">
        <f t="shared" si="381"/>
        <v>1</v>
      </c>
      <c r="E1659" s="737" t="str">
        <f t="shared" si="382"/>
        <v>#VALUE!</v>
      </c>
      <c r="F1659" s="737">
        <v>1.0</v>
      </c>
      <c r="G1659" s="737" t="str">
        <f t="shared" si="383"/>
        <v>#VALUE!</v>
      </c>
      <c r="H1659" s="737" t="str">
        <f>MIN($Q$11/('Orbit Info'!G$10),$Q$8*60)</f>
        <v>#VALUE!</v>
      </c>
      <c r="I1659" s="737" t="str">
        <f>IF(D1659=1,$Q$12/'Data DownlinkStorage Budget'!$M$3,0)</f>
        <v>#VALUE!</v>
      </c>
      <c r="J1659" s="737" t="str">
        <f t="shared" si="388"/>
        <v>#VALUE!</v>
      </c>
      <c r="K1659" s="11"/>
      <c r="L1659" s="737" t="str">
        <f t="shared" si="385"/>
        <v>FOUND product plus housekeeping</v>
      </c>
      <c r="M1659" s="737" t="str">
        <f>MIN($Q$18,$Q$10*60)-IF(D1659=1,$Q$17/'Data DownlinkStorage Budget'!$M$3,0)</f>
        <v>#VALUE!</v>
      </c>
      <c r="N1659" s="182"/>
      <c r="O1659" s="737" t="str">
        <f t="shared" si="389"/>
        <v>#VALUE!</v>
      </c>
      <c r="P1659" s="11"/>
      <c r="Q1659" s="11"/>
      <c r="R1659" s="11"/>
      <c r="S1659" s="11"/>
      <c r="T1659" s="11"/>
      <c r="U1659" s="11"/>
      <c r="V1659" s="11"/>
      <c r="W1659" s="11"/>
      <c r="X1659" s="11"/>
      <c r="Y1659" s="11"/>
      <c r="Z1659" s="11"/>
      <c r="AA1659" s="11"/>
    </row>
    <row r="1660" ht="15.75" customHeight="1">
      <c r="A1660" s="737">
        <f t="shared" si="387"/>
        <v>0</v>
      </c>
      <c r="B1660" s="737">
        <f>A1660/'Orbit Info'!$G$10</f>
        <v>0</v>
      </c>
      <c r="C1660" s="737" t="str">
        <f t="shared" si="380"/>
        <v>Housekeeping and events only</v>
      </c>
      <c r="D1660" s="737">
        <f t="shared" si="381"/>
        <v>1</v>
      </c>
      <c r="E1660" s="737" t="str">
        <f t="shared" si="382"/>
        <v>#VALUE!</v>
      </c>
      <c r="F1660" s="737">
        <v>1.0</v>
      </c>
      <c r="G1660" s="737" t="str">
        <f t="shared" si="383"/>
        <v>#VALUE!</v>
      </c>
      <c r="H1660" s="737" t="str">
        <f>MIN($Q$11/('Orbit Info'!G$10),$Q$8*60)</f>
        <v>#VALUE!</v>
      </c>
      <c r="I1660" s="737" t="str">
        <f>IF(D1660=1,$Q$12/'Data DownlinkStorage Budget'!$M$3,0)</f>
        <v>#VALUE!</v>
      </c>
      <c r="J1660" s="737" t="str">
        <f t="shared" si="388"/>
        <v>#VALUE!</v>
      </c>
      <c r="K1660" s="11"/>
      <c r="L1660" s="737" t="str">
        <f t="shared" si="385"/>
        <v>FOUND product plus housekeeping</v>
      </c>
      <c r="M1660" s="737" t="str">
        <f>MIN($Q$18,$Q$10*60)-IF(D1660=1,$Q$17/'Data DownlinkStorage Budget'!$M$3,0)</f>
        <v>#VALUE!</v>
      </c>
      <c r="N1660" s="182"/>
      <c r="O1660" s="737" t="str">
        <f t="shared" si="389"/>
        <v>#VALUE!</v>
      </c>
      <c r="P1660" s="11"/>
      <c r="Q1660" s="11"/>
      <c r="R1660" s="11"/>
      <c r="S1660" s="11"/>
      <c r="T1660" s="11"/>
      <c r="U1660" s="11"/>
      <c r="V1660" s="11"/>
      <c r="W1660" s="11"/>
      <c r="X1660" s="11"/>
      <c r="Y1660" s="11"/>
      <c r="Z1660" s="11"/>
      <c r="AA1660" s="11"/>
    </row>
    <row r="1661" ht="15.75" customHeight="1">
      <c r="A1661" s="737">
        <f t="shared" si="387"/>
        <v>0</v>
      </c>
      <c r="B1661" s="737">
        <f>A1661/'Orbit Info'!$G$10</f>
        <v>0</v>
      </c>
      <c r="C1661" s="737" t="str">
        <f t="shared" si="380"/>
        <v>Housekeeping and events only</v>
      </c>
      <c r="D1661" s="737">
        <f t="shared" si="381"/>
        <v>1</v>
      </c>
      <c r="E1661" s="737" t="str">
        <f t="shared" si="382"/>
        <v>#VALUE!</v>
      </c>
      <c r="F1661" s="737">
        <v>1.0</v>
      </c>
      <c r="G1661" s="737" t="str">
        <f t="shared" si="383"/>
        <v>#VALUE!</v>
      </c>
      <c r="H1661" s="737" t="str">
        <f>MIN($Q$11/('Orbit Info'!G$10),$Q$8*60)</f>
        <v>#VALUE!</v>
      </c>
      <c r="I1661" s="737" t="str">
        <f>IF(D1661=1,$Q$12/'Data DownlinkStorage Budget'!$M$3,0)</f>
        <v>#VALUE!</v>
      </c>
      <c r="J1661" s="737" t="str">
        <f t="shared" si="388"/>
        <v>#VALUE!</v>
      </c>
      <c r="K1661" s="11"/>
      <c r="L1661" s="737" t="str">
        <f t="shared" si="385"/>
        <v>FOUND product plus housekeeping</v>
      </c>
      <c r="M1661" s="737" t="str">
        <f>MIN($Q$18,$Q$10*60)-IF(D1661=1,$Q$17/'Data DownlinkStorage Budget'!$M$3,0)</f>
        <v>#VALUE!</v>
      </c>
      <c r="N1661" s="182"/>
      <c r="O1661" s="737" t="str">
        <f t="shared" si="389"/>
        <v>#VALUE!</v>
      </c>
      <c r="P1661" s="11"/>
      <c r="Q1661" s="11"/>
      <c r="R1661" s="11"/>
      <c r="S1661" s="11"/>
      <c r="T1661" s="11"/>
      <c r="U1661" s="11"/>
      <c r="V1661" s="11"/>
      <c r="W1661" s="11"/>
      <c r="X1661" s="11"/>
      <c r="Y1661" s="11"/>
      <c r="Z1661" s="11"/>
      <c r="AA1661" s="11"/>
    </row>
    <row r="1662" ht="15.75" customHeight="1">
      <c r="A1662" s="737">
        <f t="shared" si="387"/>
        <v>0</v>
      </c>
      <c r="B1662" s="737">
        <f>A1662/'Orbit Info'!$G$10</f>
        <v>0</v>
      </c>
      <c r="C1662" s="737" t="str">
        <f t="shared" si="380"/>
        <v>Housekeeping and events only</v>
      </c>
      <c r="D1662" s="737">
        <f t="shared" si="381"/>
        <v>1</v>
      </c>
      <c r="E1662" s="737" t="str">
        <f t="shared" si="382"/>
        <v>#VALUE!</v>
      </c>
      <c r="F1662" s="737">
        <v>1.0</v>
      </c>
      <c r="G1662" s="737" t="str">
        <f t="shared" si="383"/>
        <v>#VALUE!</v>
      </c>
      <c r="H1662" s="737" t="str">
        <f>MIN($Q$11/('Orbit Info'!G$10),$Q$8*60)</f>
        <v>#VALUE!</v>
      </c>
      <c r="I1662" s="737" t="str">
        <f>IF(D1662=1,$Q$12/'Data DownlinkStorage Budget'!$M$3,0)</f>
        <v>#VALUE!</v>
      </c>
      <c r="J1662" s="737" t="str">
        <f t="shared" si="388"/>
        <v>#VALUE!</v>
      </c>
      <c r="K1662" s="11"/>
      <c r="L1662" s="737" t="str">
        <f t="shared" si="385"/>
        <v>FOUND product plus housekeeping</v>
      </c>
      <c r="M1662" s="737" t="str">
        <f>MIN($Q$18,$Q$10*60)-IF(D1662=1,$Q$17/'Data DownlinkStorage Budget'!$M$3,0)</f>
        <v>#VALUE!</v>
      </c>
      <c r="N1662" s="182"/>
      <c r="O1662" s="737" t="str">
        <f t="shared" si="389"/>
        <v>#VALUE!</v>
      </c>
      <c r="P1662" s="11"/>
      <c r="Q1662" s="11"/>
      <c r="R1662" s="11"/>
      <c r="S1662" s="11"/>
      <c r="T1662" s="11"/>
      <c r="U1662" s="11"/>
      <c r="V1662" s="11"/>
      <c r="W1662" s="11"/>
      <c r="X1662" s="11"/>
      <c r="Y1662" s="11"/>
      <c r="Z1662" s="11"/>
      <c r="AA1662" s="11"/>
    </row>
    <row r="1663" ht="15.75" customHeight="1">
      <c r="A1663" s="737">
        <f t="shared" si="387"/>
        <v>0</v>
      </c>
      <c r="B1663" s="737">
        <f>A1663/'Orbit Info'!$G$10</f>
        <v>0</v>
      </c>
      <c r="C1663" s="737" t="str">
        <f t="shared" si="380"/>
        <v>Housekeeping and events only</v>
      </c>
      <c r="D1663" s="737">
        <f t="shared" si="381"/>
        <v>1</v>
      </c>
      <c r="E1663" s="737" t="str">
        <f t="shared" si="382"/>
        <v>#VALUE!</v>
      </c>
      <c r="F1663" s="737">
        <v>1.0</v>
      </c>
      <c r="G1663" s="737" t="str">
        <f t="shared" si="383"/>
        <v>#VALUE!</v>
      </c>
      <c r="H1663" s="737" t="str">
        <f>MIN($Q$11/('Orbit Info'!G$10),$Q$8*60)</f>
        <v>#VALUE!</v>
      </c>
      <c r="I1663" s="737" t="str">
        <f>IF(D1663=1,$Q$12/'Data DownlinkStorage Budget'!$M$3,0)</f>
        <v>#VALUE!</v>
      </c>
      <c r="J1663" s="737" t="str">
        <f t="shared" si="388"/>
        <v>#VALUE!</v>
      </c>
      <c r="K1663" s="11"/>
      <c r="L1663" s="737" t="str">
        <f t="shared" si="385"/>
        <v>FOUND product plus housekeeping</v>
      </c>
      <c r="M1663" s="737" t="str">
        <f>MIN($Q$18,$Q$10*60)-IF(D1663=1,$Q$17/'Data DownlinkStorage Budget'!$M$3,0)</f>
        <v>#VALUE!</v>
      </c>
      <c r="N1663" s="182"/>
      <c r="O1663" s="737" t="str">
        <f t="shared" si="389"/>
        <v>#VALUE!</v>
      </c>
      <c r="P1663" s="11"/>
      <c r="Q1663" s="11"/>
      <c r="R1663" s="11"/>
      <c r="S1663" s="11"/>
      <c r="T1663" s="11"/>
      <c r="U1663" s="11"/>
      <c r="V1663" s="11"/>
      <c r="W1663" s="11"/>
      <c r="X1663" s="11"/>
      <c r="Y1663" s="11"/>
      <c r="Z1663" s="11"/>
      <c r="AA1663" s="11"/>
    </row>
    <row r="1664" ht="15.75" customHeight="1">
      <c r="A1664" s="737">
        <f t="shared" si="387"/>
        <v>0</v>
      </c>
      <c r="B1664" s="737">
        <f>A1664/'Orbit Info'!$G$10</f>
        <v>0</v>
      </c>
      <c r="C1664" s="737" t="str">
        <f t="shared" si="380"/>
        <v>Housekeeping and events only</v>
      </c>
      <c r="D1664" s="737">
        <f t="shared" si="381"/>
        <v>1</v>
      </c>
      <c r="E1664" s="737" t="str">
        <f t="shared" si="382"/>
        <v>#VALUE!</v>
      </c>
      <c r="F1664" s="737">
        <v>1.0</v>
      </c>
      <c r="G1664" s="737" t="str">
        <f t="shared" si="383"/>
        <v>#VALUE!</v>
      </c>
      <c r="H1664" s="737" t="str">
        <f>MIN($Q$11/('Orbit Info'!G$10),$Q$8*60)</f>
        <v>#VALUE!</v>
      </c>
      <c r="I1664" s="737" t="str">
        <f>IF(D1664=1,$Q$12/'Data DownlinkStorage Budget'!$M$3,0)</f>
        <v>#VALUE!</v>
      </c>
      <c r="J1664" s="737" t="str">
        <f t="shared" si="388"/>
        <v>#VALUE!</v>
      </c>
      <c r="K1664" s="11"/>
      <c r="L1664" s="737" t="str">
        <f t="shared" si="385"/>
        <v>FOUND product plus housekeeping</v>
      </c>
      <c r="M1664" s="737" t="str">
        <f>MIN($Q$18,$Q$10*60)-IF(D1664=1,$Q$17/'Data DownlinkStorage Budget'!$M$3,0)</f>
        <v>#VALUE!</v>
      </c>
      <c r="N1664" s="182"/>
      <c r="O1664" s="737" t="str">
        <f t="shared" si="389"/>
        <v>#VALUE!</v>
      </c>
      <c r="P1664" s="11"/>
      <c r="Q1664" s="11"/>
      <c r="R1664" s="11"/>
      <c r="S1664" s="11"/>
      <c r="T1664" s="11"/>
      <c r="U1664" s="11"/>
      <c r="V1664" s="11"/>
      <c r="W1664" s="11"/>
      <c r="X1664" s="11"/>
      <c r="Y1664" s="11"/>
      <c r="Z1664" s="11"/>
      <c r="AA1664" s="11"/>
    </row>
    <row r="1665" ht="15.75" customHeight="1">
      <c r="A1665" s="737">
        <f t="shared" si="387"/>
        <v>0</v>
      </c>
      <c r="B1665" s="737">
        <f>A1665/'Orbit Info'!$G$10</f>
        <v>0</v>
      </c>
      <c r="C1665" s="737" t="str">
        <f t="shared" si="380"/>
        <v>Housekeeping and events only</v>
      </c>
      <c r="D1665" s="737">
        <f t="shared" si="381"/>
        <v>1</v>
      </c>
      <c r="E1665" s="737" t="str">
        <f t="shared" si="382"/>
        <v>#VALUE!</v>
      </c>
      <c r="F1665" s="737">
        <v>1.0</v>
      </c>
      <c r="G1665" s="737" t="str">
        <f t="shared" si="383"/>
        <v>#VALUE!</v>
      </c>
      <c r="H1665" s="737" t="str">
        <f>MIN($Q$11/('Orbit Info'!G$10),$Q$8*60)</f>
        <v>#VALUE!</v>
      </c>
      <c r="I1665" s="737" t="str">
        <f>IF(D1665=1,$Q$12/'Data DownlinkStorage Budget'!$M$3,0)</f>
        <v>#VALUE!</v>
      </c>
      <c r="J1665" s="737" t="str">
        <f t="shared" si="388"/>
        <v>#VALUE!</v>
      </c>
      <c r="K1665" s="11"/>
      <c r="L1665" s="737" t="str">
        <f t="shared" si="385"/>
        <v>FOUND product plus housekeeping</v>
      </c>
      <c r="M1665" s="737" t="str">
        <f>MIN($Q$18,$Q$10*60)-IF(D1665=1,$Q$17/'Data DownlinkStorage Budget'!$M$3,0)</f>
        <v>#VALUE!</v>
      </c>
      <c r="N1665" s="182"/>
      <c r="O1665" s="737" t="str">
        <f t="shared" si="389"/>
        <v>#VALUE!</v>
      </c>
      <c r="P1665" s="11"/>
      <c r="Q1665" s="11"/>
      <c r="R1665" s="11"/>
      <c r="S1665" s="11"/>
      <c r="T1665" s="11"/>
      <c r="U1665" s="11"/>
      <c r="V1665" s="11"/>
      <c r="W1665" s="11"/>
      <c r="X1665" s="11"/>
      <c r="Y1665" s="11"/>
      <c r="Z1665" s="11"/>
      <c r="AA1665" s="11"/>
    </row>
    <row r="1666" ht="15.75" customHeight="1">
      <c r="A1666" s="737">
        <f t="shared" si="387"/>
        <v>0</v>
      </c>
      <c r="B1666" s="737">
        <f>A1666/'Orbit Info'!$G$10</f>
        <v>0</v>
      </c>
      <c r="C1666" s="737" t="str">
        <f t="shared" si="380"/>
        <v>Housekeeping and events only</v>
      </c>
      <c r="D1666" s="737">
        <f t="shared" si="381"/>
        <v>1</v>
      </c>
      <c r="E1666" s="737" t="str">
        <f t="shared" si="382"/>
        <v>#VALUE!</v>
      </c>
      <c r="F1666" s="737">
        <v>1.0</v>
      </c>
      <c r="G1666" s="737" t="str">
        <f t="shared" si="383"/>
        <v>#VALUE!</v>
      </c>
      <c r="H1666" s="737" t="str">
        <f>MIN($Q$11/('Orbit Info'!G$10),$Q$8*60)</f>
        <v>#VALUE!</v>
      </c>
      <c r="I1666" s="737" t="str">
        <f>IF(D1666=1,$Q$12/'Data DownlinkStorage Budget'!$M$3,0)</f>
        <v>#VALUE!</v>
      </c>
      <c r="J1666" s="737" t="str">
        <f t="shared" si="388"/>
        <v>#VALUE!</v>
      </c>
      <c r="K1666" s="11"/>
      <c r="L1666" s="737" t="str">
        <f t="shared" si="385"/>
        <v>FOUND product plus housekeeping</v>
      </c>
      <c r="M1666" s="737" t="str">
        <f>MIN($Q$18,$Q$10*60)-IF(D1666=1,$Q$17/'Data DownlinkStorage Budget'!$M$3,0)</f>
        <v>#VALUE!</v>
      </c>
      <c r="N1666" s="182"/>
      <c r="O1666" s="737" t="str">
        <f t="shared" si="389"/>
        <v>#VALUE!</v>
      </c>
      <c r="P1666" s="11"/>
      <c r="Q1666" s="11"/>
      <c r="R1666" s="11"/>
      <c r="S1666" s="11"/>
      <c r="T1666" s="11"/>
      <c r="U1666" s="11"/>
      <c r="V1666" s="11"/>
      <c r="W1666" s="11"/>
      <c r="X1666" s="11"/>
      <c r="Y1666" s="11"/>
      <c r="Z1666" s="11"/>
      <c r="AA1666" s="11"/>
    </row>
    <row r="1667" ht="15.75" customHeight="1">
      <c r="A1667" s="737">
        <f t="shared" si="387"/>
        <v>0</v>
      </c>
      <c r="B1667" s="737">
        <f>A1667/'Orbit Info'!$G$10</f>
        <v>0</v>
      </c>
      <c r="C1667" s="737" t="str">
        <f t="shared" si="380"/>
        <v>Housekeeping and events only</v>
      </c>
      <c r="D1667" s="737">
        <f t="shared" si="381"/>
        <v>1</v>
      </c>
      <c r="E1667" s="737" t="str">
        <f t="shared" si="382"/>
        <v>#VALUE!</v>
      </c>
      <c r="F1667" s="737">
        <v>1.0</v>
      </c>
      <c r="G1667" s="737" t="str">
        <f t="shared" si="383"/>
        <v>#VALUE!</v>
      </c>
      <c r="H1667" s="737" t="str">
        <f>MIN($Q$11/('Orbit Info'!G$10),$Q$8*60)</f>
        <v>#VALUE!</v>
      </c>
      <c r="I1667" s="737" t="str">
        <f>IF(D1667=1,$Q$12/'Data DownlinkStorage Budget'!$M$3,0)</f>
        <v>#VALUE!</v>
      </c>
      <c r="J1667" s="737" t="str">
        <f t="shared" si="388"/>
        <v>#VALUE!</v>
      </c>
      <c r="K1667" s="11"/>
      <c r="L1667" s="737" t="str">
        <f t="shared" si="385"/>
        <v>FOUND product plus housekeeping</v>
      </c>
      <c r="M1667" s="737" t="str">
        <f>MIN($Q$18,$Q$10*60)-IF(D1667=1,$Q$17/'Data DownlinkStorage Budget'!$M$3,0)</f>
        <v>#VALUE!</v>
      </c>
      <c r="N1667" s="182"/>
      <c r="O1667" s="737" t="str">
        <f t="shared" si="389"/>
        <v>#VALUE!</v>
      </c>
      <c r="P1667" s="11"/>
      <c r="Q1667" s="11"/>
      <c r="R1667" s="11"/>
      <c r="S1667" s="11"/>
      <c r="T1667" s="11"/>
      <c r="U1667" s="11"/>
      <c r="V1667" s="11"/>
      <c r="W1667" s="11"/>
      <c r="X1667" s="11"/>
      <c r="Y1667" s="11"/>
      <c r="Z1667" s="11"/>
      <c r="AA1667" s="11"/>
    </row>
    <row r="1668" ht="15.75" customHeight="1">
      <c r="A1668" s="737">
        <f t="shared" si="387"/>
        <v>0</v>
      </c>
      <c r="B1668" s="737">
        <f>A1668/'Orbit Info'!$G$10</f>
        <v>0</v>
      </c>
      <c r="C1668" s="737" t="str">
        <f t="shared" si="380"/>
        <v>Housekeeping and events only</v>
      </c>
      <c r="D1668" s="737">
        <f t="shared" si="381"/>
        <v>1</v>
      </c>
      <c r="E1668" s="737" t="str">
        <f t="shared" si="382"/>
        <v>#VALUE!</v>
      </c>
      <c r="F1668" s="737">
        <v>1.0</v>
      </c>
      <c r="G1668" s="737" t="str">
        <f t="shared" si="383"/>
        <v>#VALUE!</v>
      </c>
      <c r="H1668" s="737" t="str">
        <f>MIN($Q$11/('Orbit Info'!G$10),$Q$8*60)</f>
        <v>#VALUE!</v>
      </c>
      <c r="I1668" s="737" t="str">
        <f>IF(D1668=1,$Q$12/'Data DownlinkStorage Budget'!$M$3,0)</f>
        <v>#VALUE!</v>
      </c>
      <c r="J1668" s="737" t="str">
        <f t="shared" si="388"/>
        <v>#VALUE!</v>
      </c>
      <c r="K1668" s="11"/>
      <c r="L1668" s="737" t="str">
        <f t="shared" si="385"/>
        <v>FOUND product plus housekeeping</v>
      </c>
      <c r="M1668" s="737" t="str">
        <f>MIN($Q$18,$Q$10*60)-IF(D1668=1,$Q$17/'Data DownlinkStorage Budget'!$M$3,0)</f>
        <v>#VALUE!</v>
      </c>
      <c r="N1668" s="182"/>
      <c r="O1668" s="737" t="str">
        <f t="shared" si="389"/>
        <v>#VALUE!</v>
      </c>
      <c r="P1668" s="11"/>
      <c r="Q1668" s="11"/>
      <c r="R1668" s="11"/>
      <c r="S1668" s="11"/>
      <c r="T1668" s="11"/>
      <c r="U1668" s="11"/>
      <c r="V1668" s="11"/>
      <c r="W1668" s="11"/>
      <c r="X1668" s="11"/>
      <c r="Y1668" s="11"/>
      <c r="Z1668" s="11"/>
      <c r="AA1668" s="11"/>
    </row>
    <row r="1669" ht="15.75" customHeight="1">
      <c r="A1669" s="737">
        <f t="shared" si="387"/>
        <v>0</v>
      </c>
      <c r="B1669" s="737">
        <f>A1669/'Orbit Info'!$G$10</f>
        <v>0</v>
      </c>
      <c r="C1669" s="737" t="str">
        <f t="shared" si="380"/>
        <v>Housekeeping and events only</v>
      </c>
      <c r="D1669" s="737">
        <f t="shared" si="381"/>
        <v>1</v>
      </c>
      <c r="E1669" s="737" t="str">
        <f t="shared" si="382"/>
        <v>#VALUE!</v>
      </c>
      <c r="F1669" s="737">
        <v>1.0</v>
      </c>
      <c r="G1669" s="737" t="str">
        <f t="shared" si="383"/>
        <v>#VALUE!</v>
      </c>
      <c r="H1669" s="737" t="str">
        <f>MIN($Q$11/('Orbit Info'!G$10),$Q$8*60)</f>
        <v>#VALUE!</v>
      </c>
      <c r="I1669" s="737" t="str">
        <f>IF(D1669=1,$Q$12/'Data DownlinkStorage Budget'!$M$3,0)</f>
        <v>#VALUE!</v>
      </c>
      <c r="J1669" s="737" t="str">
        <f t="shared" si="388"/>
        <v>#VALUE!</v>
      </c>
      <c r="K1669" s="11"/>
      <c r="L1669" s="737" t="str">
        <f t="shared" si="385"/>
        <v>FOUND product plus housekeeping</v>
      </c>
      <c r="M1669" s="737" t="str">
        <f>MIN($Q$18,$Q$10*60)-IF(D1669=1,$Q$17/'Data DownlinkStorage Budget'!$M$3,0)</f>
        <v>#VALUE!</v>
      </c>
      <c r="N1669" s="182"/>
      <c r="O1669" s="737" t="str">
        <f t="shared" si="389"/>
        <v>#VALUE!</v>
      </c>
      <c r="P1669" s="11"/>
      <c r="Q1669" s="11"/>
      <c r="R1669" s="11"/>
      <c r="S1669" s="11"/>
      <c r="T1669" s="11"/>
      <c r="U1669" s="11"/>
      <c r="V1669" s="11"/>
      <c r="W1669" s="11"/>
      <c r="X1669" s="11"/>
      <c r="Y1669" s="11"/>
      <c r="Z1669" s="11"/>
      <c r="AA1669" s="11"/>
    </row>
    <row r="1670" ht="15.75" customHeight="1">
      <c r="A1670" s="737">
        <f t="shared" si="387"/>
        <v>0</v>
      </c>
      <c r="B1670" s="737">
        <f>A1670/'Orbit Info'!$G$10</f>
        <v>0</v>
      </c>
      <c r="C1670" s="737" t="str">
        <f t="shared" si="380"/>
        <v>Housekeeping and events only</v>
      </c>
      <c r="D1670" s="737">
        <f t="shared" si="381"/>
        <v>1</v>
      </c>
      <c r="E1670" s="737" t="str">
        <f t="shared" si="382"/>
        <v>#VALUE!</v>
      </c>
      <c r="F1670" s="737">
        <v>1.0</v>
      </c>
      <c r="G1670" s="737" t="str">
        <f t="shared" si="383"/>
        <v>#VALUE!</v>
      </c>
      <c r="H1670" s="737" t="str">
        <f>MIN($Q$11/('Orbit Info'!G$10),$Q$8*60)</f>
        <v>#VALUE!</v>
      </c>
      <c r="I1670" s="737" t="str">
        <f>IF(D1670=1,$Q$12/'Data DownlinkStorage Budget'!$M$3,0)</f>
        <v>#VALUE!</v>
      </c>
      <c r="J1670" s="737" t="str">
        <f t="shared" si="388"/>
        <v>#VALUE!</v>
      </c>
      <c r="K1670" s="11"/>
      <c r="L1670" s="737" t="str">
        <f t="shared" si="385"/>
        <v>FOUND product plus housekeeping</v>
      </c>
      <c r="M1670" s="737" t="str">
        <f>MIN($Q$18,$Q$10*60)-IF(D1670=1,$Q$17/'Data DownlinkStorage Budget'!$M$3,0)</f>
        <v>#VALUE!</v>
      </c>
      <c r="N1670" s="182"/>
      <c r="O1670" s="737" t="str">
        <f t="shared" si="389"/>
        <v>#VALUE!</v>
      </c>
      <c r="P1670" s="11"/>
      <c r="Q1670" s="11"/>
      <c r="R1670" s="11"/>
      <c r="S1670" s="11"/>
      <c r="T1670" s="11"/>
      <c r="U1670" s="11"/>
      <c r="V1670" s="11"/>
      <c r="W1670" s="11"/>
      <c r="X1670" s="11"/>
      <c r="Y1670" s="11"/>
      <c r="Z1670" s="11"/>
      <c r="AA1670" s="11"/>
    </row>
    <row r="1671" ht="15.75" customHeight="1">
      <c r="A1671" s="737">
        <f t="shared" si="387"/>
        <v>0</v>
      </c>
      <c r="B1671" s="737">
        <f>A1671/'Orbit Info'!$G$10</f>
        <v>0</v>
      </c>
      <c r="C1671" s="737" t="str">
        <f t="shared" si="380"/>
        <v>Housekeeping and events only</v>
      </c>
      <c r="D1671" s="737">
        <f t="shared" si="381"/>
        <v>1</v>
      </c>
      <c r="E1671" s="737" t="str">
        <f t="shared" si="382"/>
        <v>#VALUE!</v>
      </c>
      <c r="F1671" s="737">
        <v>1.0</v>
      </c>
      <c r="G1671" s="737" t="str">
        <f t="shared" si="383"/>
        <v>#VALUE!</v>
      </c>
      <c r="H1671" s="737" t="str">
        <f>MIN($Q$11/('Orbit Info'!G$10),$Q$8*60)</f>
        <v>#VALUE!</v>
      </c>
      <c r="I1671" s="737" t="str">
        <f>IF(D1671=1,$Q$12/'Data DownlinkStorage Budget'!$M$3,0)</f>
        <v>#VALUE!</v>
      </c>
      <c r="J1671" s="737" t="str">
        <f t="shared" si="388"/>
        <v>#VALUE!</v>
      </c>
      <c r="K1671" s="11"/>
      <c r="L1671" s="737" t="str">
        <f t="shared" si="385"/>
        <v>FOUND product plus housekeeping</v>
      </c>
      <c r="M1671" s="737" t="str">
        <f>MIN($Q$18,$Q$10*60)-IF(D1671=1,$Q$17/'Data DownlinkStorage Budget'!$M$3,0)</f>
        <v>#VALUE!</v>
      </c>
      <c r="N1671" s="182"/>
      <c r="O1671" s="737" t="str">
        <f t="shared" si="389"/>
        <v>#VALUE!</v>
      </c>
      <c r="P1671" s="11"/>
      <c r="Q1671" s="11"/>
      <c r="R1671" s="11"/>
      <c r="S1671" s="11"/>
      <c r="T1671" s="11"/>
      <c r="U1671" s="11"/>
      <c r="V1671" s="11"/>
      <c r="W1671" s="11"/>
      <c r="X1671" s="11"/>
      <c r="Y1671" s="11"/>
      <c r="Z1671" s="11"/>
      <c r="AA1671" s="11"/>
    </row>
    <row r="1672" ht="15.75" customHeight="1">
      <c r="A1672" s="737">
        <f t="shared" si="387"/>
        <v>0</v>
      </c>
      <c r="B1672" s="737">
        <f>A1672/'Orbit Info'!$G$10</f>
        <v>0</v>
      </c>
      <c r="C1672" s="737" t="str">
        <f t="shared" si="380"/>
        <v>Housekeeping and events only</v>
      </c>
      <c r="D1672" s="737">
        <f t="shared" si="381"/>
        <v>1</v>
      </c>
      <c r="E1672" s="737" t="str">
        <f t="shared" si="382"/>
        <v>#VALUE!</v>
      </c>
      <c r="F1672" s="737">
        <v>1.0</v>
      </c>
      <c r="G1672" s="737" t="str">
        <f t="shared" si="383"/>
        <v>#VALUE!</v>
      </c>
      <c r="H1672" s="737" t="str">
        <f>MIN($Q$11/('Orbit Info'!G$10),$Q$8*60)</f>
        <v>#VALUE!</v>
      </c>
      <c r="I1672" s="737" t="str">
        <f>IF(D1672=1,$Q$12/'Data DownlinkStorage Budget'!$M$3,0)</f>
        <v>#VALUE!</v>
      </c>
      <c r="J1672" s="737" t="str">
        <f t="shared" si="388"/>
        <v>#VALUE!</v>
      </c>
      <c r="K1672" s="11"/>
      <c r="L1672" s="737" t="str">
        <f t="shared" si="385"/>
        <v>FOUND product plus housekeeping</v>
      </c>
      <c r="M1672" s="737" t="str">
        <f>MIN($Q$18,$Q$10*60)-IF(D1672=1,$Q$17/'Data DownlinkStorage Budget'!$M$3,0)</f>
        <v>#VALUE!</v>
      </c>
      <c r="N1672" s="182"/>
      <c r="O1672" s="737" t="str">
        <f t="shared" si="389"/>
        <v>#VALUE!</v>
      </c>
      <c r="P1672" s="11"/>
      <c r="Q1672" s="11"/>
      <c r="R1672" s="11"/>
      <c r="S1672" s="11"/>
      <c r="T1672" s="11"/>
      <c r="U1672" s="11"/>
      <c r="V1672" s="11"/>
      <c r="W1672" s="11"/>
      <c r="X1672" s="11"/>
      <c r="Y1672" s="11"/>
      <c r="Z1672" s="11"/>
      <c r="AA1672" s="11"/>
    </row>
    <row r="1673" ht="15.75" customHeight="1">
      <c r="A1673" s="737">
        <f t="shared" si="387"/>
        <v>0</v>
      </c>
      <c r="B1673" s="737">
        <f>A1673/'Orbit Info'!$G$10</f>
        <v>0</v>
      </c>
      <c r="C1673" s="737" t="str">
        <f t="shared" si="380"/>
        <v>Housekeeping and events only</v>
      </c>
      <c r="D1673" s="737">
        <f t="shared" si="381"/>
        <v>1</v>
      </c>
      <c r="E1673" s="737" t="str">
        <f t="shared" si="382"/>
        <v>#VALUE!</v>
      </c>
      <c r="F1673" s="737">
        <v>1.0</v>
      </c>
      <c r="G1673" s="737" t="str">
        <f t="shared" si="383"/>
        <v>#VALUE!</v>
      </c>
      <c r="H1673" s="737" t="str">
        <f>MIN($Q$11/('Orbit Info'!G$10),$Q$8*60)</f>
        <v>#VALUE!</v>
      </c>
      <c r="I1673" s="737" t="str">
        <f>IF(D1673=1,$Q$12/'Data DownlinkStorage Budget'!$M$3,0)</f>
        <v>#VALUE!</v>
      </c>
      <c r="J1673" s="737" t="str">
        <f t="shared" si="388"/>
        <v>#VALUE!</v>
      </c>
      <c r="K1673" s="11"/>
      <c r="L1673" s="737" t="str">
        <f t="shared" si="385"/>
        <v>FOUND product plus housekeeping</v>
      </c>
      <c r="M1673" s="737" t="str">
        <f>MIN($Q$18,$Q$10*60)-IF(D1673=1,$Q$17/'Data DownlinkStorage Budget'!$M$3,0)</f>
        <v>#VALUE!</v>
      </c>
      <c r="N1673" s="182"/>
      <c r="O1673" s="737" t="str">
        <f t="shared" si="389"/>
        <v>#VALUE!</v>
      </c>
      <c r="P1673" s="11"/>
      <c r="Q1673" s="11"/>
      <c r="R1673" s="11"/>
      <c r="S1673" s="11"/>
      <c r="T1673" s="11"/>
      <c r="U1673" s="11"/>
      <c r="V1673" s="11"/>
      <c r="W1673" s="11"/>
      <c r="X1673" s="11"/>
      <c r="Y1673" s="11"/>
      <c r="Z1673" s="11"/>
      <c r="AA1673" s="11"/>
    </row>
    <row r="1674" ht="15.75" customHeight="1">
      <c r="A1674" s="737">
        <f t="shared" si="387"/>
        <v>0</v>
      </c>
      <c r="B1674" s="737">
        <f>A1674/'Orbit Info'!$G$10</f>
        <v>0</v>
      </c>
      <c r="C1674" s="737" t="str">
        <f t="shared" si="380"/>
        <v>Housekeeping and events only</v>
      </c>
      <c r="D1674" s="737">
        <f t="shared" si="381"/>
        <v>1</v>
      </c>
      <c r="E1674" s="737" t="str">
        <f t="shared" si="382"/>
        <v>#VALUE!</v>
      </c>
      <c r="F1674" s="737">
        <v>1.0</v>
      </c>
      <c r="G1674" s="737" t="str">
        <f t="shared" si="383"/>
        <v>#VALUE!</v>
      </c>
      <c r="H1674" s="737" t="str">
        <f>MIN($Q$11/('Orbit Info'!G$10),$Q$8*60)</f>
        <v>#VALUE!</v>
      </c>
      <c r="I1674" s="737" t="str">
        <f>IF(D1674=1,$Q$12/'Data DownlinkStorage Budget'!$M$3,0)</f>
        <v>#VALUE!</v>
      </c>
      <c r="J1674" s="737" t="str">
        <f t="shared" si="388"/>
        <v>#VALUE!</v>
      </c>
      <c r="K1674" s="11"/>
      <c r="L1674" s="737" t="str">
        <f t="shared" si="385"/>
        <v>FOUND product plus housekeeping</v>
      </c>
      <c r="M1674" s="737" t="str">
        <f>MIN($Q$18,$Q$10*60)-IF(D1674=1,$Q$17/'Data DownlinkStorage Budget'!$M$3,0)</f>
        <v>#VALUE!</v>
      </c>
      <c r="N1674" s="182"/>
      <c r="O1674" s="737" t="str">
        <f t="shared" si="389"/>
        <v>#VALUE!</v>
      </c>
      <c r="P1674" s="11"/>
      <c r="Q1674" s="11"/>
      <c r="R1674" s="11"/>
      <c r="S1674" s="11"/>
      <c r="T1674" s="11"/>
      <c r="U1674" s="11"/>
      <c r="V1674" s="11"/>
      <c r="W1674" s="11"/>
      <c r="X1674" s="11"/>
      <c r="Y1674" s="11"/>
      <c r="Z1674" s="11"/>
      <c r="AA1674" s="11"/>
    </row>
    <row r="1675" ht="15.75" customHeight="1">
      <c r="A1675" s="737">
        <f t="shared" si="387"/>
        <v>0</v>
      </c>
      <c r="B1675" s="737">
        <f>A1675/'Orbit Info'!$G$10</f>
        <v>0</v>
      </c>
      <c r="C1675" s="737" t="str">
        <f t="shared" si="380"/>
        <v>Housekeeping and events only</v>
      </c>
      <c r="D1675" s="737">
        <f t="shared" si="381"/>
        <v>1</v>
      </c>
      <c r="E1675" s="737" t="str">
        <f t="shared" si="382"/>
        <v>#VALUE!</v>
      </c>
      <c r="F1675" s="737">
        <v>1.0</v>
      </c>
      <c r="G1675" s="737" t="str">
        <f t="shared" si="383"/>
        <v>#VALUE!</v>
      </c>
      <c r="H1675" s="737" t="str">
        <f>MIN($Q$11/('Orbit Info'!G$10),$Q$8*60)</f>
        <v>#VALUE!</v>
      </c>
      <c r="I1675" s="737" t="str">
        <f>IF(D1675=1,$Q$12/'Data DownlinkStorage Budget'!$M$3,0)</f>
        <v>#VALUE!</v>
      </c>
      <c r="J1675" s="737" t="str">
        <f t="shared" si="388"/>
        <v>#VALUE!</v>
      </c>
      <c r="K1675" s="11"/>
      <c r="L1675" s="737" t="str">
        <f t="shared" si="385"/>
        <v>FOUND product plus housekeeping</v>
      </c>
      <c r="M1675" s="737" t="str">
        <f>MIN($Q$18,$Q$10*60)-IF(D1675=1,$Q$17/'Data DownlinkStorage Budget'!$M$3,0)</f>
        <v>#VALUE!</v>
      </c>
      <c r="N1675" s="182"/>
      <c r="O1675" s="737" t="str">
        <f t="shared" si="389"/>
        <v>#VALUE!</v>
      </c>
      <c r="P1675" s="11"/>
      <c r="Q1675" s="11"/>
      <c r="R1675" s="11"/>
      <c r="S1675" s="11"/>
      <c r="T1675" s="11"/>
      <c r="U1675" s="11"/>
      <c r="V1675" s="11"/>
      <c r="W1675" s="11"/>
      <c r="X1675" s="11"/>
      <c r="Y1675" s="11"/>
      <c r="Z1675" s="11"/>
      <c r="AA1675" s="11"/>
    </row>
    <row r="1676" ht="15.75" customHeight="1">
      <c r="A1676" s="737">
        <f t="shared" si="387"/>
        <v>0</v>
      </c>
      <c r="B1676" s="737">
        <f>A1676/'Orbit Info'!$G$10</f>
        <v>0</v>
      </c>
      <c r="C1676" s="737" t="str">
        <f t="shared" si="380"/>
        <v>Housekeeping and events only</v>
      </c>
      <c r="D1676" s="737">
        <f t="shared" si="381"/>
        <v>1</v>
      </c>
      <c r="E1676" s="737" t="str">
        <f t="shared" si="382"/>
        <v>#VALUE!</v>
      </c>
      <c r="F1676" s="737">
        <v>1.0</v>
      </c>
      <c r="G1676" s="737" t="str">
        <f t="shared" si="383"/>
        <v>#VALUE!</v>
      </c>
      <c r="H1676" s="737" t="str">
        <f>MIN($Q$11/('Orbit Info'!G$10),$Q$8*60)</f>
        <v>#VALUE!</v>
      </c>
      <c r="I1676" s="737" t="str">
        <f>IF(D1676=1,$Q$12/'Data DownlinkStorage Budget'!$M$3,0)</f>
        <v>#VALUE!</v>
      </c>
      <c r="J1676" s="737" t="str">
        <f t="shared" si="388"/>
        <v>#VALUE!</v>
      </c>
      <c r="K1676" s="11"/>
      <c r="L1676" s="737" t="str">
        <f t="shared" si="385"/>
        <v>FOUND product plus housekeeping</v>
      </c>
      <c r="M1676" s="737" t="str">
        <f>MIN($Q$18,$Q$10*60)-IF(D1676=1,$Q$17/'Data DownlinkStorage Budget'!$M$3,0)</f>
        <v>#VALUE!</v>
      </c>
      <c r="N1676" s="182"/>
      <c r="O1676" s="737" t="str">
        <f t="shared" si="389"/>
        <v>#VALUE!</v>
      </c>
      <c r="P1676" s="11"/>
      <c r="Q1676" s="11"/>
      <c r="R1676" s="11"/>
      <c r="S1676" s="11"/>
      <c r="T1676" s="11"/>
      <c r="U1676" s="11"/>
      <c r="V1676" s="11"/>
      <c r="W1676" s="11"/>
      <c r="X1676" s="11"/>
      <c r="Y1676" s="11"/>
      <c r="Z1676" s="11"/>
      <c r="AA1676" s="11"/>
    </row>
    <row r="1677" ht="15.75" customHeight="1">
      <c r="A1677" s="737">
        <f t="shared" si="387"/>
        <v>0</v>
      </c>
      <c r="B1677" s="737">
        <f>A1677/'Orbit Info'!$G$10</f>
        <v>0</v>
      </c>
      <c r="C1677" s="737" t="str">
        <f t="shared" si="380"/>
        <v>Housekeeping and events only</v>
      </c>
      <c r="D1677" s="737">
        <f t="shared" si="381"/>
        <v>1</v>
      </c>
      <c r="E1677" s="737" t="str">
        <f t="shared" si="382"/>
        <v>#VALUE!</v>
      </c>
      <c r="F1677" s="737">
        <v>1.0</v>
      </c>
      <c r="G1677" s="737" t="str">
        <f t="shared" si="383"/>
        <v>#VALUE!</v>
      </c>
      <c r="H1677" s="737" t="str">
        <f>MIN($Q$11/('Orbit Info'!G$10),$Q$8*60)</f>
        <v>#VALUE!</v>
      </c>
      <c r="I1677" s="737" t="str">
        <f>IF(D1677=1,$Q$12/'Data DownlinkStorage Budget'!$M$3,0)</f>
        <v>#VALUE!</v>
      </c>
      <c r="J1677" s="737" t="str">
        <f t="shared" si="388"/>
        <v>#VALUE!</v>
      </c>
      <c r="K1677" s="11"/>
      <c r="L1677" s="737" t="str">
        <f t="shared" si="385"/>
        <v>FOUND product plus housekeeping</v>
      </c>
      <c r="M1677" s="737" t="str">
        <f>MIN($Q$18,$Q$10*60)-IF(D1677=1,$Q$17/'Data DownlinkStorage Budget'!$M$3,0)</f>
        <v>#VALUE!</v>
      </c>
      <c r="N1677" s="182"/>
      <c r="O1677" s="737" t="str">
        <f t="shared" si="389"/>
        <v>#VALUE!</v>
      </c>
      <c r="P1677" s="11"/>
      <c r="Q1677" s="11"/>
      <c r="R1677" s="11"/>
      <c r="S1677" s="11"/>
      <c r="T1677" s="11"/>
      <c r="U1677" s="11"/>
      <c r="V1677" s="11"/>
      <c r="W1677" s="11"/>
      <c r="X1677" s="11"/>
      <c r="Y1677" s="11"/>
      <c r="Z1677" s="11"/>
      <c r="AA1677" s="11"/>
    </row>
    <row r="1678" ht="15.75" customHeight="1">
      <c r="A1678" s="737">
        <f t="shared" si="387"/>
        <v>0</v>
      </c>
      <c r="B1678" s="737">
        <f>A1678/'Orbit Info'!$G$10</f>
        <v>0</v>
      </c>
      <c r="C1678" s="737" t="str">
        <f t="shared" si="380"/>
        <v>Housekeeping and events only</v>
      </c>
      <c r="D1678" s="737">
        <f t="shared" si="381"/>
        <v>1</v>
      </c>
      <c r="E1678" s="737" t="str">
        <f t="shared" si="382"/>
        <v>#VALUE!</v>
      </c>
      <c r="F1678" s="737">
        <v>1.0</v>
      </c>
      <c r="G1678" s="737" t="str">
        <f t="shared" si="383"/>
        <v>#VALUE!</v>
      </c>
      <c r="H1678" s="737" t="str">
        <f>MIN($Q$11/('Orbit Info'!G$10),$Q$8*60)</f>
        <v>#VALUE!</v>
      </c>
      <c r="I1678" s="737" t="str">
        <f>IF(D1678=1,$Q$12/'Data DownlinkStorage Budget'!$M$3,0)</f>
        <v>#VALUE!</v>
      </c>
      <c r="J1678" s="737" t="str">
        <f t="shared" si="388"/>
        <v>#VALUE!</v>
      </c>
      <c r="K1678" s="11"/>
      <c r="L1678" s="737" t="str">
        <f t="shared" si="385"/>
        <v>FOUND product plus housekeeping</v>
      </c>
      <c r="M1678" s="737" t="str">
        <f>MIN($Q$18,$Q$10*60)-IF(D1678=1,$Q$17/'Data DownlinkStorage Budget'!$M$3,0)</f>
        <v>#VALUE!</v>
      </c>
      <c r="N1678" s="182"/>
      <c r="O1678" s="737" t="str">
        <f t="shared" si="389"/>
        <v>#VALUE!</v>
      </c>
      <c r="P1678" s="11"/>
      <c r="Q1678" s="11"/>
      <c r="R1678" s="11"/>
      <c r="S1678" s="11"/>
      <c r="T1678" s="11"/>
      <c r="U1678" s="11"/>
      <c r="V1678" s="11"/>
      <c r="W1678" s="11"/>
      <c r="X1678" s="11"/>
      <c r="Y1678" s="11"/>
      <c r="Z1678" s="11"/>
      <c r="AA1678" s="11"/>
    </row>
    <row r="1679" ht="15.75" customHeight="1">
      <c r="A1679" s="737">
        <f t="shared" si="387"/>
        <v>0</v>
      </c>
      <c r="B1679" s="737">
        <f>A1679/'Orbit Info'!$G$10</f>
        <v>0</v>
      </c>
      <c r="C1679" s="737" t="str">
        <f t="shared" si="380"/>
        <v>Housekeeping and events only</v>
      </c>
      <c r="D1679" s="737">
        <f t="shared" si="381"/>
        <v>1</v>
      </c>
      <c r="E1679" s="737" t="str">
        <f t="shared" si="382"/>
        <v>#VALUE!</v>
      </c>
      <c r="F1679" s="737">
        <v>1.0</v>
      </c>
      <c r="G1679" s="737" t="str">
        <f t="shared" si="383"/>
        <v>#VALUE!</v>
      </c>
      <c r="H1679" s="737" t="str">
        <f>MIN($Q$11/('Orbit Info'!G$10),$Q$8*60)</f>
        <v>#VALUE!</v>
      </c>
      <c r="I1679" s="737" t="str">
        <f>IF(D1679=1,$Q$12/'Data DownlinkStorage Budget'!$M$3,0)</f>
        <v>#VALUE!</v>
      </c>
      <c r="J1679" s="737" t="str">
        <f t="shared" si="388"/>
        <v>#VALUE!</v>
      </c>
      <c r="K1679" s="11"/>
      <c r="L1679" s="737" t="str">
        <f t="shared" si="385"/>
        <v>FOUND product plus housekeeping</v>
      </c>
      <c r="M1679" s="737" t="str">
        <f>MIN($Q$18,$Q$10*60)-IF(D1679=1,$Q$17/'Data DownlinkStorage Budget'!$M$3,0)</f>
        <v>#VALUE!</v>
      </c>
      <c r="N1679" s="182"/>
      <c r="O1679" s="737" t="str">
        <f t="shared" si="389"/>
        <v>#VALUE!</v>
      </c>
      <c r="P1679" s="11"/>
      <c r="Q1679" s="11"/>
      <c r="R1679" s="11"/>
      <c r="S1679" s="11"/>
      <c r="T1679" s="11"/>
      <c r="U1679" s="11"/>
      <c r="V1679" s="11"/>
      <c r="W1679" s="11"/>
      <c r="X1679" s="11"/>
      <c r="Y1679" s="11"/>
      <c r="Z1679" s="11"/>
      <c r="AA1679" s="11"/>
    </row>
    <row r="1680" ht="15.75" customHeight="1">
      <c r="A1680" s="737">
        <f t="shared" si="387"/>
        <v>0</v>
      </c>
      <c r="B1680" s="737">
        <f>A1680/'Orbit Info'!$G$10</f>
        <v>0</v>
      </c>
      <c r="C1680" s="737" t="str">
        <f t="shared" si="380"/>
        <v>Housekeeping and events only</v>
      </c>
      <c r="D1680" s="737">
        <f t="shared" si="381"/>
        <v>1</v>
      </c>
      <c r="E1680" s="737" t="str">
        <f t="shared" si="382"/>
        <v>#VALUE!</v>
      </c>
      <c r="F1680" s="737">
        <v>1.0</v>
      </c>
      <c r="G1680" s="737" t="str">
        <f t="shared" si="383"/>
        <v>#VALUE!</v>
      </c>
      <c r="H1680" s="737" t="str">
        <f>MIN($Q$11/('Orbit Info'!G$10),$Q$8*60)</f>
        <v>#VALUE!</v>
      </c>
      <c r="I1680" s="737" t="str">
        <f>IF(D1680=1,$Q$12/'Data DownlinkStorage Budget'!$M$3,0)</f>
        <v>#VALUE!</v>
      </c>
      <c r="J1680" s="737" t="str">
        <f t="shared" si="388"/>
        <v>#VALUE!</v>
      </c>
      <c r="K1680" s="11"/>
      <c r="L1680" s="737" t="str">
        <f t="shared" si="385"/>
        <v>FOUND product plus housekeeping</v>
      </c>
      <c r="M1680" s="737" t="str">
        <f>MIN($Q$18,$Q$10*60)-IF(D1680=1,$Q$17/'Data DownlinkStorage Budget'!$M$3,0)</f>
        <v>#VALUE!</v>
      </c>
      <c r="N1680" s="182"/>
      <c r="O1680" s="737" t="str">
        <f t="shared" si="389"/>
        <v>#VALUE!</v>
      </c>
      <c r="P1680" s="11"/>
      <c r="Q1680" s="11"/>
      <c r="R1680" s="11"/>
      <c r="S1680" s="11"/>
      <c r="T1680" s="11"/>
      <c r="U1680" s="11"/>
      <c r="V1680" s="11"/>
      <c r="W1680" s="11"/>
      <c r="X1680" s="11"/>
      <c r="Y1680" s="11"/>
      <c r="Z1680" s="11"/>
      <c r="AA1680" s="11"/>
    </row>
    <row r="1681" ht="15.75" customHeight="1">
      <c r="A1681" s="737">
        <f t="shared" si="387"/>
        <v>0</v>
      </c>
      <c r="B1681" s="737">
        <f>A1681/'Orbit Info'!$G$10</f>
        <v>0</v>
      </c>
      <c r="C1681" s="737" t="str">
        <f t="shared" si="380"/>
        <v>Housekeeping and events only</v>
      </c>
      <c r="D1681" s="737">
        <f t="shared" si="381"/>
        <v>1</v>
      </c>
      <c r="E1681" s="737" t="str">
        <f t="shared" si="382"/>
        <v>#VALUE!</v>
      </c>
      <c r="F1681" s="737">
        <v>1.0</v>
      </c>
      <c r="G1681" s="737" t="str">
        <f t="shared" si="383"/>
        <v>#VALUE!</v>
      </c>
      <c r="H1681" s="737" t="str">
        <f>MIN($Q$11/('Orbit Info'!G$10),$Q$8*60)</f>
        <v>#VALUE!</v>
      </c>
      <c r="I1681" s="737" t="str">
        <f>IF(D1681=1,$Q$12/'Data DownlinkStorage Budget'!$M$3,0)</f>
        <v>#VALUE!</v>
      </c>
      <c r="J1681" s="737" t="str">
        <f t="shared" si="388"/>
        <v>#VALUE!</v>
      </c>
      <c r="K1681" s="11"/>
      <c r="L1681" s="737" t="str">
        <f t="shared" si="385"/>
        <v>FOUND product plus housekeeping</v>
      </c>
      <c r="M1681" s="737" t="str">
        <f>MIN($Q$18,$Q$10*60)-IF(D1681=1,$Q$17/'Data DownlinkStorage Budget'!$M$3,0)</f>
        <v>#VALUE!</v>
      </c>
      <c r="N1681" s="182"/>
      <c r="O1681" s="737" t="str">
        <f t="shared" si="389"/>
        <v>#VALUE!</v>
      </c>
      <c r="P1681" s="11"/>
      <c r="Q1681" s="11"/>
      <c r="R1681" s="11"/>
      <c r="S1681" s="11"/>
      <c r="T1681" s="11"/>
      <c r="U1681" s="11"/>
      <c r="V1681" s="11"/>
      <c r="W1681" s="11"/>
      <c r="X1681" s="11"/>
      <c r="Y1681" s="11"/>
      <c r="Z1681" s="11"/>
      <c r="AA1681" s="11"/>
    </row>
    <row r="1682" ht="15.75" customHeight="1">
      <c r="A1682" s="737">
        <f t="shared" si="387"/>
        <v>0</v>
      </c>
      <c r="B1682" s="737">
        <f>A1682/'Orbit Info'!$G$10</f>
        <v>0</v>
      </c>
      <c r="C1682" s="737" t="str">
        <f t="shared" si="380"/>
        <v>Housekeeping and events only</v>
      </c>
      <c r="D1682" s="737">
        <f t="shared" si="381"/>
        <v>1</v>
      </c>
      <c r="E1682" s="737" t="str">
        <f t="shared" si="382"/>
        <v>#VALUE!</v>
      </c>
      <c r="F1682" s="737">
        <v>1.0</v>
      </c>
      <c r="G1682" s="737" t="str">
        <f t="shared" si="383"/>
        <v>#VALUE!</v>
      </c>
      <c r="H1682" s="737" t="str">
        <f>MIN($Q$11/('Orbit Info'!G$10),$Q$8*60)</f>
        <v>#VALUE!</v>
      </c>
      <c r="I1682" s="737" t="str">
        <f>IF(D1682=1,$Q$12/'Data DownlinkStorage Budget'!$M$3,0)</f>
        <v>#VALUE!</v>
      </c>
      <c r="J1682" s="737" t="str">
        <f t="shared" si="388"/>
        <v>#VALUE!</v>
      </c>
      <c r="K1682" s="11"/>
      <c r="L1682" s="737" t="str">
        <f t="shared" si="385"/>
        <v>FOUND product plus housekeeping</v>
      </c>
      <c r="M1682" s="737" t="str">
        <f>MIN($Q$18,$Q$10*60)-IF(D1682=1,$Q$17/'Data DownlinkStorage Budget'!$M$3,0)</f>
        <v>#VALUE!</v>
      </c>
      <c r="N1682" s="182"/>
      <c r="O1682" s="737" t="str">
        <f t="shared" si="389"/>
        <v>#VALUE!</v>
      </c>
      <c r="P1682" s="11"/>
      <c r="Q1682" s="11"/>
      <c r="R1682" s="11"/>
      <c r="S1682" s="11"/>
      <c r="T1682" s="11"/>
      <c r="U1682" s="11"/>
      <c r="V1682" s="11"/>
      <c r="W1682" s="11"/>
      <c r="X1682" s="11"/>
      <c r="Y1682" s="11"/>
      <c r="Z1682" s="11"/>
      <c r="AA1682" s="11"/>
    </row>
    <row r="1683" ht="15.75" customHeight="1">
      <c r="A1683" s="737">
        <f t="shared" si="387"/>
        <v>0</v>
      </c>
      <c r="B1683" s="737">
        <f>A1683/'Orbit Info'!$G$10</f>
        <v>0</v>
      </c>
      <c r="C1683" s="737" t="str">
        <f t="shared" si="380"/>
        <v>Housekeeping and events only</v>
      </c>
      <c r="D1683" s="737">
        <f t="shared" si="381"/>
        <v>1</v>
      </c>
      <c r="E1683" s="737" t="str">
        <f t="shared" si="382"/>
        <v>#VALUE!</v>
      </c>
      <c r="F1683" s="737">
        <v>1.0</v>
      </c>
      <c r="G1683" s="737" t="str">
        <f t="shared" si="383"/>
        <v>#VALUE!</v>
      </c>
      <c r="H1683" s="737" t="str">
        <f>MIN($Q$11/('Orbit Info'!G$10),$Q$8*60)</f>
        <v>#VALUE!</v>
      </c>
      <c r="I1683" s="737" t="str">
        <f>IF(D1683=1,$Q$12/'Data DownlinkStorage Budget'!$M$3,0)</f>
        <v>#VALUE!</v>
      </c>
      <c r="J1683" s="737" t="str">
        <f t="shared" si="388"/>
        <v>#VALUE!</v>
      </c>
      <c r="K1683" s="11"/>
      <c r="L1683" s="737" t="str">
        <f t="shared" si="385"/>
        <v>FOUND product plus housekeeping</v>
      </c>
      <c r="M1683" s="737" t="str">
        <f>MIN($Q$18,$Q$10*60)-IF(D1683=1,$Q$17/'Data DownlinkStorage Budget'!$M$3,0)</f>
        <v>#VALUE!</v>
      </c>
      <c r="N1683" s="182"/>
      <c r="O1683" s="737" t="str">
        <f t="shared" si="389"/>
        <v>#VALUE!</v>
      </c>
      <c r="P1683" s="11"/>
      <c r="Q1683" s="11"/>
      <c r="R1683" s="11"/>
      <c r="S1683" s="11"/>
      <c r="T1683" s="11"/>
      <c r="U1683" s="11"/>
      <c r="V1683" s="11"/>
      <c r="W1683" s="11"/>
      <c r="X1683" s="11"/>
      <c r="Y1683" s="11"/>
      <c r="Z1683" s="11"/>
      <c r="AA1683" s="11"/>
    </row>
    <row r="1684" ht="15.75" customHeight="1">
      <c r="A1684" s="737">
        <f t="shared" si="387"/>
        <v>0</v>
      </c>
      <c r="B1684" s="737">
        <f>A1684/'Orbit Info'!$G$10</f>
        <v>0</v>
      </c>
      <c r="C1684" s="737" t="str">
        <f t="shared" si="380"/>
        <v>Housekeeping and events only</v>
      </c>
      <c r="D1684" s="737">
        <f t="shared" si="381"/>
        <v>1</v>
      </c>
      <c r="E1684" s="737" t="str">
        <f t="shared" si="382"/>
        <v>#VALUE!</v>
      </c>
      <c r="F1684" s="737">
        <v>1.0</v>
      </c>
      <c r="G1684" s="737" t="str">
        <f t="shared" si="383"/>
        <v>#VALUE!</v>
      </c>
      <c r="H1684" s="737" t="str">
        <f>MIN($Q$11/('Orbit Info'!G$10),$Q$8*60)</f>
        <v>#VALUE!</v>
      </c>
      <c r="I1684" s="737" t="str">
        <f>IF(D1684=1,$Q$12/'Data DownlinkStorage Budget'!$M$3,0)</f>
        <v>#VALUE!</v>
      </c>
      <c r="J1684" s="737" t="str">
        <f t="shared" si="388"/>
        <v>#VALUE!</v>
      </c>
      <c r="K1684" s="11"/>
      <c r="L1684" s="737" t="str">
        <f t="shared" si="385"/>
        <v>FOUND product plus housekeeping</v>
      </c>
      <c r="M1684" s="737" t="str">
        <f>MIN($Q$18,$Q$10*60)-IF(D1684=1,$Q$17/'Data DownlinkStorage Budget'!$M$3,0)</f>
        <v>#VALUE!</v>
      </c>
      <c r="N1684" s="182"/>
      <c r="O1684" s="737" t="str">
        <f t="shared" si="389"/>
        <v>#VALUE!</v>
      </c>
      <c r="P1684" s="11"/>
      <c r="Q1684" s="11"/>
      <c r="R1684" s="11"/>
      <c r="S1684" s="11"/>
      <c r="T1684" s="11"/>
      <c r="U1684" s="11"/>
      <c r="V1684" s="11"/>
      <c r="W1684" s="11"/>
      <c r="X1684" s="11"/>
      <c r="Y1684" s="11"/>
      <c r="Z1684" s="11"/>
      <c r="AA1684" s="11"/>
    </row>
    <row r="1685" ht="15.75" customHeight="1">
      <c r="A1685" s="737">
        <f t="shared" si="387"/>
        <v>0</v>
      </c>
      <c r="B1685" s="737">
        <f>A1685/'Orbit Info'!$G$10</f>
        <v>0</v>
      </c>
      <c r="C1685" s="737" t="str">
        <f t="shared" si="380"/>
        <v>Housekeeping and events only</v>
      </c>
      <c r="D1685" s="737">
        <f t="shared" si="381"/>
        <v>1</v>
      </c>
      <c r="E1685" s="737" t="str">
        <f t="shared" si="382"/>
        <v>#VALUE!</v>
      </c>
      <c r="F1685" s="737">
        <v>1.0</v>
      </c>
      <c r="G1685" s="737" t="str">
        <f t="shared" si="383"/>
        <v>#VALUE!</v>
      </c>
      <c r="H1685" s="737" t="str">
        <f>MIN($Q$11/('Orbit Info'!G$10),$Q$8*60)</f>
        <v>#VALUE!</v>
      </c>
      <c r="I1685" s="737" t="str">
        <f>IF(D1685=1,$Q$12/'Data DownlinkStorage Budget'!$M$3,0)</f>
        <v>#VALUE!</v>
      </c>
      <c r="J1685" s="737" t="str">
        <f t="shared" si="388"/>
        <v>#VALUE!</v>
      </c>
      <c r="K1685" s="11"/>
      <c r="L1685" s="737" t="str">
        <f t="shared" si="385"/>
        <v>FOUND product plus housekeeping</v>
      </c>
      <c r="M1685" s="737" t="str">
        <f>MIN($Q$18,$Q$10*60)-IF(D1685=1,$Q$17/'Data DownlinkStorage Budget'!$M$3,0)</f>
        <v>#VALUE!</v>
      </c>
      <c r="N1685" s="182"/>
      <c r="O1685" s="737" t="str">
        <f t="shared" si="389"/>
        <v>#VALUE!</v>
      </c>
      <c r="P1685" s="11"/>
      <c r="Q1685" s="11"/>
      <c r="R1685" s="11"/>
      <c r="S1685" s="11"/>
      <c r="T1685" s="11"/>
      <c r="U1685" s="11"/>
      <c r="V1685" s="11"/>
      <c r="W1685" s="11"/>
      <c r="X1685" s="11"/>
      <c r="Y1685" s="11"/>
      <c r="Z1685" s="11"/>
      <c r="AA1685" s="11"/>
    </row>
    <row r="1686" ht="15.75" customHeight="1">
      <c r="A1686" s="737">
        <f t="shared" si="387"/>
        <v>0</v>
      </c>
      <c r="B1686" s="737">
        <f>A1686/'Orbit Info'!$G$10</f>
        <v>0</v>
      </c>
      <c r="C1686" s="737" t="str">
        <f t="shared" si="380"/>
        <v>Housekeeping and events only</v>
      </c>
      <c r="D1686" s="737">
        <f t="shared" si="381"/>
        <v>1</v>
      </c>
      <c r="E1686" s="737" t="str">
        <f t="shared" si="382"/>
        <v>#VALUE!</v>
      </c>
      <c r="F1686" s="737">
        <v>1.0</v>
      </c>
      <c r="G1686" s="737" t="str">
        <f t="shared" si="383"/>
        <v>#VALUE!</v>
      </c>
      <c r="H1686" s="737" t="str">
        <f>MIN($Q$11/('Orbit Info'!G$10),$Q$8*60)</f>
        <v>#VALUE!</v>
      </c>
      <c r="I1686" s="737" t="str">
        <f>IF(D1686=1,$Q$12/'Data DownlinkStorage Budget'!$M$3,0)</f>
        <v>#VALUE!</v>
      </c>
      <c r="J1686" s="737" t="str">
        <f t="shared" si="388"/>
        <v>#VALUE!</v>
      </c>
      <c r="K1686" s="11"/>
      <c r="L1686" s="737" t="str">
        <f t="shared" si="385"/>
        <v>FOUND product plus housekeeping</v>
      </c>
      <c r="M1686" s="737" t="str">
        <f>MIN($Q$18,$Q$10*60)-IF(D1686=1,$Q$17/'Data DownlinkStorage Budget'!$M$3,0)</f>
        <v>#VALUE!</v>
      </c>
      <c r="N1686" s="182"/>
      <c r="O1686" s="737" t="str">
        <f t="shared" si="389"/>
        <v>#VALUE!</v>
      </c>
      <c r="P1686" s="11"/>
      <c r="Q1686" s="11"/>
      <c r="R1686" s="11"/>
      <c r="S1686" s="11"/>
      <c r="T1686" s="11"/>
      <c r="U1686" s="11"/>
      <c r="V1686" s="11"/>
      <c r="W1686" s="11"/>
      <c r="X1686" s="11"/>
      <c r="Y1686" s="11"/>
      <c r="Z1686" s="11"/>
      <c r="AA1686" s="11"/>
    </row>
    <row r="1687" ht="15.75" customHeight="1">
      <c r="A1687" s="737">
        <f t="shared" si="387"/>
        <v>0</v>
      </c>
      <c r="B1687" s="737">
        <f>A1687/'Orbit Info'!$G$10</f>
        <v>0</v>
      </c>
      <c r="C1687" s="737" t="str">
        <f t="shared" si="380"/>
        <v>Housekeeping and events only</v>
      </c>
      <c r="D1687" s="737">
        <f t="shared" si="381"/>
        <v>1</v>
      </c>
      <c r="E1687" s="737" t="str">
        <f t="shared" si="382"/>
        <v>#VALUE!</v>
      </c>
      <c r="F1687" s="737">
        <v>1.0</v>
      </c>
      <c r="G1687" s="737" t="str">
        <f t="shared" si="383"/>
        <v>#VALUE!</v>
      </c>
      <c r="H1687" s="737" t="str">
        <f>MIN($Q$11/('Orbit Info'!G$10),$Q$8*60)</f>
        <v>#VALUE!</v>
      </c>
      <c r="I1687" s="737" t="str">
        <f>IF(D1687=1,$Q$12/'Data DownlinkStorage Budget'!$M$3,0)</f>
        <v>#VALUE!</v>
      </c>
      <c r="J1687" s="737" t="str">
        <f t="shared" si="388"/>
        <v>#VALUE!</v>
      </c>
      <c r="K1687" s="11"/>
      <c r="L1687" s="737" t="str">
        <f t="shared" si="385"/>
        <v>FOUND product plus housekeeping</v>
      </c>
      <c r="M1687" s="737" t="str">
        <f>MIN($Q$18,$Q$10*60)-IF(D1687=1,$Q$17/'Data DownlinkStorage Budget'!$M$3,0)</f>
        <v>#VALUE!</v>
      </c>
      <c r="N1687" s="182"/>
      <c r="O1687" s="737" t="str">
        <f t="shared" si="389"/>
        <v>#VALUE!</v>
      </c>
      <c r="P1687" s="11"/>
      <c r="Q1687" s="11"/>
      <c r="R1687" s="11"/>
      <c r="S1687" s="11"/>
      <c r="T1687" s="11"/>
      <c r="U1687" s="11"/>
      <c r="V1687" s="11"/>
      <c r="W1687" s="11"/>
      <c r="X1687" s="11"/>
      <c r="Y1687" s="11"/>
      <c r="Z1687" s="11"/>
      <c r="AA1687" s="11"/>
    </row>
    <row r="1688" ht="15.75" customHeight="1">
      <c r="A1688" s="737">
        <f t="shared" si="387"/>
        <v>0</v>
      </c>
      <c r="B1688" s="737">
        <f>A1688/'Orbit Info'!$G$10</f>
        <v>0</v>
      </c>
      <c r="C1688" s="737" t="str">
        <f t="shared" si="380"/>
        <v>Housekeeping and events only</v>
      </c>
      <c r="D1688" s="737">
        <f t="shared" si="381"/>
        <v>1</v>
      </c>
      <c r="E1688" s="737" t="str">
        <f t="shared" si="382"/>
        <v>#VALUE!</v>
      </c>
      <c r="F1688" s="737">
        <v>1.0</v>
      </c>
      <c r="G1688" s="737" t="str">
        <f t="shared" si="383"/>
        <v>#VALUE!</v>
      </c>
      <c r="H1688" s="737" t="str">
        <f>MIN($Q$11/('Orbit Info'!G$10),$Q$8*60)</f>
        <v>#VALUE!</v>
      </c>
      <c r="I1688" s="737" t="str">
        <f>IF(D1688=1,$Q$12/'Data DownlinkStorage Budget'!$M$3,0)</f>
        <v>#VALUE!</v>
      </c>
      <c r="J1688" s="737" t="str">
        <f t="shared" si="388"/>
        <v>#VALUE!</v>
      </c>
      <c r="K1688" s="11"/>
      <c r="L1688" s="737" t="str">
        <f t="shared" si="385"/>
        <v>FOUND product plus housekeeping</v>
      </c>
      <c r="M1688" s="737" t="str">
        <f>MIN($Q$18,$Q$10*60)-IF(D1688=1,$Q$17/'Data DownlinkStorage Budget'!$M$3,0)</f>
        <v>#VALUE!</v>
      </c>
      <c r="N1688" s="182"/>
      <c r="O1688" s="737" t="str">
        <f t="shared" si="389"/>
        <v>#VALUE!</v>
      </c>
      <c r="P1688" s="11"/>
      <c r="Q1688" s="11"/>
      <c r="R1688" s="11"/>
      <c r="S1688" s="11"/>
      <c r="T1688" s="11"/>
      <c r="U1688" s="11"/>
      <c r="V1688" s="11"/>
      <c r="W1688" s="11"/>
      <c r="X1688" s="11"/>
      <c r="Y1688" s="11"/>
      <c r="Z1688" s="11"/>
      <c r="AA1688" s="11"/>
    </row>
    <row r="1689" ht="15.75" customHeight="1">
      <c r="A1689" s="737">
        <f t="shared" si="387"/>
        <v>0</v>
      </c>
      <c r="B1689" s="737">
        <f>A1689/'Orbit Info'!$G$10</f>
        <v>0</v>
      </c>
      <c r="C1689" s="737" t="str">
        <f t="shared" si="380"/>
        <v>Housekeeping and events only</v>
      </c>
      <c r="D1689" s="737">
        <f t="shared" si="381"/>
        <v>1</v>
      </c>
      <c r="E1689" s="737" t="str">
        <f t="shared" si="382"/>
        <v>#VALUE!</v>
      </c>
      <c r="F1689" s="737">
        <v>1.0</v>
      </c>
      <c r="G1689" s="737" t="str">
        <f t="shared" si="383"/>
        <v>#VALUE!</v>
      </c>
      <c r="H1689" s="737" t="str">
        <f>MIN($Q$11/('Orbit Info'!G$10),$Q$8*60)</f>
        <v>#VALUE!</v>
      </c>
      <c r="I1689" s="737" t="str">
        <f>IF(D1689=1,$Q$12/'Data DownlinkStorage Budget'!$M$3,0)</f>
        <v>#VALUE!</v>
      </c>
      <c r="J1689" s="737" t="str">
        <f t="shared" si="388"/>
        <v>#VALUE!</v>
      </c>
      <c r="K1689" s="11"/>
      <c r="L1689" s="737" t="str">
        <f t="shared" si="385"/>
        <v>FOUND product plus housekeeping</v>
      </c>
      <c r="M1689" s="737" t="str">
        <f>MIN($Q$18,$Q$10*60)-IF(D1689=1,$Q$17/'Data DownlinkStorage Budget'!$M$3,0)</f>
        <v>#VALUE!</v>
      </c>
      <c r="N1689" s="182"/>
      <c r="O1689" s="737" t="str">
        <f t="shared" si="389"/>
        <v>#VALUE!</v>
      </c>
      <c r="P1689" s="11"/>
      <c r="Q1689" s="11"/>
      <c r="R1689" s="11"/>
      <c r="S1689" s="11"/>
      <c r="T1689" s="11"/>
      <c r="U1689" s="11"/>
      <c r="V1689" s="11"/>
      <c r="W1689" s="11"/>
      <c r="X1689" s="11"/>
      <c r="Y1689" s="11"/>
      <c r="Z1689" s="11"/>
      <c r="AA1689" s="11"/>
    </row>
    <row r="1690" ht="15.75" customHeight="1">
      <c r="A1690" s="737">
        <f t="shared" si="387"/>
        <v>0</v>
      </c>
      <c r="B1690" s="737">
        <f>A1690/'Orbit Info'!$G$10</f>
        <v>0</v>
      </c>
      <c r="C1690" s="737" t="str">
        <f t="shared" si="380"/>
        <v>Housekeeping and events only</v>
      </c>
      <c r="D1690" s="737">
        <f t="shared" si="381"/>
        <v>1</v>
      </c>
      <c r="E1690" s="737" t="str">
        <f t="shared" si="382"/>
        <v>#VALUE!</v>
      </c>
      <c r="F1690" s="737">
        <v>1.0</v>
      </c>
      <c r="G1690" s="737" t="str">
        <f t="shared" si="383"/>
        <v>#VALUE!</v>
      </c>
      <c r="H1690" s="737" t="str">
        <f>MIN($Q$11/('Orbit Info'!G$10),$Q$8*60)</f>
        <v>#VALUE!</v>
      </c>
      <c r="I1690" s="737" t="str">
        <f>IF(D1690=1,$Q$12/'Data DownlinkStorage Budget'!$M$3,0)</f>
        <v>#VALUE!</v>
      </c>
      <c r="J1690" s="737" t="str">
        <f t="shared" si="388"/>
        <v>#VALUE!</v>
      </c>
      <c r="K1690" s="11"/>
      <c r="L1690" s="737" t="str">
        <f t="shared" si="385"/>
        <v>FOUND product plus housekeeping</v>
      </c>
      <c r="M1690" s="737" t="str">
        <f>MIN($Q$18,$Q$10*60)-IF(D1690=1,$Q$17/'Data DownlinkStorage Budget'!$M$3,0)</f>
        <v>#VALUE!</v>
      </c>
      <c r="N1690" s="182"/>
      <c r="O1690" s="737" t="str">
        <f t="shared" si="389"/>
        <v>#VALUE!</v>
      </c>
      <c r="P1690" s="11"/>
      <c r="Q1690" s="11"/>
      <c r="R1690" s="11"/>
      <c r="S1690" s="11"/>
      <c r="T1690" s="11"/>
      <c r="U1690" s="11"/>
      <c r="V1690" s="11"/>
      <c r="W1690" s="11"/>
      <c r="X1690" s="11"/>
      <c r="Y1690" s="11"/>
      <c r="Z1690" s="11"/>
      <c r="AA1690" s="11"/>
    </row>
    <row r="1691" ht="15.75" customHeight="1">
      <c r="A1691" s="737">
        <f t="shared" si="387"/>
        <v>0</v>
      </c>
      <c r="B1691" s="737">
        <f>A1691/'Orbit Info'!$G$10</f>
        <v>0</v>
      </c>
      <c r="C1691" s="737" t="str">
        <f t="shared" si="380"/>
        <v>Housekeeping and events only</v>
      </c>
      <c r="D1691" s="737">
        <f t="shared" si="381"/>
        <v>1</v>
      </c>
      <c r="E1691" s="737" t="str">
        <f t="shared" si="382"/>
        <v>#VALUE!</v>
      </c>
      <c r="F1691" s="737">
        <v>1.0</v>
      </c>
      <c r="G1691" s="737" t="str">
        <f t="shared" si="383"/>
        <v>#VALUE!</v>
      </c>
      <c r="H1691" s="737" t="str">
        <f>MIN($Q$11/('Orbit Info'!G$10),$Q$8*60)</f>
        <v>#VALUE!</v>
      </c>
      <c r="I1691" s="737" t="str">
        <f>IF(D1691=1,$Q$12/'Data DownlinkStorage Budget'!$M$3,0)</f>
        <v>#VALUE!</v>
      </c>
      <c r="J1691" s="737" t="str">
        <f t="shared" si="388"/>
        <v>#VALUE!</v>
      </c>
      <c r="K1691" s="11"/>
      <c r="L1691" s="737" t="str">
        <f t="shared" si="385"/>
        <v>FOUND product plus housekeeping</v>
      </c>
      <c r="M1691" s="737" t="str">
        <f>MIN($Q$18,$Q$10*60)-IF(D1691=1,$Q$17/'Data DownlinkStorage Budget'!$M$3,0)</f>
        <v>#VALUE!</v>
      </c>
      <c r="N1691" s="182"/>
      <c r="O1691" s="737" t="str">
        <f t="shared" si="389"/>
        <v>#VALUE!</v>
      </c>
      <c r="P1691" s="11"/>
      <c r="Q1691" s="11"/>
      <c r="R1691" s="11"/>
      <c r="S1691" s="11"/>
      <c r="T1691" s="11"/>
      <c r="U1691" s="11"/>
      <c r="V1691" s="11"/>
      <c r="W1691" s="11"/>
      <c r="X1691" s="11"/>
      <c r="Y1691" s="11"/>
      <c r="Z1691" s="11"/>
      <c r="AA1691" s="11"/>
    </row>
    <row r="1692" ht="15.75" customHeight="1">
      <c r="A1692" s="737">
        <f t="shared" si="387"/>
        <v>0</v>
      </c>
      <c r="B1692" s="737">
        <f>A1692/'Orbit Info'!$G$10</f>
        <v>0</v>
      </c>
      <c r="C1692" s="737" t="str">
        <f t="shared" si="380"/>
        <v>Housekeeping and events only</v>
      </c>
      <c r="D1692" s="737">
        <f t="shared" si="381"/>
        <v>1</v>
      </c>
      <c r="E1692" s="737" t="str">
        <f t="shared" si="382"/>
        <v>#VALUE!</v>
      </c>
      <c r="F1692" s="737">
        <v>1.0</v>
      </c>
      <c r="G1692" s="737" t="str">
        <f t="shared" si="383"/>
        <v>#VALUE!</v>
      </c>
      <c r="H1692" s="737" t="str">
        <f>MIN($Q$11/('Orbit Info'!G$10),$Q$8*60)</f>
        <v>#VALUE!</v>
      </c>
      <c r="I1692" s="737" t="str">
        <f>IF(D1692=1,$Q$12/'Data DownlinkStorage Budget'!$M$3,0)</f>
        <v>#VALUE!</v>
      </c>
      <c r="J1692" s="737" t="str">
        <f t="shared" si="388"/>
        <v>#VALUE!</v>
      </c>
      <c r="K1692" s="11"/>
      <c r="L1692" s="737" t="str">
        <f t="shared" si="385"/>
        <v>FOUND product plus housekeeping</v>
      </c>
      <c r="M1692" s="737" t="str">
        <f>MIN($Q$18,$Q$10*60)-IF(D1692=1,$Q$17/'Data DownlinkStorage Budget'!$M$3,0)</f>
        <v>#VALUE!</v>
      </c>
      <c r="N1692" s="182"/>
      <c r="O1692" s="737" t="str">
        <f t="shared" si="389"/>
        <v>#VALUE!</v>
      </c>
      <c r="P1692" s="11"/>
      <c r="Q1692" s="11"/>
      <c r="R1692" s="11"/>
      <c r="S1692" s="11"/>
      <c r="T1692" s="11"/>
      <c r="U1692" s="11"/>
      <c r="V1692" s="11"/>
      <c r="W1692" s="11"/>
      <c r="X1692" s="11"/>
      <c r="Y1692" s="11"/>
      <c r="Z1692" s="11"/>
      <c r="AA1692" s="11"/>
    </row>
    <row r="1693" ht="15.75" customHeight="1">
      <c r="A1693" s="737">
        <f t="shared" si="387"/>
        <v>0</v>
      </c>
      <c r="B1693" s="737">
        <f>A1693/'Orbit Info'!$G$10</f>
        <v>0</v>
      </c>
      <c r="C1693" s="737" t="str">
        <f t="shared" si="380"/>
        <v>Housekeeping and events only</v>
      </c>
      <c r="D1693" s="737">
        <f t="shared" si="381"/>
        <v>1</v>
      </c>
      <c r="E1693" s="737" t="str">
        <f t="shared" si="382"/>
        <v>#VALUE!</v>
      </c>
      <c r="F1693" s="737">
        <v>1.0</v>
      </c>
      <c r="G1693" s="737" t="str">
        <f t="shared" si="383"/>
        <v>#VALUE!</v>
      </c>
      <c r="H1693" s="737" t="str">
        <f>MIN($Q$11/('Orbit Info'!G$10),$Q$8*60)</f>
        <v>#VALUE!</v>
      </c>
      <c r="I1693" s="737" t="str">
        <f>IF(D1693=1,$Q$12/'Data DownlinkStorage Budget'!$M$3,0)</f>
        <v>#VALUE!</v>
      </c>
      <c r="J1693" s="737" t="str">
        <f t="shared" si="388"/>
        <v>#VALUE!</v>
      </c>
      <c r="K1693" s="11"/>
      <c r="L1693" s="737" t="str">
        <f t="shared" si="385"/>
        <v>FOUND product plus housekeeping</v>
      </c>
      <c r="M1693" s="737" t="str">
        <f>MIN($Q$18,$Q$10*60)-IF(D1693=1,$Q$17/'Data DownlinkStorage Budget'!$M$3,0)</f>
        <v>#VALUE!</v>
      </c>
      <c r="N1693" s="182"/>
      <c r="O1693" s="737" t="str">
        <f t="shared" si="389"/>
        <v>#VALUE!</v>
      </c>
      <c r="P1693" s="11"/>
      <c r="Q1693" s="11"/>
      <c r="R1693" s="11"/>
      <c r="S1693" s="11"/>
      <c r="T1693" s="11"/>
      <c r="U1693" s="11"/>
      <c r="V1693" s="11"/>
      <c r="W1693" s="11"/>
      <c r="X1693" s="11"/>
      <c r="Y1693" s="11"/>
      <c r="Z1693" s="11"/>
      <c r="AA1693" s="11"/>
    </row>
    <row r="1694" ht="15.75" customHeight="1">
      <c r="A1694" s="737">
        <f t="shared" si="387"/>
        <v>0</v>
      </c>
      <c r="B1694" s="737">
        <f>A1694/'Orbit Info'!$G$10</f>
        <v>0</v>
      </c>
      <c r="C1694" s="737" t="str">
        <f t="shared" si="380"/>
        <v>Housekeeping and events only</v>
      </c>
      <c r="D1694" s="737">
        <f t="shared" si="381"/>
        <v>1</v>
      </c>
      <c r="E1694" s="737" t="str">
        <f t="shared" si="382"/>
        <v>#VALUE!</v>
      </c>
      <c r="F1694" s="737">
        <v>1.0</v>
      </c>
      <c r="G1694" s="737" t="str">
        <f t="shared" si="383"/>
        <v>#VALUE!</v>
      </c>
      <c r="H1694" s="737" t="str">
        <f>MIN($Q$11/('Orbit Info'!G$10),$Q$8*60)</f>
        <v>#VALUE!</v>
      </c>
      <c r="I1694" s="737" t="str">
        <f>IF(D1694=1,$Q$12/'Data DownlinkStorage Budget'!$M$3,0)</f>
        <v>#VALUE!</v>
      </c>
      <c r="J1694" s="737" t="str">
        <f t="shared" si="388"/>
        <v>#VALUE!</v>
      </c>
      <c r="K1694" s="11"/>
      <c r="L1694" s="737" t="str">
        <f t="shared" si="385"/>
        <v>FOUND product plus housekeeping</v>
      </c>
      <c r="M1694" s="737" t="str">
        <f>MIN($Q$18,$Q$10*60)-IF(D1694=1,$Q$17/'Data DownlinkStorage Budget'!$M$3,0)</f>
        <v>#VALUE!</v>
      </c>
      <c r="N1694" s="182"/>
      <c r="O1694" s="737" t="str">
        <f t="shared" si="389"/>
        <v>#VALUE!</v>
      </c>
      <c r="P1694" s="11"/>
      <c r="Q1694" s="11"/>
      <c r="R1694" s="11"/>
      <c r="S1694" s="11"/>
      <c r="T1694" s="11"/>
      <c r="U1694" s="11"/>
      <c r="V1694" s="11"/>
      <c r="W1694" s="11"/>
      <c r="X1694" s="11"/>
      <c r="Y1694" s="11"/>
      <c r="Z1694" s="11"/>
      <c r="AA1694" s="11"/>
    </row>
    <row r="1695" ht="15.75" customHeight="1">
      <c r="A1695" s="737">
        <f t="shared" si="387"/>
        <v>0</v>
      </c>
      <c r="B1695" s="737">
        <f>A1695/'Orbit Info'!$G$10</f>
        <v>0</v>
      </c>
      <c r="C1695" s="737" t="str">
        <f t="shared" si="380"/>
        <v>Housekeeping and events only</v>
      </c>
      <c r="D1695" s="737">
        <f t="shared" si="381"/>
        <v>1</v>
      </c>
      <c r="E1695" s="737" t="str">
        <f t="shared" si="382"/>
        <v>#VALUE!</v>
      </c>
      <c r="F1695" s="737">
        <v>1.0</v>
      </c>
      <c r="G1695" s="737" t="str">
        <f t="shared" si="383"/>
        <v>#VALUE!</v>
      </c>
      <c r="H1695" s="737" t="str">
        <f>MIN($Q$11/('Orbit Info'!G$10),$Q$8*60)</f>
        <v>#VALUE!</v>
      </c>
      <c r="I1695" s="737" t="str">
        <f>IF(D1695=1,$Q$12/'Data DownlinkStorage Budget'!$M$3,0)</f>
        <v>#VALUE!</v>
      </c>
      <c r="J1695" s="737" t="str">
        <f t="shared" si="388"/>
        <v>#VALUE!</v>
      </c>
      <c r="K1695" s="11"/>
      <c r="L1695" s="737" t="str">
        <f t="shared" si="385"/>
        <v>FOUND product plus housekeeping</v>
      </c>
      <c r="M1695" s="737" t="str">
        <f>MIN($Q$18,$Q$10*60)-IF(D1695=1,$Q$17/'Data DownlinkStorage Budget'!$M$3,0)</f>
        <v>#VALUE!</v>
      </c>
      <c r="N1695" s="182"/>
      <c r="O1695" s="737" t="str">
        <f t="shared" si="389"/>
        <v>#VALUE!</v>
      </c>
      <c r="P1695" s="11"/>
      <c r="Q1695" s="11"/>
      <c r="R1695" s="11"/>
      <c r="S1695" s="11"/>
      <c r="T1695" s="11"/>
      <c r="U1695" s="11"/>
      <c r="V1695" s="11"/>
      <c r="W1695" s="11"/>
      <c r="X1695" s="11"/>
      <c r="Y1695" s="11"/>
      <c r="Z1695" s="11"/>
      <c r="AA1695" s="11"/>
    </row>
    <row r="1696" ht="15.75" customHeight="1">
      <c r="A1696" s="737">
        <f t="shared" si="387"/>
        <v>0</v>
      </c>
      <c r="B1696" s="737">
        <f>A1696/'Orbit Info'!$G$10</f>
        <v>0</v>
      </c>
      <c r="C1696" s="737" t="str">
        <f t="shared" si="380"/>
        <v>Housekeeping and events only</v>
      </c>
      <c r="D1696" s="737">
        <f t="shared" si="381"/>
        <v>1</v>
      </c>
      <c r="E1696" s="737" t="str">
        <f t="shared" si="382"/>
        <v>#VALUE!</v>
      </c>
      <c r="F1696" s="737">
        <v>1.0</v>
      </c>
      <c r="G1696" s="737" t="str">
        <f t="shared" si="383"/>
        <v>#VALUE!</v>
      </c>
      <c r="H1696" s="737" t="str">
        <f>MIN($Q$11/('Orbit Info'!G$10),$Q$8*60)</f>
        <v>#VALUE!</v>
      </c>
      <c r="I1696" s="737" t="str">
        <f>IF(D1696=1,$Q$12/'Data DownlinkStorage Budget'!$M$3,0)</f>
        <v>#VALUE!</v>
      </c>
      <c r="J1696" s="737" t="str">
        <f t="shared" si="388"/>
        <v>#VALUE!</v>
      </c>
      <c r="K1696" s="11"/>
      <c r="L1696" s="737" t="str">
        <f t="shared" si="385"/>
        <v>FOUND product plus housekeeping</v>
      </c>
      <c r="M1696" s="737" t="str">
        <f>MIN($Q$18,$Q$10*60)-IF(D1696=1,$Q$17/'Data DownlinkStorage Budget'!$M$3,0)</f>
        <v>#VALUE!</v>
      </c>
      <c r="N1696" s="182"/>
      <c r="O1696" s="737" t="str">
        <f t="shared" si="389"/>
        <v>#VALUE!</v>
      </c>
      <c r="P1696" s="11"/>
      <c r="Q1696" s="11"/>
      <c r="R1696" s="11"/>
      <c r="S1696" s="11"/>
      <c r="T1696" s="11"/>
      <c r="U1696" s="11"/>
      <c r="V1696" s="11"/>
      <c r="W1696" s="11"/>
      <c r="X1696" s="11"/>
      <c r="Y1696" s="11"/>
      <c r="Z1696" s="11"/>
      <c r="AA1696" s="11"/>
    </row>
    <row r="1697" ht="15.75" customHeight="1">
      <c r="A1697" s="737">
        <f t="shared" si="387"/>
        <v>0</v>
      </c>
      <c r="B1697" s="737">
        <f>A1697/'Orbit Info'!$G$10</f>
        <v>0</v>
      </c>
      <c r="C1697" s="737" t="str">
        <f t="shared" si="380"/>
        <v>Housekeeping and events only</v>
      </c>
      <c r="D1697" s="737">
        <f t="shared" si="381"/>
        <v>1</v>
      </c>
      <c r="E1697" s="737" t="str">
        <f t="shared" si="382"/>
        <v>#VALUE!</v>
      </c>
      <c r="F1697" s="737">
        <v>1.0</v>
      </c>
      <c r="G1697" s="737" t="str">
        <f t="shared" si="383"/>
        <v>#VALUE!</v>
      </c>
      <c r="H1697" s="737" t="str">
        <f>MIN($Q$11/('Orbit Info'!G$10),$Q$8*60)</f>
        <v>#VALUE!</v>
      </c>
      <c r="I1697" s="737" t="str">
        <f>IF(D1697=1,$Q$12/'Data DownlinkStorage Budget'!$M$3,0)</f>
        <v>#VALUE!</v>
      </c>
      <c r="J1697" s="737" t="str">
        <f t="shared" si="388"/>
        <v>#VALUE!</v>
      </c>
      <c r="K1697" s="11"/>
      <c r="L1697" s="737" t="str">
        <f t="shared" si="385"/>
        <v>FOUND product plus housekeeping</v>
      </c>
      <c r="M1697" s="737" t="str">
        <f>MIN($Q$18,$Q$10*60)-IF(D1697=1,$Q$17/'Data DownlinkStorage Budget'!$M$3,0)</f>
        <v>#VALUE!</v>
      </c>
      <c r="N1697" s="182"/>
      <c r="O1697" s="737" t="str">
        <f t="shared" si="389"/>
        <v>#VALUE!</v>
      </c>
      <c r="P1697" s="11"/>
      <c r="Q1697" s="11"/>
      <c r="R1697" s="11"/>
      <c r="S1697" s="11"/>
      <c r="T1697" s="11"/>
      <c r="U1697" s="11"/>
      <c r="V1697" s="11"/>
      <c r="W1697" s="11"/>
      <c r="X1697" s="11"/>
      <c r="Y1697" s="11"/>
      <c r="Z1697" s="11"/>
      <c r="AA1697" s="11"/>
    </row>
    <row r="1698" ht="15.75" customHeight="1">
      <c r="A1698" s="737">
        <f t="shared" si="387"/>
        <v>0</v>
      </c>
      <c r="B1698" s="737">
        <f>A1698/'Orbit Info'!$G$10</f>
        <v>0</v>
      </c>
      <c r="C1698" s="737" t="str">
        <f t="shared" si="380"/>
        <v>Housekeeping and events only</v>
      </c>
      <c r="D1698" s="737">
        <f t="shared" si="381"/>
        <v>1</v>
      </c>
      <c r="E1698" s="737" t="str">
        <f t="shared" si="382"/>
        <v>#VALUE!</v>
      </c>
      <c r="F1698" s="737">
        <v>1.0</v>
      </c>
      <c r="G1698" s="737" t="str">
        <f t="shared" si="383"/>
        <v>#VALUE!</v>
      </c>
      <c r="H1698" s="737" t="str">
        <f>MIN($Q$11/('Orbit Info'!G$10),$Q$8*60)</f>
        <v>#VALUE!</v>
      </c>
      <c r="I1698" s="737" t="str">
        <f>IF(D1698=1,$Q$12/'Data DownlinkStorage Budget'!$M$3,0)</f>
        <v>#VALUE!</v>
      </c>
      <c r="J1698" s="737" t="str">
        <f t="shared" si="388"/>
        <v>#VALUE!</v>
      </c>
      <c r="K1698" s="11"/>
      <c r="L1698" s="737" t="str">
        <f t="shared" si="385"/>
        <v>FOUND product plus housekeeping</v>
      </c>
      <c r="M1698" s="737" t="str">
        <f>MIN($Q$18,$Q$10*60)-IF(D1698=1,$Q$17/'Data DownlinkStorage Budget'!$M$3,0)</f>
        <v>#VALUE!</v>
      </c>
      <c r="N1698" s="182"/>
      <c r="O1698" s="737" t="str">
        <f t="shared" si="389"/>
        <v>#VALUE!</v>
      </c>
      <c r="P1698" s="11"/>
      <c r="Q1698" s="11"/>
      <c r="R1698" s="11"/>
      <c r="S1698" s="11"/>
      <c r="T1698" s="11"/>
      <c r="U1698" s="11"/>
      <c r="V1698" s="11"/>
      <c r="W1698" s="11"/>
      <c r="X1698" s="11"/>
      <c r="Y1698" s="11"/>
      <c r="Z1698" s="11"/>
      <c r="AA1698" s="11"/>
    </row>
    <row r="1699" ht="15.75" customHeight="1">
      <c r="A1699" s="737">
        <f t="shared" si="387"/>
        <v>0</v>
      </c>
      <c r="B1699" s="737">
        <f>A1699/'Orbit Info'!$G$10</f>
        <v>0</v>
      </c>
      <c r="C1699" s="737" t="str">
        <f t="shared" si="380"/>
        <v>Housekeeping and events only</v>
      </c>
      <c r="D1699" s="737">
        <f t="shared" si="381"/>
        <v>1</v>
      </c>
      <c r="E1699" s="737" t="str">
        <f t="shared" si="382"/>
        <v>#VALUE!</v>
      </c>
      <c r="F1699" s="737">
        <v>1.0</v>
      </c>
      <c r="G1699" s="737" t="str">
        <f t="shared" si="383"/>
        <v>#VALUE!</v>
      </c>
      <c r="H1699" s="737" t="str">
        <f>MIN($Q$11/('Orbit Info'!G$10),$Q$8*60)</f>
        <v>#VALUE!</v>
      </c>
      <c r="I1699" s="737" t="str">
        <f>IF(D1699=1,$Q$12/'Data DownlinkStorage Budget'!$M$3,0)</f>
        <v>#VALUE!</v>
      </c>
      <c r="J1699" s="737" t="str">
        <f t="shared" si="388"/>
        <v>#VALUE!</v>
      </c>
      <c r="K1699" s="11"/>
      <c r="L1699" s="737" t="str">
        <f t="shared" si="385"/>
        <v>FOUND product plus housekeeping</v>
      </c>
      <c r="M1699" s="737" t="str">
        <f>MIN($Q$18,$Q$10*60)-IF(D1699=1,$Q$17/'Data DownlinkStorage Budget'!$M$3,0)</f>
        <v>#VALUE!</v>
      </c>
      <c r="N1699" s="182"/>
      <c r="O1699" s="737" t="str">
        <f t="shared" si="389"/>
        <v>#VALUE!</v>
      </c>
      <c r="P1699" s="11"/>
      <c r="Q1699" s="11"/>
      <c r="R1699" s="11"/>
      <c r="S1699" s="11"/>
      <c r="T1699" s="11"/>
      <c r="U1699" s="11"/>
      <c r="V1699" s="11"/>
      <c r="W1699" s="11"/>
      <c r="X1699" s="11"/>
      <c r="Y1699" s="11"/>
      <c r="Z1699" s="11"/>
      <c r="AA1699" s="11"/>
    </row>
    <row r="1700" ht="15.75" customHeight="1">
      <c r="A1700" s="737">
        <f t="shared" si="387"/>
        <v>0</v>
      </c>
      <c r="B1700" s="737">
        <f>A1700/'Orbit Info'!$G$10</f>
        <v>0</v>
      </c>
      <c r="C1700" s="737" t="str">
        <f t="shared" si="380"/>
        <v>Housekeeping and events only</v>
      </c>
      <c r="D1700" s="737">
        <f t="shared" si="381"/>
        <v>1</v>
      </c>
      <c r="E1700" s="737" t="str">
        <f t="shared" si="382"/>
        <v>#VALUE!</v>
      </c>
      <c r="F1700" s="737">
        <v>1.0</v>
      </c>
      <c r="G1700" s="737" t="str">
        <f t="shared" si="383"/>
        <v>#VALUE!</v>
      </c>
      <c r="H1700" s="737" t="str">
        <f>MIN($Q$11/('Orbit Info'!G$10),$Q$8*60)</f>
        <v>#VALUE!</v>
      </c>
      <c r="I1700" s="737" t="str">
        <f>IF(D1700=1,$Q$12/'Data DownlinkStorage Budget'!$M$3,0)</f>
        <v>#VALUE!</v>
      </c>
      <c r="J1700" s="737" t="str">
        <f t="shared" si="388"/>
        <v>#VALUE!</v>
      </c>
      <c r="K1700" s="11"/>
      <c r="L1700" s="737" t="str">
        <f t="shared" si="385"/>
        <v>FOUND product plus housekeeping</v>
      </c>
      <c r="M1700" s="737" t="str">
        <f>MIN($Q$18,$Q$10*60)-IF(D1700=1,$Q$17/'Data DownlinkStorage Budget'!$M$3,0)</f>
        <v>#VALUE!</v>
      </c>
      <c r="N1700" s="182"/>
      <c r="O1700" s="737" t="str">
        <f t="shared" si="389"/>
        <v>#VALUE!</v>
      </c>
      <c r="P1700" s="11"/>
      <c r="Q1700" s="11"/>
      <c r="R1700" s="11"/>
      <c r="S1700" s="11"/>
      <c r="T1700" s="11"/>
      <c r="U1700" s="11"/>
      <c r="V1700" s="11"/>
      <c r="W1700" s="11"/>
      <c r="X1700" s="11"/>
      <c r="Y1700" s="11"/>
      <c r="Z1700" s="11"/>
      <c r="AA1700" s="11"/>
    </row>
    <row r="1701" ht="15.75" customHeight="1">
      <c r="A1701" s="737">
        <f t="shared" si="387"/>
        <v>0</v>
      </c>
      <c r="B1701" s="737">
        <f>A1701/'Orbit Info'!$G$10</f>
        <v>0</v>
      </c>
      <c r="C1701" s="737" t="str">
        <f t="shared" si="380"/>
        <v>Housekeeping and events only</v>
      </c>
      <c r="D1701" s="737">
        <f t="shared" si="381"/>
        <v>1</v>
      </c>
      <c r="E1701" s="737" t="str">
        <f t="shared" si="382"/>
        <v>#VALUE!</v>
      </c>
      <c r="F1701" s="737">
        <v>1.0</v>
      </c>
      <c r="G1701" s="737" t="str">
        <f t="shared" si="383"/>
        <v>#VALUE!</v>
      </c>
      <c r="H1701" s="737" t="str">
        <f>MIN($Q$11/('Orbit Info'!G$10),$Q$8*60)</f>
        <v>#VALUE!</v>
      </c>
      <c r="I1701" s="737" t="str">
        <f>IF(D1701=1,$Q$12/'Data DownlinkStorage Budget'!$M$3,0)</f>
        <v>#VALUE!</v>
      </c>
      <c r="J1701" s="737" t="str">
        <f t="shared" si="388"/>
        <v>#VALUE!</v>
      </c>
      <c r="K1701" s="11"/>
      <c r="L1701" s="737" t="str">
        <f t="shared" si="385"/>
        <v>FOUND product plus housekeeping</v>
      </c>
      <c r="M1701" s="737" t="str">
        <f>MIN($Q$18,$Q$10*60)-IF(D1701=1,$Q$17/'Data DownlinkStorage Budget'!$M$3,0)</f>
        <v>#VALUE!</v>
      </c>
      <c r="N1701" s="182"/>
      <c r="O1701" s="737" t="str">
        <f t="shared" si="389"/>
        <v>#VALUE!</v>
      </c>
      <c r="P1701" s="11"/>
      <c r="Q1701" s="11"/>
      <c r="R1701" s="11"/>
      <c r="S1701" s="11"/>
      <c r="T1701" s="11"/>
      <c r="U1701" s="11"/>
      <c r="V1701" s="11"/>
      <c r="W1701" s="11"/>
      <c r="X1701" s="11"/>
      <c r="Y1701" s="11"/>
      <c r="Z1701" s="11"/>
      <c r="AA1701" s="11"/>
    </row>
    <row r="1702" ht="15.75" customHeight="1">
      <c r="A1702" s="737">
        <f t="shared" si="387"/>
        <v>0</v>
      </c>
      <c r="B1702" s="737">
        <f>A1702/'Orbit Info'!$G$10</f>
        <v>0</v>
      </c>
      <c r="C1702" s="737" t="str">
        <f t="shared" si="380"/>
        <v>Housekeeping and events only</v>
      </c>
      <c r="D1702" s="737">
        <f t="shared" si="381"/>
        <v>1</v>
      </c>
      <c r="E1702" s="737" t="str">
        <f t="shared" si="382"/>
        <v>#VALUE!</v>
      </c>
      <c r="F1702" s="737">
        <v>1.0</v>
      </c>
      <c r="G1702" s="737" t="str">
        <f t="shared" si="383"/>
        <v>#VALUE!</v>
      </c>
      <c r="H1702" s="737" t="str">
        <f>MIN($Q$11/('Orbit Info'!G$10),$Q$8*60)</f>
        <v>#VALUE!</v>
      </c>
      <c r="I1702" s="737" t="str">
        <f>IF(D1702=1,$Q$12/'Data DownlinkStorage Budget'!$M$3,0)</f>
        <v>#VALUE!</v>
      </c>
      <c r="J1702" s="737" t="str">
        <f t="shared" si="388"/>
        <v>#VALUE!</v>
      </c>
      <c r="K1702" s="11"/>
      <c r="L1702" s="737" t="str">
        <f t="shared" si="385"/>
        <v>FOUND product plus housekeeping</v>
      </c>
      <c r="M1702" s="737" t="str">
        <f>MIN($Q$18,$Q$10*60)-IF(D1702=1,$Q$17/'Data DownlinkStorage Budget'!$M$3,0)</f>
        <v>#VALUE!</v>
      </c>
      <c r="N1702" s="182"/>
      <c r="O1702" s="737" t="str">
        <f t="shared" si="389"/>
        <v>#VALUE!</v>
      </c>
      <c r="P1702" s="11"/>
      <c r="Q1702" s="11"/>
      <c r="R1702" s="11"/>
      <c r="S1702" s="11"/>
      <c r="T1702" s="11"/>
      <c r="U1702" s="11"/>
      <c r="V1702" s="11"/>
      <c r="W1702" s="11"/>
      <c r="X1702" s="11"/>
      <c r="Y1702" s="11"/>
      <c r="Z1702" s="11"/>
      <c r="AA1702" s="11"/>
    </row>
    <row r="1703" ht="15.75" customHeight="1">
      <c r="A1703" s="737">
        <f t="shared" si="387"/>
        <v>0</v>
      </c>
      <c r="B1703" s="737">
        <f>A1703/'Orbit Info'!$G$10</f>
        <v>0</v>
      </c>
      <c r="C1703" s="737" t="str">
        <f t="shared" si="380"/>
        <v>Housekeeping and events only</v>
      </c>
      <c r="D1703" s="737">
        <f t="shared" si="381"/>
        <v>1</v>
      </c>
      <c r="E1703" s="737" t="str">
        <f t="shared" si="382"/>
        <v>#VALUE!</v>
      </c>
      <c r="F1703" s="737">
        <v>1.0</v>
      </c>
      <c r="G1703" s="737" t="str">
        <f t="shared" si="383"/>
        <v>#VALUE!</v>
      </c>
      <c r="H1703" s="737" t="str">
        <f>MIN($Q$11/('Orbit Info'!G$10),$Q$8*60)</f>
        <v>#VALUE!</v>
      </c>
      <c r="I1703" s="737" t="str">
        <f>IF(D1703=1,$Q$12/'Data DownlinkStorage Budget'!$M$3,0)</f>
        <v>#VALUE!</v>
      </c>
      <c r="J1703" s="737" t="str">
        <f t="shared" si="388"/>
        <v>#VALUE!</v>
      </c>
      <c r="K1703" s="11"/>
      <c r="L1703" s="737" t="str">
        <f t="shared" si="385"/>
        <v>FOUND product plus housekeeping</v>
      </c>
      <c r="M1703" s="737" t="str">
        <f>MIN($Q$18,$Q$10*60)-IF(D1703=1,$Q$17/'Data DownlinkStorage Budget'!$M$3,0)</f>
        <v>#VALUE!</v>
      </c>
      <c r="N1703" s="182"/>
      <c r="O1703" s="737" t="str">
        <f t="shared" si="389"/>
        <v>#VALUE!</v>
      </c>
      <c r="P1703" s="11"/>
      <c r="Q1703" s="11"/>
      <c r="R1703" s="11"/>
      <c r="S1703" s="11"/>
      <c r="T1703" s="11"/>
      <c r="U1703" s="11"/>
      <c r="V1703" s="11"/>
      <c r="W1703" s="11"/>
      <c r="X1703" s="11"/>
      <c r="Y1703" s="11"/>
      <c r="Z1703" s="11"/>
      <c r="AA1703" s="11"/>
    </row>
    <row r="1704" ht="15.75" customHeight="1">
      <c r="A1704" s="737">
        <f t="shared" si="387"/>
        <v>0</v>
      </c>
      <c r="B1704" s="737">
        <f>A1704/'Orbit Info'!$G$10</f>
        <v>0</v>
      </c>
      <c r="C1704" s="737" t="str">
        <f t="shared" si="380"/>
        <v>Housekeeping and events only</v>
      </c>
      <c r="D1704" s="737">
        <f t="shared" si="381"/>
        <v>1</v>
      </c>
      <c r="E1704" s="737" t="str">
        <f t="shared" si="382"/>
        <v>#VALUE!</v>
      </c>
      <c r="F1704" s="737">
        <v>1.0</v>
      </c>
      <c r="G1704" s="737" t="str">
        <f t="shared" si="383"/>
        <v>#VALUE!</v>
      </c>
      <c r="H1704" s="737" t="str">
        <f>MIN($Q$11/('Orbit Info'!G$10),$Q$8*60)</f>
        <v>#VALUE!</v>
      </c>
      <c r="I1704" s="737" t="str">
        <f>IF(D1704=1,$Q$12/'Data DownlinkStorage Budget'!$M$3,0)</f>
        <v>#VALUE!</v>
      </c>
      <c r="J1704" s="737" t="str">
        <f t="shared" si="388"/>
        <v>#VALUE!</v>
      </c>
      <c r="K1704" s="11"/>
      <c r="L1704" s="737" t="str">
        <f t="shared" si="385"/>
        <v>FOUND product plus housekeeping</v>
      </c>
      <c r="M1704" s="737" t="str">
        <f>MIN($Q$18,$Q$10*60)-IF(D1704=1,$Q$17/'Data DownlinkStorage Budget'!$M$3,0)</f>
        <v>#VALUE!</v>
      </c>
      <c r="N1704" s="182"/>
      <c r="O1704" s="737" t="str">
        <f t="shared" si="389"/>
        <v>#VALUE!</v>
      </c>
      <c r="P1704" s="11"/>
      <c r="Q1704" s="11"/>
      <c r="R1704" s="11"/>
      <c r="S1704" s="11"/>
      <c r="T1704" s="11"/>
      <c r="U1704" s="11"/>
      <c r="V1704" s="11"/>
      <c r="W1704" s="11"/>
      <c r="X1704" s="11"/>
      <c r="Y1704" s="11"/>
      <c r="Z1704" s="11"/>
      <c r="AA1704" s="11"/>
    </row>
    <row r="1705" ht="15.75" customHeight="1">
      <c r="A1705" s="737">
        <f t="shared" si="387"/>
        <v>0</v>
      </c>
      <c r="B1705" s="737">
        <f>A1705/'Orbit Info'!$G$10</f>
        <v>0</v>
      </c>
      <c r="C1705" s="737" t="str">
        <f t="shared" si="380"/>
        <v>Housekeeping and events only</v>
      </c>
      <c r="D1705" s="737">
        <f t="shared" si="381"/>
        <v>1</v>
      </c>
      <c r="E1705" s="737" t="str">
        <f t="shared" si="382"/>
        <v>#VALUE!</v>
      </c>
      <c r="F1705" s="737">
        <v>1.0</v>
      </c>
      <c r="G1705" s="737" t="str">
        <f t="shared" si="383"/>
        <v>#VALUE!</v>
      </c>
      <c r="H1705" s="737" t="str">
        <f>MIN($Q$11/('Orbit Info'!G$10),$Q$8*60)</f>
        <v>#VALUE!</v>
      </c>
      <c r="I1705" s="737" t="str">
        <f>IF(D1705=1,$Q$12/'Data DownlinkStorage Budget'!$M$3,0)</f>
        <v>#VALUE!</v>
      </c>
      <c r="J1705" s="737" t="str">
        <f t="shared" si="388"/>
        <v>#VALUE!</v>
      </c>
      <c r="K1705" s="11"/>
      <c r="L1705" s="737" t="str">
        <f t="shared" si="385"/>
        <v>FOUND product plus housekeeping</v>
      </c>
      <c r="M1705" s="737" t="str">
        <f>MIN($Q$18,$Q$10*60)-IF(D1705=1,$Q$17/'Data DownlinkStorage Budget'!$M$3,0)</f>
        <v>#VALUE!</v>
      </c>
      <c r="N1705" s="182"/>
      <c r="O1705" s="737" t="str">
        <f t="shared" si="389"/>
        <v>#VALUE!</v>
      </c>
      <c r="P1705" s="11"/>
      <c r="Q1705" s="11"/>
      <c r="R1705" s="11"/>
      <c r="S1705" s="11"/>
      <c r="T1705" s="11"/>
      <c r="U1705" s="11"/>
      <c r="V1705" s="11"/>
      <c r="W1705" s="11"/>
      <c r="X1705" s="11"/>
      <c r="Y1705" s="11"/>
      <c r="Z1705" s="11"/>
      <c r="AA1705" s="11"/>
    </row>
    <row r="1706" ht="15.75" customHeight="1">
      <c r="A1706" s="737">
        <f t="shared" si="387"/>
        <v>0</v>
      </c>
      <c r="B1706" s="737">
        <f>A1706/'Orbit Info'!$G$10</f>
        <v>0</v>
      </c>
      <c r="C1706" s="737" t="str">
        <f t="shared" si="380"/>
        <v>Housekeeping and events only</v>
      </c>
      <c r="D1706" s="737">
        <f t="shared" si="381"/>
        <v>1</v>
      </c>
      <c r="E1706" s="737" t="str">
        <f t="shared" si="382"/>
        <v>#VALUE!</v>
      </c>
      <c r="F1706" s="737">
        <v>1.0</v>
      </c>
      <c r="G1706" s="737" t="str">
        <f t="shared" si="383"/>
        <v>#VALUE!</v>
      </c>
      <c r="H1706" s="737" t="str">
        <f>MIN($Q$11/('Orbit Info'!G$10),$Q$8*60)</f>
        <v>#VALUE!</v>
      </c>
      <c r="I1706" s="737" t="str">
        <f>IF(D1706=1,$Q$12/'Data DownlinkStorage Budget'!$M$3,0)</f>
        <v>#VALUE!</v>
      </c>
      <c r="J1706" s="737" t="str">
        <f t="shared" si="388"/>
        <v>#VALUE!</v>
      </c>
      <c r="K1706" s="11"/>
      <c r="L1706" s="737" t="str">
        <f t="shared" si="385"/>
        <v>FOUND product plus housekeeping</v>
      </c>
      <c r="M1706" s="737" t="str">
        <f>MIN($Q$18,$Q$10*60)-IF(D1706=1,$Q$17/'Data DownlinkStorage Budget'!$M$3,0)</f>
        <v>#VALUE!</v>
      </c>
      <c r="N1706" s="182"/>
      <c r="O1706" s="737" t="str">
        <f t="shared" si="389"/>
        <v>#VALUE!</v>
      </c>
      <c r="P1706" s="11"/>
      <c r="Q1706" s="11"/>
      <c r="R1706" s="11"/>
      <c r="S1706" s="11"/>
      <c r="T1706" s="11"/>
      <c r="U1706" s="11"/>
      <c r="V1706" s="11"/>
      <c r="W1706" s="11"/>
      <c r="X1706" s="11"/>
      <c r="Y1706" s="11"/>
      <c r="Z1706" s="11"/>
      <c r="AA1706" s="11"/>
    </row>
    <row r="1707" ht="15.75" customHeight="1">
      <c r="A1707" s="737">
        <f t="shared" si="387"/>
        <v>0</v>
      </c>
      <c r="B1707" s="737">
        <f>A1707/'Orbit Info'!$G$10</f>
        <v>0</v>
      </c>
      <c r="C1707" s="737" t="str">
        <f t="shared" si="380"/>
        <v>Housekeeping and events only</v>
      </c>
      <c r="D1707" s="737">
        <f t="shared" si="381"/>
        <v>1</v>
      </c>
      <c r="E1707" s="737" t="str">
        <f t="shared" si="382"/>
        <v>#VALUE!</v>
      </c>
      <c r="F1707" s="737">
        <v>1.0</v>
      </c>
      <c r="G1707" s="737" t="str">
        <f t="shared" si="383"/>
        <v>#VALUE!</v>
      </c>
      <c r="H1707" s="737" t="str">
        <f>MIN($Q$11/('Orbit Info'!G$10),$Q$8*60)</f>
        <v>#VALUE!</v>
      </c>
      <c r="I1707" s="737" t="str">
        <f>IF(D1707=1,$Q$12/'Data DownlinkStorage Budget'!$M$3,0)</f>
        <v>#VALUE!</v>
      </c>
      <c r="J1707" s="737" t="str">
        <f t="shared" si="388"/>
        <v>#VALUE!</v>
      </c>
      <c r="K1707" s="11"/>
      <c r="L1707" s="737" t="str">
        <f t="shared" si="385"/>
        <v>FOUND product plus housekeeping</v>
      </c>
      <c r="M1707" s="737" t="str">
        <f>MIN($Q$18,$Q$10*60)-IF(D1707=1,$Q$17/'Data DownlinkStorage Budget'!$M$3,0)</f>
        <v>#VALUE!</v>
      </c>
      <c r="N1707" s="182"/>
      <c r="O1707" s="737" t="str">
        <f t="shared" si="389"/>
        <v>#VALUE!</v>
      </c>
      <c r="P1707" s="11"/>
      <c r="Q1707" s="11"/>
      <c r="R1707" s="11"/>
      <c r="S1707" s="11"/>
      <c r="T1707" s="11"/>
      <c r="U1707" s="11"/>
      <c r="V1707" s="11"/>
      <c r="W1707" s="11"/>
      <c r="X1707" s="11"/>
      <c r="Y1707" s="11"/>
      <c r="Z1707" s="11"/>
      <c r="AA1707" s="11"/>
    </row>
    <row r="1708" ht="15.75" customHeight="1">
      <c r="A1708" s="737">
        <f t="shared" si="387"/>
        <v>0</v>
      </c>
      <c r="B1708" s="737">
        <f>A1708/'Orbit Info'!$G$10</f>
        <v>0</v>
      </c>
      <c r="C1708" s="737" t="str">
        <f t="shared" si="380"/>
        <v>Housekeeping and events only</v>
      </c>
      <c r="D1708" s="737">
        <f t="shared" si="381"/>
        <v>1</v>
      </c>
      <c r="E1708" s="737" t="str">
        <f t="shared" si="382"/>
        <v>#VALUE!</v>
      </c>
      <c r="F1708" s="737">
        <v>1.0</v>
      </c>
      <c r="G1708" s="737" t="str">
        <f t="shared" si="383"/>
        <v>#VALUE!</v>
      </c>
      <c r="H1708" s="737" t="str">
        <f>MIN($Q$11/('Orbit Info'!G$10),$Q$8*60)</f>
        <v>#VALUE!</v>
      </c>
      <c r="I1708" s="737" t="str">
        <f>IF(D1708=1,$Q$12/'Data DownlinkStorage Budget'!$M$3,0)</f>
        <v>#VALUE!</v>
      </c>
      <c r="J1708" s="737" t="str">
        <f t="shared" si="388"/>
        <v>#VALUE!</v>
      </c>
      <c r="K1708" s="11"/>
      <c r="L1708" s="737" t="str">
        <f t="shared" si="385"/>
        <v>FOUND product plus housekeeping</v>
      </c>
      <c r="M1708" s="737" t="str">
        <f>MIN($Q$18,$Q$10*60)-IF(D1708=1,$Q$17/'Data DownlinkStorage Budget'!$M$3,0)</f>
        <v>#VALUE!</v>
      </c>
      <c r="N1708" s="182"/>
      <c r="O1708" s="737" t="str">
        <f t="shared" si="389"/>
        <v>#VALUE!</v>
      </c>
      <c r="P1708" s="11"/>
      <c r="Q1708" s="11"/>
      <c r="R1708" s="11"/>
      <c r="S1708" s="11"/>
      <c r="T1708" s="11"/>
      <c r="U1708" s="11"/>
      <c r="V1708" s="11"/>
      <c r="W1708" s="11"/>
      <c r="X1708" s="11"/>
      <c r="Y1708" s="11"/>
      <c r="Z1708" s="11"/>
      <c r="AA1708" s="11"/>
    </row>
    <row r="1709" ht="15.75" customHeight="1">
      <c r="A1709" s="737">
        <f t="shared" si="387"/>
        <v>0</v>
      </c>
      <c r="B1709" s="737">
        <f>A1709/'Orbit Info'!$G$10</f>
        <v>0</v>
      </c>
      <c r="C1709" s="737" t="str">
        <f t="shared" si="380"/>
        <v>Housekeeping and events only</v>
      </c>
      <c r="D1709" s="737">
        <f t="shared" si="381"/>
        <v>1</v>
      </c>
      <c r="E1709" s="737" t="str">
        <f t="shared" si="382"/>
        <v>#VALUE!</v>
      </c>
      <c r="F1709" s="737">
        <v>1.0</v>
      </c>
      <c r="G1709" s="737" t="str">
        <f t="shared" si="383"/>
        <v>#VALUE!</v>
      </c>
      <c r="H1709" s="737" t="str">
        <f>MIN($Q$11/('Orbit Info'!G$10),$Q$8*60)</f>
        <v>#VALUE!</v>
      </c>
      <c r="I1709" s="737" t="str">
        <f>IF(D1709=1,$Q$12/'Data DownlinkStorage Budget'!$M$3,0)</f>
        <v>#VALUE!</v>
      </c>
      <c r="J1709" s="737" t="str">
        <f t="shared" si="388"/>
        <v>#VALUE!</v>
      </c>
      <c r="K1709" s="11"/>
      <c r="L1709" s="737" t="str">
        <f t="shared" si="385"/>
        <v>FOUND product plus housekeeping</v>
      </c>
      <c r="M1709" s="737" t="str">
        <f>MIN($Q$18,$Q$10*60)-IF(D1709=1,$Q$17/'Data DownlinkStorage Budget'!$M$3,0)</f>
        <v>#VALUE!</v>
      </c>
      <c r="N1709" s="182"/>
      <c r="O1709" s="737" t="str">
        <f t="shared" si="389"/>
        <v>#VALUE!</v>
      </c>
      <c r="P1709" s="11"/>
      <c r="Q1709" s="11"/>
      <c r="R1709" s="11"/>
      <c r="S1709" s="11"/>
      <c r="T1709" s="11"/>
      <c r="U1709" s="11"/>
      <c r="V1709" s="11"/>
      <c r="W1709" s="11"/>
      <c r="X1709" s="11"/>
      <c r="Y1709" s="11"/>
      <c r="Z1709" s="11"/>
      <c r="AA1709" s="11"/>
    </row>
    <row r="1710" ht="15.75" customHeight="1">
      <c r="A1710" s="737">
        <f t="shared" si="387"/>
        <v>0</v>
      </c>
      <c r="B1710" s="737">
        <f>A1710/'Orbit Info'!$G$10</f>
        <v>0</v>
      </c>
      <c r="C1710" s="737" t="str">
        <f t="shared" si="380"/>
        <v>Housekeeping and events only</v>
      </c>
      <c r="D1710" s="737">
        <f t="shared" si="381"/>
        <v>1</v>
      </c>
      <c r="E1710" s="737" t="str">
        <f t="shared" si="382"/>
        <v>#VALUE!</v>
      </c>
      <c r="F1710" s="737">
        <v>1.0</v>
      </c>
      <c r="G1710" s="737" t="str">
        <f t="shared" si="383"/>
        <v>#VALUE!</v>
      </c>
      <c r="H1710" s="737" t="str">
        <f>MIN($Q$11/('Orbit Info'!G$10),$Q$8*60)</f>
        <v>#VALUE!</v>
      </c>
      <c r="I1710" s="737" t="str">
        <f>IF(D1710=1,$Q$12/'Data DownlinkStorage Budget'!$M$3,0)</f>
        <v>#VALUE!</v>
      </c>
      <c r="J1710" s="737" t="str">
        <f t="shared" si="388"/>
        <v>#VALUE!</v>
      </c>
      <c r="K1710" s="11"/>
      <c r="L1710" s="737" t="str">
        <f t="shared" si="385"/>
        <v>FOUND product plus housekeeping</v>
      </c>
      <c r="M1710" s="737" t="str">
        <f>MIN($Q$18,$Q$10*60)-IF(D1710=1,$Q$17/'Data DownlinkStorage Budget'!$M$3,0)</f>
        <v>#VALUE!</v>
      </c>
      <c r="N1710" s="182"/>
      <c r="O1710" s="737" t="str">
        <f t="shared" si="389"/>
        <v>#VALUE!</v>
      </c>
      <c r="P1710" s="11"/>
      <c r="Q1710" s="11"/>
      <c r="R1710" s="11"/>
      <c r="S1710" s="11"/>
      <c r="T1710" s="11"/>
      <c r="U1710" s="11"/>
      <c r="V1710" s="11"/>
      <c r="W1710" s="11"/>
      <c r="X1710" s="11"/>
      <c r="Y1710" s="11"/>
      <c r="Z1710" s="11"/>
      <c r="AA1710" s="11"/>
    </row>
    <row r="1711" ht="15.75" customHeight="1">
      <c r="A1711" s="737">
        <f t="shared" si="387"/>
        <v>0</v>
      </c>
      <c r="B1711" s="737">
        <f>A1711/'Orbit Info'!$G$10</f>
        <v>0</v>
      </c>
      <c r="C1711" s="737" t="str">
        <f t="shared" si="380"/>
        <v>Housekeeping and events only</v>
      </c>
      <c r="D1711" s="737">
        <f t="shared" si="381"/>
        <v>1</v>
      </c>
      <c r="E1711" s="737" t="str">
        <f t="shared" si="382"/>
        <v>#VALUE!</v>
      </c>
      <c r="F1711" s="737">
        <v>1.0</v>
      </c>
      <c r="G1711" s="737" t="str">
        <f t="shared" si="383"/>
        <v>#VALUE!</v>
      </c>
      <c r="H1711" s="737" t="str">
        <f>MIN($Q$11/('Orbit Info'!G$10),$Q$8*60)</f>
        <v>#VALUE!</v>
      </c>
      <c r="I1711" s="737" t="str">
        <f>IF(D1711=1,$Q$12/'Data DownlinkStorage Budget'!$M$3,0)</f>
        <v>#VALUE!</v>
      </c>
      <c r="J1711" s="737" t="str">
        <f t="shared" si="388"/>
        <v>#VALUE!</v>
      </c>
      <c r="K1711" s="11"/>
      <c r="L1711" s="737" t="str">
        <f t="shared" si="385"/>
        <v>FOUND product plus housekeeping</v>
      </c>
      <c r="M1711" s="737" t="str">
        <f>MIN($Q$18,$Q$10*60)-IF(D1711=1,$Q$17/'Data DownlinkStorage Budget'!$M$3,0)</f>
        <v>#VALUE!</v>
      </c>
      <c r="N1711" s="182"/>
      <c r="O1711" s="737" t="str">
        <f t="shared" si="389"/>
        <v>#VALUE!</v>
      </c>
      <c r="P1711" s="11"/>
      <c r="Q1711" s="11"/>
      <c r="R1711" s="11"/>
      <c r="S1711" s="11"/>
      <c r="T1711" s="11"/>
      <c r="U1711" s="11"/>
      <c r="V1711" s="11"/>
      <c r="W1711" s="11"/>
      <c r="X1711" s="11"/>
      <c r="Y1711" s="11"/>
      <c r="Z1711" s="11"/>
      <c r="AA1711" s="11"/>
    </row>
    <row r="1712" ht="15.75" customHeight="1">
      <c r="A1712" s="737">
        <f t="shared" si="387"/>
        <v>0</v>
      </c>
      <c r="B1712" s="737">
        <f>A1712/'Orbit Info'!$G$10</f>
        <v>0</v>
      </c>
      <c r="C1712" s="737" t="str">
        <f t="shared" si="380"/>
        <v>Housekeeping and events only</v>
      </c>
      <c r="D1712" s="737">
        <f t="shared" si="381"/>
        <v>1</v>
      </c>
      <c r="E1712" s="737" t="str">
        <f t="shared" si="382"/>
        <v>#VALUE!</v>
      </c>
      <c r="F1712" s="737">
        <v>1.0</v>
      </c>
      <c r="G1712" s="737" t="str">
        <f t="shared" si="383"/>
        <v>#VALUE!</v>
      </c>
      <c r="H1712" s="737" t="str">
        <f>MIN($Q$11/('Orbit Info'!G$10),$Q$8*60)</f>
        <v>#VALUE!</v>
      </c>
      <c r="I1712" s="737" t="str">
        <f>IF(D1712=1,$Q$12/'Data DownlinkStorage Budget'!$M$3,0)</f>
        <v>#VALUE!</v>
      </c>
      <c r="J1712" s="737" t="str">
        <f t="shared" si="388"/>
        <v>#VALUE!</v>
      </c>
      <c r="K1712" s="11"/>
      <c r="L1712" s="737" t="str">
        <f t="shared" si="385"/>
        <v>FOUND product plus housekeeping</v>
      </c>
      <c r="M1712" s="737" t="str">
        <f>MIN($Q$18,$Q$10*60)-IF(D1712=1,$Q$17/'Data DownlinkStorage Budget'!$M$3,0)</f>
        <v>#VALUE!</v>
      </c>
      <c r="N1712" s="182"/>
      <c r="O1712" s="737" t="str">
        <f t="shared" si="389"/>
        <v>#VALUE!</v>
      </c>
      <c r="P1712" s="11"/>
      <c r="Q1712" s="11"/>
      <c r="R1712" s="11"/>
      <c r="S1712" s="11"/>
      <c r="T1712" s="11"/>
      <c r="U1712" s="11"/>
      <c r="V1712" s="11"/>
      <c r="W1712" s="11"/>
      <c r="X1712" s="11"/>
      <c r="Y1712" s="11"/>
      <c r="Z1712" s="11"/>
      <c r="AA1712" s="11"/>
    </row>
    <row r="1713" ht="15.75" customHeight="1">
      <c r="A1713" s="737">
        <f t="shared" si="387"/>
        <v>0</v>
      </c>
      <c r="B1713" s="737">
        <f>A1713/'Orbit Info'!$G$10</f>
        <v>0</v>
      </c>
      <c r="C1713" s="737" t="str">
        <f t="shared" si="380"/>
        <v>Housekeeping and events only</v>
      </c>
      <c r="D1713" s="737">
        <f t="shared" si="381"/>
        <v>1</v>
      </c>
      <c r="E1713" s="737" t="str">
        <f t="shared" si="382"/>
        <v>#VALUE!</v>
      </c>
      <c r="F1713" s="737">
        <v>1.0</v>
      </c>
      <c r="G1713" s="737" t="str">
        <f t="shared" si="383"/>
        <v>#VALUE!</v>
      </c>
      <c r="H1713" s="737" t="str">
        <f>MIN($Q$11/('Orbit Info'!G$10),$Q$8*60)</f>
        <v>#VALUE!</v>
      </c>
      <c r="I1713" s="737" t="str">
        <f>IF(D1713=1,$Q$12/'Data DownlinkStorage Budget'!$M$3,0)</f>
        <v>#VALUE!</v>
      </c>
      <c r="J1713" s="737" t="str">
        <f t="shared" si="388"/>
        <v>#VALUE!</v>
      </c>
      <c r="K1713" s="11"/>
      <c r="L1713" s="737" t="str">
        <f t="shared" si="385"/>
        <v>FOUND product plus housekeeping</v>
      </c>
      <c r="M1713" s="737" t="str">
        <f>MIN($Q$18,$Q$10*60)-IF(D1713=1,$Q$17/'Data DownlinkStorage Budget'!$M$3,0)</f>
        <v>#VALUE!</v>
      </c>
      <c r="N1713" s="182"/>
      <c r="O1713" s="737" t="str">
        <f t="shared" si="389"/>
        <v>#VALUE!</v>
      </c>
      <c r="P1713" s="11"/>
      <c r="Q1713" s="11"/>
      <c r="R1713" s="11"/>
      <c r="S1713" s="11"/>
      <c r="T1713" s="11"/>
      <c r="U1713" s="11"/>
      <c r="V1713" s="11"/>
      <c r="W1713" s="11"/>
      <c r="X1713" s="11"/>
      <c r="Y1713" s="11"/>
      <c r="Z1713" s="11"/>
      <c r="AA1713" s="11"/>
    </row>
    <row r="1714" ht="15.75" customHeight="1">
      <c r="A1714" s="737">
        <f t="shared" si="387"/>
        <v>0</v>
      </c>
      <c r="B1714" s="737">
        <f>A1714/'Orbit Info'!$G$10</f>
        <v>0</v>
      </c>
      <c r="C1714" s="737" t="str">
        <f t="shared" si="380"/>
        <v>Housekeeping and events only</v>
      </c>
      <c r="D1714" s="737">
        <f t="shared" si="381"/>
        <v>1</v>
      </c>
      <c r="E1714" s="737" t="str">
        <f t="shared" si="382"/>
        <v>#VALUE!</v>
      </c>
      <c r="F1714" s="737">
        <v>1.0</v>
      </c>
      <c r="G1714" s="737" t="str">
        <f t="shared" si="383"/>
        <v>#VALUE!</v>
      </c>
      <c r="H1714" s="737" t="str">
        <f>MIN($Q$11/('Orbit Info'!G$10),$Q$8*60)</f>
        <v>#VALUE!</v>
      </c>
      <c r="I1714" s="737" t="str">
        <f>IF(D1714=1,$Q$12/'Data DownlinkStorage Budget'!$M$3,0)</f>
        <v>#VALUE!</v>
      </c>
      <c r="J1714" s="737" t="str">
        <f t="shared" si="388"/>
        <v>#VALUE!</v>
      </c>
      <c r="K1714" s="11"/>
      <c r="L1714" s="737" t="str">
        <f t="shared" si="385"/>
        <v>FOUND product plus housekeeping</v>
      </c>
      <c r="M1714" s="737" t="str">
        <f>MIN($Q$18,$Q$10*60)-IF(D1714=1,$Q$17/'Data DownlinkStorage Budget'!$M$3,0)</f>
        <v>#VALUE!</v>
      </c>
      <c r="N1714" s="182"/>
      <c r="O1714" s="737" t="str">
        <f t="shared" si="389"/>
        <v>#VALUE!</v>
      </c>
      <c r="P1714" s="11"/>
      <c r="Q1714" s="11"/>
      <c r="R1714" s="11"/>
      <c r="S1714" s="11"/>
      <c r="T1714" s="11"/>
      <c r="U1714" s="11"/>
      <c r="V1714" s="11"/>
      <c r="W1714" s="11"/>
      <c r="X1714" s="11"/>
      <c r="Y1714" s="11"/>
      <c r="Z1714" s="11"/>
      <c r="AA1714" s="11"/>
    </row>
    <row r="1715" ht="15.75" customHeight="1">
      <c r="A1715" s="737">
        <f t="shared" si="387"/>
        <v>0</v>
      </c>
      <c r="B1715" s="737">
        <f>A1715/'Orbit Info'!$G$10</f>
        <v>0</v>
      </c>
      <c r="C1715" s="737" t="str">
        <f t="shared" si="380"/>
        <v>Housekeeping and events only</v>
      </c>
      <c r="D1715" s="737">
        <f t="shared" si="381"/>
        <v>1</v>
      </c>
      <c r="E1715" s="737" t="str">
        <f t="shared" si="382"/>
        <v>#VALUE!</v>
      </c>
      <c r="F1715" s="737">
        <v>1.0</v>
      </c>
      <c r="G1715" s="737" t="str">
        <f t="shared" si="383"/>
        <v>#VALUE!</v>
      </c>
      <c r="H1715" s="737" t="str">
        <f>MIN($Q$11/('Orbit Info'!G$10),$Q$8*60)</f>
        <v>#VALUE!</v>
      </c>
      <c r="I1715" s="737" t="str">
        <f>IF(D1715=1,$Q$12/'Data DownlinkStorage Budget'!$M$3,0)</f>
        <v>#VALUE!</v>
      </c>
      <c r="J1715" s="737" t="str">
        <f t="shared" si="388"/>
        <v>#VALUE!</v>
      </c>
      <c r="K1715" s="11"/>
      <c r="L1715" s="737" t="str">
        <f t="shared" si="385"/>
        <v>FOUND product plus housekeeping</v>
      </c>
      <c r="M1715" s="737" t="str">
        <f>MIN($Q$18,$Q$10*60)-IF(D1715=1,$Q$17/'Data DownlinkStorage Budget'!$M$3,0)</f>
        <v>#VALUE!</v>
      </c>
      <c r="N1715" s="182"/>
      <c r="O1715" s="737" t="str">
        <f t="shared" si="389"/>
        <v>#VALUE!</v>
      </c>
      <c r="P1715" s="11"/>
      <c r="Q1715" s="11"/>
      <c r="R1715" s="11"/>
      <c r="S1715" s="11"/>
      <c r="T1715" s="11"/>
      <c r="U1715" s="11"/>
      <c r="V1715" s="11"/>
      <c r="W1715" s="11"/>
      <c r="X1715" s="11"/>
      <c r="Y1715" s="11"/>
      <c r="Z1715" s="11"/>
      <c r="AA1715" s="11"/>
    </row>
    <row r="1716" ht="15.75" customHeight="1">
      <c r="A1716" s="737">
        <f t="shared" si="387"/>
        <v>0</v>
      </c>
      <c r="B1716" s="737">
        <f>A1716/'Orbit Info'!$G$10</f>
        <v>0</v>
      </c>
      <c r="C1716" s="737" t="str">
        <f t="shared" si="380"/>
        <v>Housekeeping and events only</v>
      </c>
      <c r="D1716" s="737">
        <f t="shared" si="381"/>
        <v>1</v>
      </c>
      <c r="E1716" s="737" t="str">
        <f t="shared" si="382"/>
        <v>#VALUE!</v>
      </c>
      <c r="F1716" s="737">
        <v>1.0</v>
      </c>
      <c r="G1716" s="737" t="str">
        <f t="shared" si="383"/>
        <v>#VALUE!</v>
      </c>
      <c r="H1716" s="737" t="str">
        <f>MIN($Q$11/('Orbit Info'!G$10),$Q$8*60)</f>
        <v>#VALUE!</v>
      </c>
      <c r="I1716" s="737" t="str">
        <f>IF(D1716=1,$Q$12/'Data DownlinkStorage Budget'!$M$3,0)</f>
        <v>#VALUE!</v>
      </c>
      <c r="J1716" s="737" t="str">
        <f t="shared" si="388"/>
        <v>#VALUE!</v>
      </c>
      <c r="K1716" s="11"/>
      <c r="L1716" s="737" t="str">
        <f t="shared" si="385"/>
        <v>FOUND product plus housekeeping</v>
      </c>
      <c r="M1716" s="737" t="str">
        <f>MIN($Q$18,$Q$10*60)-IF(D1716=1,$Q$17/'Data DownlinkStorage Budget'!$M$3,0)</f>
        <v>#VALUE!</v>
      </c>
      <c r="N1716" s="182"/>
      <c r="O1716" s="737" t="str">
        <f t="shared" si="389"/>
        <v>#VALUE!</v>
      </c>
      <c r="P1716" s="11"/>
      <c r="Q1716" s="11"/>
      <c r="R1716" s="11"/>
      <c r="S1716" s="11"/>
      <c r="T1716" s="11"/>
      <c r="U1716" s="11"/>
      <c r="V1716" s="11"/>
      <c r="W1716" s="11"/>
      <c r="X1716" s="11"/>
      <c r="Y1716" s="11"/>
      <c r="Z1716" s="11"/>
      <c r="AA1716" s="11"/>
    </row>
    <row r="1717" ht="15.75" customHeight="1">
      <c r="A1717" s="737">
        <f t="shared" si="387"/>
        <v>0</v>
      </c>
      <c r="B1717" s="737">
        <f>A1717/'Orbit Info'!$G$10</f>
        <v>0</v>
      </c>
      <c r="C1717" s="737" t="str">
        <f t="shared" si="380"/>
        <v>Housekeeping and events only</v>
      </c>
      <c r="D1717" s="737">
        <f t="shared" si="381"/>
        <v>1</v>
      </c>
      <c r="E1717" s="737" t="str">
        <f t="shared" si="382"/>
        <v>#VALUE!</v>
      </c>
      <c r="F1717" s="737">
        <v>1.0</v>
      </c>
      <c r="G1717" s="737" t="str">
        <f t="shared" si="383"/>
        <v>#VALUE!</v>
      </c>
      <c r="H1717" s="737" t="str">
        <f>MIN($Q$11/('Orbit Info'!G$10),$Q$8*60)</f>
        <v>#VALUE!</v>
      </c>
      <c r="I1717" s="737" t="str">
        <f>IF(D1717=1,$Q$12/'Data DownlinkStorage Budget'!$M$3,0)</f>
        <v>#VALUE!</v>
      </c>
      <c r="J1717" s="737" t="str">
        <f t="shared" si="388"/>
        <v>#VALUE!</v>
      </c>
      <c r="K1717" s="11"/>
      <c r="L1717" s="737" t="str">
        <f t="shared" si="385"/>
        <v>FOUND product plus housekeeping</v>
      </c>
      <c r="M1717" s="737" t="str">
        <f>MIN($Q$18,$Q$10*60)-IF(D1717=1,$Q$17/'Data DownlinkStorage Budget'!$M$3,0)</f>
        <v>#VALUE!</v>
      </c>
      <c r="N1717" s="182"/>
      <c r="O1717" s="737" t="str">
        <f t="shared" si="389"/>
        <v>#VALUE!</v>
      </c>
      <c r="P1717" s="11"/>
      <c r="Q1717" s="11"/>
      <c r="R1717" s="11"/>
      <c r="S1717" s="11"/>
      <c r="T1717" s="11"/>
      <c r="U1717" s="11"/>
      <c r="V1717" s="11"/>
      <c r="W1717" s="11"/>
      <c r="X1717" s="11"/>
      <c r="Y1717" s="11"/>
      <c r="Z1717" s="11"/>
      <c r="AA1717" s="11"/>
    </row>
    <row r="1718" ht="15.75" customHeight="1">
      <c r="A1718" s="737">
        <f t="shared" si="387"/>
        <v>0</v>
      </c>
      <c r="B1718" s="737">
        <f>A1718/'Orbit Info'!$G$10</f>
        <v>0</v>
      </c>
      <c r="C1718" s="737" t="str">
        <f t="shared" si="380"/>
        <v>Housekeeping and events only</v>
      </c>
      <c r="D1718" s="737">
        <f t="shared" si="381"/>
        <v>1</v>
      </c>
      <c r="E1718" s="737" t="str">
        <f t="shared" si="382"/>
        <v>#VALUE!</v>
      </c>
      <c r="F1718" s="737">
        <v>1.0</v>
      </c>
      <c r="G1718" s="737" t="str">
        <f t="shared" si="383"/>
        <v>#VALUE!</v>
      </c>
      <c r="H1718" s="737" t="str">
        <f>MIN($Q$11/('Orbit Info'!G$10),$Q$8*60)</f>
        <v>#VALUE!</v>
      </c>
      <c r="I1718" s="737" t="str">
        <f>IF(D1718=1,$Q$12/'Data DownlinkStorage Budget'!$M$3,0)</f>
        <v>#VALUE!</v>
      </c>
      <c r="J1718" s="737" t="str">
        <f t="shared" si="388"/>
        <v>#VALUE!</v>
      </c>
      <c r="K1718" s="11"/>
      <c r="L1718" s="737" t="str">
        <f t="shared" si="385"/>
        <v>FOUND product plus housekeeping</v>
      </c>
      <c r="M1718" s="737" t="str">
        <f>MIN($Q$18,$Q$10*60)-IF(D1718=1,$Q$17/'Data DownlinkStorage Budget'!$M$3,0)</f>
        <v>#VALUE!</v>
      </c>
      <c r="N1718" s="182"/>
      <c r="O1718" s="737" t="str">
        <f t="shared" si="389"/>
        <v>#VALUE!</v>
      </c>
      <c r="P1718" s="11"/>
      <c r="Q1718" s="11"/>
      <c r="R1718" s="11"/>
      <c r="S1718" s="11"/>
      <c r="T1718" s="11"/>
      <c r="U1718" s="11"/>
      <c r="V1718" s="11"/>
      <c r="W1718" s="11"/>
      <c r="X1718" s="11"/>
      <c r="Y1718" s="11"/>
      <c r="Z1718" s="11"/>
      <c r="AA1718" s="11"/>
    </row>
    <row r="1719" ht="15.75" customHeight="1">
      <c r="A1719" s="737">
        <f t="shared" si="387"/>
        <v>0</v>
      </c>
      <c r="B1719" s="737">
        <f>A1719/'Orbit Info'!$G$10</f>
        <v>0</v>
      </c>
      <c r="C1719" s="737" t="str">
        <f t="shared" si="380"/>
        <v>Housekeeping and events only</v>
      </c>
      <c r="D1719" s="737">
        <f t="shared" si="381"/>
        <v>1</v>
      </c>
      <c r="E1719" s="737" t="str">
        <f t="shared" si="382"/>
        <v>#VALUE!</v>
      </c>
      <c r="F1719" s="737">
        <v>1.0</v>
      </c>
      <c r="G1719" s="737" t="str">
        <f t="shared" si="383"/>
        <v>#VALUE!</v>
      </c>
      <c r="H1719" s="737" t="str">
        <f>MIN($Q$11/('Orbit Info'!G$10),$Q$8*60)</f>
        <v>#VALUE!</v>
      </c>
      <c r="I1719" s="737" t="str">
        <f>IF(D1719=1,$Q$12/'Data DownlinkStorage Budget'!$M$3,0)</f>
        <v>#VALUE!</v>
      </c>
      <c r="J1719" s="737" t="str">
        <f t="shared" si="388"/>
        <v>#VALUE!</v>
      </c>
      <c r="K1719" s="11"/>
      <c r="L1719" s="737" t="str">
        <f t="shared" si="385"/>
        <v>FOUND product plus housekeeping</v>
      </c>
      <c r="M1719" s="737" t="str">
        <f>MIN($Q$18,$Q$10*60)-IF(D1719=1,$Q$17/'Data DownlinkStorage Budget'!$M$3,0)</f>
        <v>#VALUE!</v>
      </c>
      <c r="N1719" s="182"/>
      <c r="O1719" s="737" t="str">
        <f t="shared" si="389"/>
        <v>#VALUE!</v>
      </c>
      <c r="P1719" s="11"/>
      <c r="Q1719" s="11"/>
      <c r="R1719" s="11"/>
      <c r="S1719" s="11"/>
      <c r="T1719" s="11"/>
      <c r="U1719" s="11"/>
      <c r="V1719" s="11"/>
      <c r="W1719" s="11"/>
      <c r="X1719" s="11"/>
      <c r="Y1719" s="11"/>
      <c r="Z1719" s="11"/>
      <c r="AA1719" s="11"/>
    </row>
    <row r="1720" ht="15.75" customHeight="1">
      <c r="A1720" s="737">
        <f t="shared" si="387"/>
        <v>0</v>
      </c>
      <c r="B1720" s="737">
        <f>A1720/'Orbit Info'!$G$10</f>
        <v>0</v>
      </c>
      <c r="C1720" s="737" t="str">
        <f t="shared" si="380"/>
        <v>Housekeeping and events only</v>
      </c>
      <c r="D1720" s="737">
        <f t="shared" si="381"/>
        <v>1</v>
      </c>
      <c r="E1720" s="737" t="str">
        <f t="shared" si="382"/>
        <v>#VALUE!</v>
      </c>
      <c r="F1720" s="737">
        <v>1.0</v>
      </c>
      <c r="G1720" s="737" t="str">
        <f t="shared" si="383"/>
        <v>#VALUE!</v>
      </c>
      <c r="H1720" s="737" t="str">
        <f>MIN($Q$11/('Orbit Info'!G$10),$Q$8*60)</f>
        <v>#VALUE!</v>
      </c>
      <c r="I1720" s="737" t="str">
        <f>IF(D1720=1,$Q$12/'Data DownlinkStorage Budget'!$M$3,0)</f>
        <v>#VALUE!</v>
      </c>
      <c r="J1720" s="737" t="str">
        <f t="shared" si="388"/>
        <v>#VALUE!</v>
      </c>
      <c r="K1720" s="11"/>
      <c r="L1720" s="737" t="str">
        <f t="shared" si="385"/>
        <v>FOUND product plus housekeeping</v>
      </c>
      <c r="M1720" s="737" t="str">
        <f>MIN($Q$18,$Q$10*60)-IF(D1720=1,$Q$17/'Data DownlinkStorage Budget'!$M$3,0)</f>
        <v>#VALUE!</v>
      </c>
      <c r="N1720" s="182"/>
      <c r="O1720" s="737" t="str">
        <f t="shared" si="389"/>
        <v>#VALUE!</v>
      </c>
      <c r="P1720" s="11"/>
      <c r="Q1720" s="11"/>
      <c r="R1720" s="11"/>
      <c r="S1720" s="11"/>
      <c r="T1720" s="11"/>
      <c r="U1720" s="11"/>
      <c r="V1720" s="11"/>
      <c r="W1720" s="11"/>
      <c r="X1720" s="11"/>
      <c r="Y1720" s="11"/>
      <c r="Z1720" s="11"/>
      <c r="AA1720" s="11"/>
    </row>
    <row r="1721" ht="15.75" customHeight="1">
      <c r="A1721" s="737">
        <f t="shared" si="387"/>
        <v>0</v>
      </c>
      <c r="B1721" s="737">
        <f>A1721/'Orbit Info'!$G$10</f>
        <v>0</v>
      </c>
      <c r="C1721" s="737" t="str">
        <f t="shared" si="380"/>
        <v>Housekeeping and events only</v>
      </c>
      <c r="D1721" s="737">
        <f t="shared" si="381"/>
        <v>1</v>
      </c>
      <c r="E1721" s="737" t="str">
        <f t="shared" si="382"/>
        <v>#VALUE!</v>
      </c>
      <c r="F1721" s="737">
        <v>1.0</v>
      </c>
      <c r="G1721" s="737" t="str">
        <f t="shared" si="383"/>
        <v>#VALUE!</v>
      </c>
      <c r="H1721" s="737" t="str">
        <f>MIN($Q$11/('Orbit Info'!G$10),$Q$8*60)</f>
        <v>#VALUE!</v>
      </c>
      <c r="I1721" s="737" t="str">
        <f>IF(D1721=1,$Q$12/'Data DownlinkStorage Budget'!$M$3,0)</f>
        <v>#VALUE!</v>
      </c>
      <c r="J1721" s="737" t="str">
        <f t="shared" si="388"/>
        <v>#VALUE!</v>
      </c>
      <c r="K1721" s="11"/>
      <c r="L1721" s="737" t="str">
        <f t="shared" si="385"/>
        <v>FOUND product plus housekeeping</v>
      </c>
      <c r="M1721" s="737" t="str">
        <f>MIN($Q$18,$Q$10*60)-IF(D1721=1,$Q$17/'Data DownlinkStorage Budget'!$M$3,0)</f>
        <v>#VALUE!</v>
      </c>
      <c r="N1721" s="182"/>
      <c r="O1721" s="737" t="str">
        <f t="shared" si="389"/>
        <v>#VALUE!</v>
      </c>
      <c r="P1721" s="11"/>
      <c r="Q1721" s="11"/>
      <c r="R1721" s="11"/>
      <c r="S1721" s="11"/>
      <c r="T1721" s="11"/>
      <c r="U1721" s="11"/>
      <c r="V1721" s="11"/>
      <c r="W1721" s="11"/>
      <c r="X1721" s="11"/>
      <c r="Y1721" s="11"/>
      <c r="Z1721" s="11"/>
      <c r="AA1721" s="11"/>
    </row>
    <row r="1722" ht="15.75" customHeight="1">
      <c r="A1722" s="737">
        <f t="shared" si="387"/>
        <v>0</v>
      </c>
      <c r="B1722" s="737">
        <f>A1722/'Orbit Info'!$G$10</f>
        <v>0</v>
      </c>
      <c r="C1722" s="737" t="str">
        <f t="shared" si="380"/>
        <v>Housekeeping and events only</v>
      </c>
      <c r="D1722" s="737">
        <f t="shared" si="381"/>
        <v>1</v>
      </c>
      <c r="E1722" s="737" t="str">
        <f t="shared" si="382"/>
        <v>#VALUE!</v>
      </c>
      <c r="F1722" s="737">
        <v>1.0</v>
      </c>
      <c r="G1722" s="737" t="str">
        <f t="shared" si="383"/>
        <v>#VALUE!</v>
      </c>
      <c r="H1722" s="737" t="str">
        <f>MIN($Q$11/('Orbit Info'!G$10),$Q$8*60)</f>
        <v>#VALUE!</v>
      </c>
      <c r="I1722" s="737" t="str">
        <f>IF(D1722=1,$Q$12/'Data DownlinkStorage Budget'!$M$3,0)</f>
        <v>#VALUE!</v>
      </c>
      <c r="J1722" s="737" t="str">
        <f t="shared" si="388"/>
        <v>#VALUE!</v>
      </c>
      <c r="K1722" s="11"/>
      <c r="L1722" s="737" t="str">
        <f t="shared" si="385"/>
        <v>FOUND product plus housekeeping</v>
      </c>
      <c r="M1722" s="737" t="str">
        <f>MIN($Q$18,$Q$10*60)-IF(D1722=1,$Q$17/'Data DownlinkStorage Budget'!$M$3,0)</f>
        <v>#VALUE!</v>
      </c>
      <c r="N1722" s="182"/>
      <c r="O1722" s="737" t="str">
        <f t="shared" si="389"/>
        <v>#VALUE!</v>
      </c>
      <c r="P1722" s="11"/>
      <c r="Q1722" s="11"/>
      <c r="R1722" s="11"/>
      <c r="S1722" s="11"/>
      <c r="T1722" s="11"/>
      <c r="U1722" s="11"/>
      <c r="V1722" s="11"/>
      <c r="W1722" s="11"/>
      <c r="X1722" s="11"/>
      <c r="Y1722" s="11"/>
      <c r="Z1722" s="11"/>
      <c r="AA1722" s="11"/>
    </row>
    <row r="1723" ht="15.75" customHeight="1">
      <c r="A1723" s="737">
        <f t="shared" si="387"/>
        <v>0</v>
      </c>
      <c r="B1723" s="737">
        <f>A1723/'Orbit Info'!$G$10</f>
        <v>0</v>
      </c>
      <c r="C1723" s="737" t="str">
        <f t="shared" si="380"/>
        <v>Housekeeping and events only</v>
      </c>
      <c r="D1723" s="737">
        <f t="shared" si="381"/>
        <v>1</v>
      </c>
      <c r="E1723" s="737" t="str">
        <f t="shared" si="382"/>
        <v>#VALUE!</v>
      </c>
      <c r="F1723" s="737">
        <v>1.0</v>
      </c>
      <c r="G1723" s="737" t="str">
        <f t="shared" si="383"/>
        <v>#VALUE!</v>
      </c>
      <c r="H1723" s="737" t="str">
        <f>MIN($Q$11/('Orbit Info'!G$10),$Q$8*60)</f>
        <v>#VALUE!</v>
      </c>
      <c r="I1723" s="737" t="str">
        <f>IF(D1723=1,$Q$12/'Data DownlinkStorage Budget'!$M$3,0)</f>
        <v>#VALUE!</v>
      </c>
      <c r="J1723" s="737" t="str">
        <f t="shared" si="388"/>
        <v>#VALUE!</v>
      </c>
      <c r="K1723" s="11"/>
      <c r="L1723" s="737" t="str">
        <f t="shared" si="385"/>
        <v>FOUND product plus housekeeping</v>
      </c>
      <c r="M1723" s="737" t="str">
        <f>MIN($Q$18,$Q$10*60)-IF(D1723=1,$Q$17/'Data DownlinkStorage Budget'!$M$3,0)</f>
        <v>#VALUE!</v>
      </c>
      <c r="N1723" s="182"/>
      <c r="O1723" s="737" t="str">
        <f t="shared" si="389"/>
        <v>#VALUE!</v>
      </c>
      <c r="P1723" s="11"/>
      <c r="Q1723" s="11"/>
      <c r="R1723" s="11"/>
      <c r="S1723" s="11"/>
      <c r="T1723" s="11"/>
      <c r="U1723" s="11"/>
      <c r="V1723" s="11"/>
      <c r="W1723" s="11"/>
      <c r="X1723" s="11"/>
      <c r="Y1723" s="11"/>
      <c r="Z1723" s="11"/>
      <c r="AA1723" s="11"/>
    </row>
    <row r="1724" ht="15.75" customHeight="1">
      <c r="A1724" s="737">
        <f t="shared" si="387"/>
        <v>0</v>
      </c>
      <c r="B1724" s="737">
        <f>A1724/'Orbit Info'!$G$10</f>
        <v>0</v>
      </c>
      <c r="C1724" s="737" t="str">
        <f t="shared" si="380"/>
        <v>Housekeeping and events only</v>
      </c>
      <c r="D1724" s="737">
        <f t="shared" si="381"/>
        <v>1</v>
      </c>
      <c r="E1724" s="737" t="str">
        <f t="shared" si="382"/>
        <v>#VALUE!</v>
      </c>
      <c r="F1724" s="737">
        <v>1.0</v>
      </c>
      <c r="G1724" s="737" t="str">
        <f t="shared" si="383"/>
        <v>#VALUE!</v>
      </c>
      <c r="H1724" s="737" t="str">
        <f>MIN($Q$11/('Orbit Info'!G$10),$Q$8*60)</f>
        <v>#VALUE!</v>
      </c>
      <c r="I1724" s="737" t="str">
        <f>IF(D1724=1,$Q$12/'Data DownlinkStorage Budget'!$M$3,0)</f>
        <v>#VALUE!</v>
      </c>
      <c r="J1724" s="737" t="str">
        <f t="shared" si="388"/>
        <v>#VALUE!</v>
      </c>
      <c r="K1724" s="11"/>
      <c r="L1724" s="737" t="str">
        <f t="shared" si="385"/>
        <v>FOUND product plus housekeeping</v>
      </c>
      <c r="M1724" s="737" t="str">
        <f>MIN($Q$18,$Q$10*60)-IF(D1724=1,$Q$17/'Data DownlinkStorage Budget'!$M$3,0)</f>
        <v>#VALUE!</v>
      </c>
      <c r="N1724" s="182"/>
      <c r="O1724" s="737" t="str">
        <f t="shared" si="389"/>
        <v>#VALUE!</v>
      </c>
      <c r="P1724" s="11"/>
      <c r="Q1724" s="11"/>
      <c r="R1724" s="11"/>
      <c r="S1724" s="11"/>
      <c r="T1724" s="11"/>
      <c r="U1724" s="11"/>
      <c r="V1724" s="11"/>
      <c r="W1724" s="11"/>
      <c r="X1724" s="11"/>
      <c r="Y1724" s="11"/>
      <c r="Z1724" s="11"/>
      <c r="AA1724" s="11"/>
    </row>
    <row r="1725" ht="15.75" customHeight="1">
      <c r="A1725" s="737">
        <f t="shared" si="387"/>
        <v>0</v>
      </c>
      <c r="B1725" s="737">
        <f>A1725/'Orbit Info'!$G$10</f>
        <v>0</v>
      </c>
      <c r="C1725" s="737" t="str">
        <f t="shared" si="380"/>
        <v>Housekeeping and events only</v>
      </c>
      <c r="D1725" s="737">
        <f t="shared" si="381"/>
        <v>1</v>
      </c>
      <c r="E1725" s="737" t="str">
        <f t="shared" si="382"/>
        <v>#VALUE!</v>
      </c>
      <c r="F1725" s="737">
        <v>1.0</v>
      </c>
      <c r="G1725" s="737" t="str">
        <f t="shared" si="383"/>
        <v>#VALUE!</v>
      </c>
      <c r="H1725" s="737" t="str">
        <f>MIN($Q$11/('Orbit Info'!G$10),$Q$8*60)</f>
        <v>#VALUE!</v>
      </c>
      <c r="I1725" s="737" t="str">
        <f>IF(D1725=1,$Q$12/'Data DownlinkStorage Budget'!$M$3,0)</f>
        <v>#VALUE!</v>
      </c>
      <c r="J1725" s="737" t="str">
        <f t="shared" si="388"/>
        <v>#VALUE!</v>
      </c>
      <c r="K1725" s="11"/>
      <c r="L1725" s="737" t="str">
        <f t="shared" si="385"/>
        <v>FOUND product plus housekeeping</v>
      </c>
      <c r="M1725" s="737" t="str">
        <f>MIN($Q$18,$Q$10*60)-IF(D1725=1,$Q$17/'Data DownlinkStorage Budget'!$M$3,0)</f>
        <v>#VALUE!</v>
      </c>
      <c r="N1725" s="182"/>
      <c r="O1725" s="737" t="str">
        <f t="shared" si="389"/>
        <v>#VALUE!</v>
      </c>
      <c r="P1725" s="11"/>
      <c r="Q1725" s="11"/>
      <c r="R1725" s="11"/>
      <c r="S1725" s="11"/>
      <c r="T1725" s="11"/>
      <c r="U1725" s="11"/>
      <c r="V1725" s="11"/>
      <c r="W1725" s="11"/>
      <c r="X1725" s="11"/>
      <c r="Y1725" s="11"/>
      <c r="Z1725" s="11"/>
      <c r="AA1725" s="11"/>
    </row>
    <row r="1726" ht="15.75" customHeight="1">
      <c r="A1726" s="737">
        <f t="shared" si="387"/>
        <v>0</v>
      </c>
      <c r="B1726" s="737">
        <f>A1726/'Orbit Info'!$G$10</f>
        <v>0</v>
      </c>
      <c r="C1726" s="737" t="str">
        <f t="shared" si="380"/>
        <v>Housekeeping and events only</v>
      </c>
      <c r="D1726" s="737">
        <f t="shared" si="381"/>
        <v>1</v>
      </c>
      <c r="E1726" s="737" t="str">
        <f t="shared" si="382"/>
        <v>#VALUE!</v>
      </c>
      <c r="F1726" s="737">
        <v>1.0</v>
      </c>
      <c r="G1726" s="737" t="str">
        <f t="shared" si="383"/>
        <v>#VALUE!</v>
      </c>
      <c r="H1726" s="737" t="str">
        <f>MIN($Q$11/('Orbit Info'!G$10),$Q$8*60)</f>
        <v>#VALUE!</v>
      </c>
      <c r="I1726" s="737" t="str">
        <f>IF(D1726=1,$Q$12/'Data DownlinkStorage Budget'!$M$3,0)</f>
        <v>#VALUE!</v>
      </c>
      <c r="J1726" s="737" t="str">
        <f t="shared" si="388"/>
        <v>#VALUE!</v>
      </c>
      <c r="K1726" s="11"/>
      <c r="L1726" s="737" t="str">
        <f t="shared" si="385"/>
        <v>FOUND product plus housekeeping</v>
      </c>
      <c r="M1726" s="737" t="str">
        <f>MIN($Q$18,$Q$10*60)-IF(D1726=1,$Q$17/'Data DownlinkStorage Budget'!$M$3,0)</f>
        <v>#VALUE!</v>
      </c>
      <c r="N1726" s="182"/>
      <c r="O1726" s="737" t="str">
        <f t="shared" si="389"/>
        <v>#VALUE!</v>
      </c>
      <c r="P1726" s="11"/>
      <c r="Q1726" s="11"/>
      <c r="R1726" s="11"/>
      <c r="S1726" s="11"/>
      <c r="T1726" s="11"/>
      <c r="U1726" s="11"/>
      <c r="V1726" s="11"/>
      <c r="W1726" s="11"/>
      <c r="X1726" s="11"/>
      <c r="Y1726" s="11"/>
      <c r="Z1726" s="11"/>
      <c r="AA1726" s="11"/>
    </row>
    <row r="1727" ht="15.75" customHeight="1">
      <c r="A1727" s="737">
        <f t="shared" si="387"/>
        <v>0</v>
      </c>
      <c r="B1727" s="737">
        <f>A1727/'Orbit Info'!$G$10</f>
        <v>0</v>
      </c>
      <c r="C1727" s="737" t="str">
        <f t="shared" si="380"/>
        <v>Housekeeping and events only</v>
      </c>
      <c r="D1727" s="737">
        <f t="shared" si="381"/>
        <v>1</v>
      </c>
      <c r="E1727" s="737" t="str">
        <f t="shared" si="382"/>
        <v>#VALUE!</v>
      </c>
      <c r="F1727" s="737">
        <v>1.0</v>
      </c>
      <c r="G1727" s="737" t="str">
        <f t="shared" si="383"/>
        <v>#VALUE!</v>
      </c>
      <c r="H1727" s="737" t="str">
        <f>MIN($Q$11/('Orbit Info'!G$10),$Q$8*60)</f>
        <v>#VALUE!</v>
      </c>
      <c r="I1727" s="737" t="str">
        <f>IF(D1727=1,$Q$12/'Data DownlinkStorage Budget'!$M$3,0)</f>
        <v>#VALUE!</v>
      </c>
      <c r="J1727" s="737" t="str">
        <f t="shared" si="388"/>
        <v>#VALUE!</v>
      </c>
      <c r="K1727" s="11"/>
      <c r="L1727" s="737" t="str">
        <f t="shared" si="385"/>
        <v>FOUND product plus housekeeping</v>
      </c>
      <c r="M1727" s="737" t="str">
        <f>MIN($Q$18,$Q$10*60)-IF(D1727=1,$Q$17/'Data DownlinkStorage Budget'!$M$3,0)</f>
        <v>#VALUE!</v>
      </c>
      <c r="N1727" s="182"/>
      <c r="O1727" s="737" t="str">
        <f t="shared" si="389"/>
        <v>#VALUE!</v>
      </c>
      <c r="P1727" s="11"/>
      <c r="Q1727" s="11"/>
      <c r="R1727" s="11"/>
      <c r="S1727" s="11"/>
      <c r="T1727" s="11"/>
      <c r="U1727" s="11"/>
      <c r="V1727" s="11"/>
      <c r="W1727" s="11"/>
      <c r="X1727" s="11"/>
      <c r="Y1727" s="11"/>
      <c r="Z1727" s="11"/>
      <c r="AA1727" s="11"/>
    </row>
    <row r="1728" ht="15.75" customHeight="1">
      <c r="A1728" s="737">
        <f t="shared" si="387"/>
        <v>0</v>
      </c>
      <c r="B1728" s="737">
        <f>A1728/'Orbit Info'!$G$10</f>
        <v>0</v>
      </c>
      <c r="C1728" s="737" t="str">
        <f t="shared" si="380"/>
        <v>Housekeeping and events only</v>
      </c>
      <c r="D1728" s="737">
        <f t="shared" si="381"/>
        <v>1</v>
      </c>
      <c r="E1728" s="737" t="str">
        <f t="shared" si="382"/>
        <v>#VALUE!</v>
      </c>
      <c r="F1728" s="737">
        <v>1.0</v>
      </c>
      <c r="G1728" s="737" t="str">
        <f t="shared" si="383"/>
        <v>#VALUE!</v>
      </c>
      <c r="H1728" s="737" t="str">
        <f>MIN($Q$11/('Orbit Info'!G$10),$Q$8*60)</f>
        <v>#VALUE!</v>
      </c>
      <c r="I1728" s="737" t="str">
        <f>IF(D1728=1,$Q$12/'Data DownlinkStorage Budget'!$M$3,0)</f>
        <v>#VALUE!</v>
      </c>
      <c r="J1728" s="737" t="str">
        <f t="shared" si="388"/>
        <v>#VALUE!</v>
      </c>
      <c r="K1728" s="11"/>
      <c r="L1728" s="737" t="str">
        <f t="shared" si="385"/>
        <v>FOUND product plus housekeeping</v>
      </c>
      <c r="M1728" s="737" t="str">
        <f>MIN($Q$18,$Q$10*60)-IF(D1728=1,$Q$17/'Data DownlinkStorage Budget'!$M$3,0)</f>
        <v>#VALUE!</v>
      </c>
      <c r="N1728" s="182"/>
      <c r="O1728" s="737" t="str">
        <f t="shared" si="389"/>
        <v>#VALUE!</v>
      </c>
      <c r="P1728" s="11"/>
      <c r="Q1728" s="11"/>
      <c r="R1728" s="11"/>
      <c r="S1728" s="11"/>
      <c r="T1728" s="11"/>
      <c r="U1728" s="11"/>
      <c r="V1728" s="11"/>
      <c r="W1728" s="11"/>
      <c r="X1728" s="11"/>
      <c r="Y1728" s="11"/>
      <c r="Z1728" s="11"/>
      <c r="AA1728" s="11"/>
    </row>
    <row r="1729" ht="15.75" customHeight="1">
      <c r="A1729" s="737">
        <f t="shared" si="387"/>
        <v>0</v>
      </c>
      <c r="B1729" s="737">
        <f>A1729/'Orbit Info'!$G$10</f>
        <v>0</v>
      </c>
      <c r="C1729" s="737" t="str">
        <f t="shared" si="380"/>
        <v>Housekeeping and events only</v>
      </c>
      <c r="D1729" s="737">
        <f t="shared" si="381"/>
        <v>1</v>
      </c>
      <c r="E1729" s="737" t="str">
        <f t="shared" si="382"/>
        <v>#VALUE!</v>
      </c>
      <c r="F1729" s="737">
        <v>1.0</v>
      </c>
      <c r="G1729" s="737" t="str">
        <f t="shared" si="383"/>
        <v>#VALUE!</v>
      </c>
      <c r="H1729" s="737" t="str">
        <f>MIN($Q$11/('Orbit Info'!G$10),$Q$8*60)</f>
        <v>#VALUE!</v>
      </c>
      <c r="I1729" s="737" t="str">
        <f>IF(D1729=1,$Q$12/'Data DownlinkStorage Budget'!$M$3,0)</f>
        <v>#VALUE!</v>
      </c>
      <c r="J1729" s="737" t="str">
        <f t="shared" si="388"/>
        <v>#VALUE!</v>
      </c>
      <c r="K1729" s="11"/>
      <c r="L1729" s="737" t="str">
        <f t="shared" si="385"/>
        <v>FOUND product plus housekeeping</v>
      </c>
      <c r="M1729" s="737" t="str">
        <f>MIN($Q$18,$Q$10*60)-IF(D1729=1,$Q$17/'Data DownlinkStorage Budget'!$M$3,0)</f>
        <v>#VALUE!</v>
      </c>
      <c r="N1729" s="182"/>
      <c r="O1729" s="737" t="str">
        <f t="shared" si="389"/>
        <v>#VALUE!</v>
      </c>
      <c r="P1729" s="11"/>
      <c r="Q1729" s="11"/>
      <c r="R1729" s="11"/>
      <c r="S1729" s="11"/>
      <c r="T1729" s="11"/>
      <c r="U1729" s="11"/>
      <c r="V1729" s="11"/>
      <c r="W1729" s="11"/>
      <c r="X1729" s="11"/>
      <c r="Y1729" s="11"/>
      <c r="Z1729" s="11"/>
      <c r="AA1729" s="11"/>
    </row>
    <row r="1730" ht="15.75" customHeight="1">
      <c r="A1730" s="737">
        <f t="shared" si="387"/>
        <v>0</v>
      </c>
      <c r="B1730" s="737">
        <f>A1730/'Orbit Info'!$G$10</f>
        <v>0</v>
      </c>
      <c r="C1730" s="737" t="str">
        <f t="shared" si="380"/>
        <v>Housekeeping and events only</v>
      </c>
      <c r="D1730" s="737">
        <f t="shared" si="381"/>
        <v>1</v>
      </c>
      <c r="E1730" s="737" t="str">
        <f t="shared" si="382"/>
        <v>#VALUE!</v>
      </c>
      <c r="F1730" s="737">
        <v>1.0</v>
      </c>
      <c r="G1730" s="737" t="str">
        <f t="shared" si="383"/>
        <v>#VALUE!</v>
      </c>
      <c r="H1730" s="737" t="str">
        <f>MIN($Q$11/('Orbit Info'!G$10),$Q$8*60)</f>
        <v>#VALUE!</v>
      </c>
      <c r="I1730" s="737" t="str">
        <f>IF(D1730=1,$Q$12/'Data DownlinkStorage Budget'!$M$3,0)</f>
        <v>#VALUE!</v>
      </c>
      <c r="J1730" s="737" t="str">
        <f t="shared" si="388"/>
        <v>#VALUE!</v>
      </c>
      <c r="K1730" s="11"/>
      <c r="L1730" s="737" t="str">
        <f t="shared" si="385"/>
        <v>FOUND product plus housekeeping</v>
      </c>
      <c r="M1730" s="737" t="str">
        <f>MIN($Q$18,$Q$10*60)-IF(D1730=1,$Q$17/'Data DownlinkStorage Budget'!$M$3,0)</f>
        <v>#VALUE!</v>
      </c>
      <c r="N1730" s="182"/>
      <c r="O1730" s="737" t="str">
        <f t="shared" si="389"/>
        <v>#VALUE!</v>
      </c>
      <c r="P1730" s="11"/>
      <c r="Q1730" s="11"/>
      <c r="R1730" s="11"/>
      <c r="S1730" s="11"/>
      <c r="T1730" s="11"/>
      <c r="U1730" s="11"/>
      <c r="V1730" s="11"/>
      <c r="W1730" s="11"/>
      <c r="X1730" s="11"/>
      <c r="Y1730" s="11"/>
      <c r="Z1730" s="11"/>
      <c r="AA1730" s="11"/>
    </row>
    <row r="1731" ht="15.75" customHeight="1">
      <c r="A1731" s="737">
        <f t="shared" si="387"/>
        <v>0</v>
      </c>
      <c r="B1731" s="737">
        <f>A1731/'Orbit Info'!$G$10</f>
        <v>0</v>
      </c>
      <c r="C1731" s="737" t="str">
        <f t="shared" si="380"/>
        <v>Housekeeping and events only</v>
      </c>
      <c r="D1731" s="737">
        <f t="shared" si="381"/>
        <v>1</v>
      </c>
      <c r="E1731" s="737" t="str">
        <f t="shared" si="382"/>
        <v>#VALUE!</v>
      </c>
      <c r="F1731" s="737">
        <v>1.0</v>
      </c>
      <c r="G1731" s="737" t="str">
        <f t="shared" si="383"/>
        <v>#VALUE!</v>
      </c>
      <c r="H1731" s="737" t="str">
        <f>MIN($Q$11/('Orbit Info'!G$10),$Q$8*60)</f>
        <v>#VALUE!</v>
      </c>
      <c r="I1731" s="737" t="str">
        <f>IF(D1731=1,$Q$12/'Data DownlinkStorage Budget'!$M$3,0)</f>
        <v>#VALUE!</v>
      </c>
      <c r="J1731" s="737" t="str">
        <f t="shared" si="388"/>
        <v>#VALUE!</v>
      </c>
      <c r="K1731" s="11"/>
      <c r="L1731" s="737" t="str">
        <f t="shared" si="385"/>
        <v>FOUND product plus housekeeping</v>
      </c>
      <c r="M1731" s="737" t="str">
        <f>MIN($Q$18,$Q$10*60)-IF(D1731=1,$Q$17/'Data DownlinkStorage Budget'!$M$3,0)</f>
        <v>#VALUE!</v>
      </c>
      <c r="N1731" s="182"/>
      <c r="O1731" s="737" t="str">
        <f t="shared" si="389"/>
        <v>#VALUE!</v>
      </c>
      <c r="P1731" s="11"/>
      <c r="Q1731" s="11"/>
      <c r="R1731" s="11"/>
      <c r="S1731" s="11"/>
      <c r="T1731" s="11"/>
      <c r="U1731" s="11"/>
      <c r="V1731" s="11"/>
      <c r="W1731" s="11"/>
      <c r="X1731" s="11"/>
      <c r="Y1731" s="11"/>
      <c r="Z1731" s="11"/>
      <c r="AA1731" s="11"/>
    </row>
    <row r="1732" ht="15.75" customHeight="1">
      <c r="A1732" s="737">
        <f t="shared" si="387"/>
        <v>0</v>
      </c>
      <c r="B1732" s="737">
        <f>A1732/'Orbit Info'!$G$10</f>
        <v>0</v>
      </c>
      <c r="C1732" s="737" t="str">
        <f t="shared" si="380"/>
        <v>Housekeeping and events only</v>
      </c>
      <c r="D1732" s="737">
        <f t="shared" si="381"/>
        <v>1</v>
      </c>
      <c r="E1732" s="737" t="str">
        <f t="shared" si="382"/>
        <v>#VALUE!</v>
      </c>
      <c r="F1732" s="737">
        <v>1.0</v>
      </c>
      <c r="G1732" s="737" t="str">
        <f t="shared" si="383"/>
        <v>#VALUE!</v>
      </c>
      <c r="H1732" s="737" t="str">
        <f>MIN($Q$11/('Orbit Info'!G$10),$Q$8*60)</f>
        <v>#VALUE!</v>
      </c>
      <c r="I1732" s="737" t="str">
        <f>IF(D1732=1,$Q$12/'Data DownlinkStorage Budget'!$M$3,0)</f>
        <v>#VALUE!</v>
      </c>
      <c r="J1732" s="737" t="str">
        <f t="shared" si="388"/>
        <v>#VALUE!</v>
      </c>
      <c r="K1732" s="11"/>
      <c r="L1732" s="737" t="str">
        <f t="shared" si="385"/>
        <v>FOUND product plus housekeeping</v>
      </c>
      <c r="M1732" s="737" t="str">
        <f>MIN($Q$18,$Q$10*60)-IF(D1732=1,$Q$17/'Data DownlinkStorage Budget'!$M$3,0)</f>
        <v>#VALUE!</v>
      </c>
      <c r="N1732" s="182"/>
      <c r="O1732" s="737" t="str">
        <f t="shared" si="389"/>
        <v>#VALUE!</v>
      </c>
      <c r="P1732" s="11"/>
      <c r="Q1732" s="11"/>
      <c r="R1732" s="11"/>
      <c r="S1732" s="11"/>
      <c r="T1732" s="11"/>
      <c r="U1732" s="11"/>
      <c r="V1732" s="11"/>
      <c r="W1732" s="11"/>
      <c r="X1732" s="11"/>
      <c r="Y1732" s="11"/>
      <c r="Z1732" s="11"/>
      <c r="AA1732" s="11"/>
    </row>
    <row r="1733" ht="15.75" customHeight="1">
      <c r="A1733" s="737">
        <f t="shared" si="387"/>
        <v>0</v>
      </c>
      <c r="B1733" s="737">
        <f>A1733/'Orbit Info'!$G$10</f>
        <v>0</v>
      </c>
      <c r="C1733" s="737" t="str">
        <f t="shared" si="380"/>
        <v>Housekeeping and events only</v>
      </c>
      <c r="D1733" s="737">
        <f t="shared" si="381"/>
        <v>1</v>
      </c>
      <c r="E1733" s="737" t="str">
        <f t="shared" si="382"/>
        <v>#VALUE!</v>
      </c>
      <c r="F1733" s="737">
        <v>1.0</v>
      </c>
      <c r="G1733" s="737" t="str">
        <f t="shared" si="383"/>
        <v>#VALUE!</v>
      </c>
      <c r="H1733" s="737" t="str">
        <f>MIN($Q$11/('Orbit Info'!G$10),$Q$8*60)</f>
        <v>#VALUE!</v>
      </c>
      <c r="I1733" s="737" t="str">
        <f>IF(D1733=1,$Q$12/'Data DownlinkStorage Budget'!$M$3,0)</f>
        <v>#VALUE!</v>
      </c>
      <c r="J1733" s="737" t="str">
        <f t="shared" si="388"/>
        <v>#VALUE!</v>
      </c>
      <c r="K1733" s="11"/>
      <c r="L1733" s="737" t="str">
        <f t="shared" si="385"/>
        <v>FOUND product plus housekeeping</v>
      </c>
      <c r="M1733" s="737" t="str">
        <f>MIN($Q$18,$Q$10*60)-IF(D1733=1,$Q$17/'Data DownlinkStorage Budget'!$M$3,0)</f>
        <v>#VALUE!</v>
      </c>
      <c r="N1733" s="182"/>
      <c r="O1733" s="737" t="str">
        <f t="shared" si="389"/>
        <v>#VALUE!</v>
      </c>
      <c r="P1733" s="11"/>
      <c r="Q1733" s="11"/>
      <c r="R1733" s="11"/>
      <c r="S1733" s="11"/>
      <c r="T1733" s="11"/>
      <c r="U1733" s="11"/>
      <c r="V1733" s="11"/>
      <c r="W1733" s="11"/>
      <c r="X1733" s="11"/>
      <c r="Y1733" s="11"/>
      <c r="Z1733" s="11"/>
      <c r="AA1733" s="11"/>
    </row>
    <row r="1734" ht="15.75" customHeight="1">
      <c r="A1734" s="737">
        <f t="shared" si="387"/>
        <v>0</v>
      </c>
      <c r="B1734" s="737">
        <f>A1734/'Orbit Info'!$G$10</f>
        <v>0</v>
      </c>
      <c r="C1734" s="737" t="str">
        <f t="shared" si="380"/>
        <v>Housekeeping and events only</v>
      </c>
      <c r="D1734" s="737">
        <f t="shared" si="381"/>
        <v>1</v>
      </c>
      <c r="E1734" s="737" t="str">
        <f t="shared" si="382"/>
        <v>#VALUE!</v>
      </c>
      <c r="F1734" s="737">
        <v>1.0</v>
      </c>
      <c r="G1734" s="737" t="str">
        <f t="shared" si="383"/>
        <v>#VALUE!</v>
      </c>
      <c r="H1734" s="737" t="str">
        <f>MIN($Q$11/('Orbit Info'!G$10),$Q$8*60)</f>
        <v>#VALUE!</v>
      </c>
      <c r="I1734" s="737" t="str">
        <f>IF(D1734=1,$Q$12/'Data DownlinkStorage Budget'!$M$3,0)</f>
        <v>#VALUE!</v>
      </c>
      <c r="J1734" s="737" t="str">
        <f t="shared" si="388"/>
        <v>#VALUE!</v>
      </c>
      <c r="K1734" s="11"/>
      <c r="L1734" s="737" t="str">
        <f t="shared" si="385"/>
        <v>FOUND product plus housekeeping</v>
      </c>
      <c r="M1734" s="737" t="str">
        <f>MIN($Q$18,$Q$10*60)-IF(D1734=1,$Q$17/'Data DownlinkStorage Budget'!$M$3,0)</f>
        <v>#VALUE!</v>
      </c>
      <c r="N1734" s="182"/>
      <c r="O1734" s="737" t="str">
        <f t="shared" si="389"/>
        <v>#VALUE!</v>
      </c>
      <c r="P1734" s="11"/>
      <c r="Q1734" s="11"/>
      <c r="R1734" s="11"/>
      <c r="S1734" s="11"/>
      <c r="T1734" s="11"/>
      <c r="U1734" s="11"/>
      <c r="V1734" s="11"/>
      <c r="W1734" s="11"/>
      <c r="X1734" s="11"/>
      <c r="Y1734" s="11"/>
      <c r="Z1734" s="11"/>
      <c r="AA1734" s="11"/>
    </row>
    <row r="1735" ht="15.75" customHeight="1">
      <c r="A1735" s="737">
        <f t="shared" si="387"/>
        <v>0</v>
      </c>
      <c r="B1735" s="737">
        <f>A1735/'Orbit Info'!$G$10</f>
        <v>0</v>
      </c>
      <c r="C1735" s="737" t="str">
        <f t="shared" si="380"/>
        <v>Housekeeping and events only</v>
      </c>
      <c r="D1735" s="737">
        <f t="shared" si="381"/>
        <v>1</v>
      </c>
      <c r="E1735" s="737" t="str">
        <f t="shared" si="382"/>
        <v>#VALUE!</v>
      </c>
      <c r="F1735" s="737">
        <v>1.0</v>
      </c>
      <c r="G1735" s="737" t="str">
        <f t="shared" si="383"/>
        <v>#VALUE!</v>
      </c>
      <c r="H1735" s="737" t="str">
        <f>MIN($Q$11/('Orbit Info'!G$10),$Q$8*60)</f>
        <v>#VALUE!</v>
      </c>
      <c r="I1735" s="737" t="str">
        <f>IF(D1735=1,$Q$12/'Data DownlinkStorage Budget'!$M$3,0)</f>
        <v>#VALUE!</v>
      </c>
      <c r="J1735" s="737" t="str">
        <f t="shared" si="388"/>
        <v>#VALUE!</v>
      </c>
      <c r="K1735" s="11"/>
      <c r="L1735" s="737" t="str">
        <f t="shared" si="385"/>
        <v>FOUND product plus housekeeping</v>
      </c>
      <c r="M1735" s="737" t="str">
        <f>MIN($Q$18,$Q$10*60)-IF(D1735=1,$Q$17/'Data DownlinkStorage Budget'!$M$3,0)</f>
        <v>#VALUE!</v>
      </c>
      <c r="N1735" s="182"/>
      <c r="O1735" s="737" t="str">
        <f t="shared" si="389"/>
        <v>#VALUE!</v>
      </c>
      <c r="P1735" s="11"/>
      <c r="Q1735" s="11"/>
      <c r="R1735" s="11"/>
      <c r="S1735" s="11"/>
      <c r="T1735" s="11"/>
      <c r="U1735" s="11"/>
      <c r="V1735" s="11"/>
      <c r="W1735" s="11"/>
      <c r="X1735" s="11"/>
      <c r="Y1735" s="11"/>
      <c r="Z1735" s="11"/>
      <c r="AA1735" s="11"/>
    </row>
    <row r="1736" ht="15.75" customHeight="1">
      <c r="A1736" s="737">
        <f t="shared" si="387"/>
        <v>0</v>
      </c>
      <c r="B1736" s="737">
        <f>A1736/'Orbit Info'!$G$10</f>
        <v>0</v>
      </c>
      <c r="C1736" s="737" t="str">
        <f t="shared" si="380"/>
        <v>Housekeeping and events only</v>
      </c>
      <c r="D1736" s="737">
        <f t="shared" si="381"/>
        <v>1</v>
      </c>
      <c r="E1736" s="737" t="str">
        <f t="shared" si="382"/>
        <v>#VALUE!</v>
      </c>
      <c r="F1736" s="737">
        <v>1.0</v>
      </c>
      <c r="G1736" s="737" t="str">
        <f t="shared" si="383"/>
        <v>#VALUE!</v>
      </c>
      <c r="H1736" s="737" t="str">
        <f>MIN($Q$11/('Orbit Info'!G$10),$Q$8*60)</f>
        <v>#VALUE!</v>
      </c>
      <c r="I1736" s="737" t="str">
        <f>IF(D1736=1,$Q$12/'Data DownlinkStorage Budget'!$M$3,0)</f>
        <v>#VALUE!</v>
      </c>
      <c r="J1736" s="737" t="str">
        <f t="shared" si="388"/>
        <v>#VALUE!</v>
      </c>
      <c r="K1736" s="11"/>
      <c r="L1736" s="737" t="str">
        <f t="shared" si="385"/>
        <v>FOUND product plus housekeeping</v>
      </c>
      <c r="M1736" s="737" t="str">
        <f>MIN($Q$18,$Q$10*60)-IF(D1736=1,$Q$17/'Data DownlinkStorage Budget'!$M$3,0)</f>
        <v>#VALUE!</v>
      </c>
      <c r="N1736" s="182"/>
      <c r="O1736" s="737" t="str">
        <f t="shared" si="389"/>
        <v>#VALUE!</v>
      </c>
      <c r="P1736" s="11"/>
      <c r="Q1736" s="11"/>
      <c r="R1736" s="11"/>
      <c r="S1736" s="11"/>
      <c r="T1736" s="11"/>
      <c r="U1736" s="11"/>
      <c r="V1736" s="11"/>
      <c r="W1736" s="11"/>
      <c r="X1736" s="11"/>
      <c r="Y1736" s="11"/>
      <c r="Z1736" s="11"/>
      <c r="AA1736" s="11"/>
    </row>
    <row r="1737" ht="15.75" customHeight="1">
      <c r="A1737" s="737">
        <f t="shared" si="387"/>
        <v>0</v>
      </c>
      <c r="B1737" s="737">
        <f>A1737/'Orbit Info'!$G$10</f>
        <v>0</v>
      </c>
      <c r="C1737" s="737" t="str">
        <f t="shared" si="380"/>
        <v>Housekeeping and events only</v>
      </c>
      <c r="D1737" s="737">
        <f t="shared" si="381"/>
        <v>1</v>
      </c>
      <c r="E1737" s="737" t="str">
        <f t="shared" si="382"/>
        <v>#VALUE!</v>
      </c>
      <c r="F1737" s="737">
        <v>1.0</v>
      </c>
      <c r="G1737" s="737" t="str">
        <f t="shared" si="383"/>
        <v>#VALUE!</v>
      </c>
      <c r="H1737" s="737" t="str">
        <f>MIN($Q$11/('Orbit Info'!G$10),$Q$8*60)</f>
        <v>#VALUE!</v>
      </c>
      <c r="I1737" s="737" t="str">
        <f>IF(D1737=1,$Q$12/'Data DownlinkStorage Budget'!$M$3,0)</f>
        <v>#VALUE!</v>
      </c>
      <c r="J1737" s="737" t="str">
        <f t="shared" si="388"/>
        <v>#VALUE!</v>
      </c>
      <c r="K1737" s="11"/>
      <c r="L1737" s="737" t="str">
        <f t="shared" si="385"/>
        <v>FOUND product plus housekeeping</v>
      </c>
      <c r="M1737" s="737" t="str">
        <f>MIN($Q$18,$Q$10*60)-IF(D1737=1,$Q$17/'Data DownlinkStorage Budget'!$M$3,0)</f>
        <v>#VALUE!</v>
      </c>
      <c r="N1737" s="182"/>
      <c r="O1737" s="737" t="str">
        <f t="shared" si="389"/>
        <v>#VALUE!</v>
      </c>
      <c r="P1737" s="11"/>
      <c r="Q1737" s="11"/>
      <c r="R1737" s="11"/>
      <c r="S1737" s="11"/>
      <c r="T1737" s="11"/>
      <c r="U1737" s="11"/>
      <c r="V1737" s="11"/>
      <c r="W1737" s="11"/>
      <c r="X1737" s="11"/>
      <c r="Y1737" s="11"/>
      <c r="Z1737" s="11"/>
      <c r="AA1737" s="11"/>
    </row>
    <row r="1738" ht="15.75" customHeight="1">
      <c r="A1738" s="737">
        <f t="shared" si="387"/>
        <v>0</v>
      </c>
      <c r="B1738" s="737">
        <f>A1738/'Orbit Info'!$G$10</f>
        <v>0</v>
      </c>
      <c r="C1738" s="737" t="str">
        <f t="shared" si="380"/>
        <v>Housekeeping and events only</v>
      </c>
      <c r="D1738" s="737">
        <f t="shared" si="381"/>
        <v>1</v>
      </c>
      <c r="E1738" s="737" t="str">
        <f t="shared" si="382"/>
        <v>#VALUE!</v>
      </c>
      <c r="F1738" s="737">
        <v>1.0</v>
      </c>
      <c r="G1738" s="737" t="str">
        <f t="shared" si="383"/>
        <v>#VALUE!</v>
      </c>
      <c r="H1738" s="737" t="str">
        <f>MIN($Q$11/('Orbit Info'!G$10),$Q$8*60)</f>
        <v>#VALUE!</v>
      </c>
      <c r="I1738" s="737" t="str">
        <f>IF(D1738=1,$Q$12/'Data DownlinkStorage Budget'!$M$3,0)</f>
        <v>#VALUE!</v>
      </c>
      <c r="J1738" s="737" t="str">
        <f t="shared" si="388"/>
        <v>#VALUE!</v>
      </c>
      <c r="K1738" s="11"/>
      <c r="L1738" s="737" t="str">
        <f t="shared" si="385"/>
        <v>FOUND product plus housekeeping</v>
      </c>
      <c r="M1738" s="737" t="str">
        <f>MIN($Q$18,$Q$10*60)-IF(D1738=1,$Q$17/'Data DownlinkStorage Budget'!$M$3,0)</f>
        <v>#VALUE!</v>
      </c>
      <c r="N1738" s="182"/>
      <c r="O1738" s="737" t="str">
        <f t="shared" si="389"/>
        <v>#VALUE!</v>
      </c>
      <c r="P1738" s="11"/>
      <c r="Q1738" s="11"/>
      <c r="R1738" s="11"/>
      <c r="S1738" s="11"/>
      <c r="T1738" s="11"/>
      <c r="U1738" s="11"/>
      <c r="V1738" s="11"/>
      <c r="W1738" s="11"/>
      <c r="X1738" s="11"/>
      <c r="Y1738" s="11"/>
      <c r="Z1738" s="11"/>
      <c r="AA1738" s="11"/>
    </row>
    <row r="1739" ht="15.75" customHeight="1">
      <c r="A1739" s="737">
        <f t="shared" si="387"/>
        <v>0</v>
      </c>
      <c r="B1739" s="737">
        <f>A1739/'Orbit Info'!$G$10</f>
        <v>0</v>
      </c>
      <c r="C1739" s="737" t="str">
        <f t="shared" si="380"/>
        <v>Housekeeping and events only</v>
      </c>
      <c r="D1739" s="737">
        <f t="shared" si="381"/>
        <v>1</v>
      </c>
      <c r="E1739" s="737" t="str">
        <f t="shared" si="382"/>
        <v>#VALUE!</v>
      </c>
      <c r="F1739" s="737">
        <v>1.0</v>
      </c>
      <c r="G1739" s="737" t="str">
        <f t="shared" si="383"/>
        <v>#VALUE!</v>
      </c>
      <c r="H1739" s="737" t="str">
        <f>MIN($Q$11/('Orbit Info'!G$10),$Q$8*60)</f>
        <v>#VALUE!</v>
      </c>
      <c r="I1739" s="737" t="str">
        <f>IF(D1739=1,$Q$12/'Data DownlinkStorage Budget'!$M$3,0)</f>
        <v>#VALUE!</v>
      </c>
      <c r="J1739" s="737" t="str">
        <f t="shared" si="388"/>
        <v>#VALUE!</v>
      </c>
      <c r="K1739" s="11"/>
      <c r="L1739" s="737" t="str">
        <f t="shared" si="385"/>
        <v>FOUND product plus housekeeping</v>
      </c>
      <c r="M1739" s="737" t="str">
        <f>MIN($Q$18,$Q$10*60)-IF(D1739=1,$Q$17/'Data DownlinkStorage Budget'!$M$3,0)</f>
        <v>#VALUE!</v>
      </c>
      <c r="N1739" s="182"/>
      <c r="O1739" s="737" t="str">
        <f t="shared" si="389"/>
        <v>#VALUE!</v>
      </c>
      <c r="P1739" s="11"/>
      <c r="Q1739" s="11"/>
      <c r="R1739" s="11"/>
      <c r="S1739" s="11"/>
      <c r="T1739" s="11"/>
      <c r="U1739" s="11"/>
      <c r="V1739" s="11"/>
      <c r="W1739" s="11"/>
      <c r="X1739" s="11"/>
      <c r="Y1739" s="11"/>
      <c r="Z1739" s="11"/>
      <c r="AA1739" s="11"/>
    </row>
    <row r="1740" ht="15.75" customHeight="1">
      <c r="A1740" s="737">
        <f t="shared" si="387"/>
        <v>0</v>
      </c>
      <c r="B1740" s="737">
        <f>A1740/'Orbit Info'!$G$10</f>
        <v>0</v>
      </c>
      <c r="C1740" s="737" t="str">
        <f t="shared" si="380"/>
        <v>Housekeeping and events only</v>
      </c>
      <c r="D1740" s="737">
        <f t="shared" si="381"/>
        <v>1</v>
      </c>
      <c r="E1740" s="737" t="str">
        <f t="shared" si="382"/>
        <v>#VALUE!</v>
      </c>
      <c r="F1740" s="737">
        <v>1.0</v>
      </c>
      <c r="G1740" s="737" t="str">
        <f t="shared" si="383"/>
        <v>#VALUE!</v>
      </c>
      <c r="H1740" s="737" t="str">
        <f>MIN($Q$11/('Orbit Info'!G$10),$Q$8*60)</f>
        <v>#VALUE!</v>
      </c>
      <c r="I1740" s="737" t="str">
        <f>IF(D1740=1,$Q$12/'Data DownlinkStorage Budget'!$M$3,0)</f>
        <v>#VALUE!</v>
      </c>
      <c r="J1740" s="737" t="str">
        <f t="shared" si="388"/>
        <v>#VALUE!</v>
      </c>
      <c r="K1740" s="11"/>
      <c r="L1740" s="737" t="str">
        <f t="shared" si="385"/>
        <v>FOUND product plus housekeeping</v>
      </c>
      <c r="M1740" s="737" t="str">
        <f>MIN($Q$18,$Q$10*60)-IF(D1740=1,$Q$17/'Data DownlinkStorage Budget'!$M$3,0)</f>
        <v>#VALUE!</v>
      </c>
      <c r="N1740" s="182"/>
      <c r="O1740" s="737" t="str">
        <f t="shared" si="389"/>
        <v>#VALUE!</v>
      </c>
      <c r="P1740" s="11"/>
      <c r="Q1740" s="11"/>
      <c r="R1740" s="11"/>
      <c r="S1740" s="11"/>
      <c r="T1740" s="11"/>
      <c r="U1740" s="11"/>
      <c r="V1740" s="11"/>
      <c r="W1740" s="11"/>
      <c r="X1740" s="11"/>
      <c r="Y1740" s="11"/>
      <c r="Z1740" s="11"/>
      <c r="AA1740" s="11"/>
    </row>
    <row r="1741" ht="15.75" customHeight="1">
      <c r="A1741" s="737">
        <f t="shared" si="387"/>
        <v>0</v>
      </c>
      <c r="B1741" s="737">
        <f>A1741/'Orbit Info'!$G$10</f>
        <v>0</v>
      </c>
      <c r="C1741" s="737" t="str">
        <f t="shared" si="380"/>
        <v>Housekeeping and events only</v>
      </c>
      <c r="D1741" s="737">
        <f t="shared" si="381"/>
        <v>1</v>
      </c>
      <c r="E1741" s="737" t="str">
        <f t="shared" si="382"/>
        <v>#VALUE!</v>
      </c>
      <c r="F1741" s="737">
        <v>1.0</v>
      </c>
      <c r="G1741" s="737" t="str">
        <f t="shared" si="383"/>
        <v>#VALUE!</v>
      </c>
      <c r="H1741" s="737" t="str">
        <f>MIN($Q$11/('Orbit Info'!G$10),$Q$8*60)</f>
        <v>#VALUE!</v>
      </c>
      <c r="I1741" s="737" t="str">
        <f>IF(D1741=1,$Q$12/'Data DownlinkStorage Budget'!$M$3,0)</f>
        <v>#VALUE!</v>
      </c>
      <c r="J1741" s="737" t="str">
        <f t="shared" si="388"/>
        <v>#VALUE!</v>
      </c>
      <c r="K1741" s="11"/>
      <c r="L1741" s="737" t="str">
        <f t="shared" si="385"/>
        <v>FOUND product plus housekeeping</v>
      </c>
      <c r="M1741" s="737" t="str">
        <f>MIN($Q$18,$Q$10*60)-IF(D1741=1,$Q$17/'Data DownlinkStorage Budget'!$M$3,0)</f>
        <v>#VALUE!</v>
      </c>
      <c r="N1741" s="182"/>
      <c r="O1741" s="737" t="str">
        <f t="shared" si="389"/>
        <v>#VALUE!</v>
      </c>
      <c r="P1741" s="11"/>
      <c r="Q1741" s="11"/>
      <c r="R1741" s="11"/>
      <c r="S1741" s="11"/>
      <c r="T1741" s="11"/>
      <c r="U1741" s="11"/>
      <c r="V1741" s="11"/>
      <c r="W1741" s="11"/>
      <c r="X1741" s="11"/>
      <c r="Y1741" s="11"/>
      <c r="Z1741" s="11"/>
      <c r="AA1741" s="11"/>
    </row>
    <row r="1742" ht="15.75" customHeight="1">
      <c r="A1742" s="737">
        <f t="shared" si="387"/>
        <v>0</v>
      </c>
      <c r="B1742" s="737">
        <f>A1742/'Orbit Info'!$G$10</f>
        <v>0</v>
      </c>
      <c r="C1742" s="737" t="str">
        <f t="shared" si="380"/>
        <v>Housekeeping and events only</v>
      </c>
      <c r="D1742" s="737">
        <f t="shared" si="381"/>
        <v>1</v>
      </c>
      <c r="E1742" s="737" t="str">
        <f t="shared" si="382"/>
        <v>#VALUE!</v>
      </c>
      <c r="F1742" s="737">
        <v>1.0</v>
      </c>
      <c r="G1742" s="737" t="str">
        <f t="shared" si="383"/>
        <v>#VALUE!</v>
      </c>
      <c r="H1742" s="737" t="str">
        <f>MIN($Q$11/('Orbit Info'!G$10),$Q$8*60)</f>
        <v>#VALUE!</v>
      </c>
      <c r="I1742" s="737" t="str">
        <f>IF(D1742=1,$Q$12/'Data DownlinkStorage Budget'!$M$3,0)</f>
        <v>#VALUE!</v>
      </c>
      <c r="J1742" s="737" t="str">
        <f t="shared" si="388"/>
        <v>#VALUE!</v>
      </c>
      <c r="K1742" s="11"/>
      <c r="L1742" s="737" t="str">
        <f t="shared" si="385"/>
        <v>FOUND product plus housekeeping</v>
      </c>
      <c r="M1742" s="737" t="str">
        <f>MIN($Q$18,$Q$10*60)-IF(D1742=1,$Q$17/'Data DownlinkStorage Budget'!$M$3,0)</f>
        <v>#VALUE!</v>
      </c>
      <c r="N1742" s="182"/>
      <c r="O1742" s="737" t="str">
        <f t="shared" si="389"/>
        <v>#VALUE!</v>
      </c>
      <c r="P1742" s="11"/>
      <c r="Q1742" s="11"/>
      <c r="R1742" s="11"/>
      <c r="S1742" s="11"/>
      <c r="T1742" s="11"/>
      <c r="U1742" s="11"/>
      <c r="V1742" s="11"/>
      <c r="W1742" s="11"/>
      <c r="X1742" s="11"/>
      <c r="Y1742" s="11"/>
      <c r="Z1742" s="11"/>
      <c r="AA1742" s="11"/>
    </row>
    <row r="1743" ht="15.75" customHeight="1">
      <c r="A1743" s="737">
        <f t="shared" si="387"/>
        <v>0</v>
      </c>
      <c r="B1743" s="737">
        <f>A1743/'Orbit Info'!$G$10</f>
        <v>0</v>
      </c>
      <c r="C1743" s="737" t="str">
        <f t="shared" si="380"/>
        <v>Housekeeping and events only</v>
      </c>
      <c r="D1743" s="737">
        <f t="shared" si="381"/>
        <v>1</v>
      </c>
      <c r="E1743" s="737" t="str">
        <f t="shared" si="382"/>
        <v>#VALUE!</v>
      </c>
      <c r="F1743" s="737">
        <v>1.0</v>
      </c>
      <c r="G1743" s="737" t="str">
        <f t="shared" si="383"/>
        <v>#VALUE!</v>
      </c>
      <c r="H1743" s="737" t="str">
        <f>MIN($Q$11/('Orbit Info'!G$10),$Q$8*60)</f>
        <v>#VALUE!</v>
      </c>
      <c r="I1743" s="737" t="str">
        <f>IF(D1743=1,$Q$12/'Data DownlinkStorage Budget'!$M$3,0)</f>
        <v>#VALUE!</v>
      </c>
      <c r="J1743" s="737" t="str">
        <f t="shared" si="388"/>
        <v>#VALUE!</v>
      </c>
      <c r="K1743" s="11"/>
      <c r="L1743" s="737" t="str">
        <f t="shared" si="385"/>
        <v>FOUND product plus housekeeping</v>
      </c>
      <c r="M1743" s="737" t="str">
        <f>MIN($Q$18,$Q$10*60)-IF(D1743=1,$Q$17/'Data DownlinkStorage Budget'!$M$3,0)</f>
        <v>#VALUE!</v>
      </c>
      <c r="N1743" s="182"/>
      <c r="O1743" s="737" t="str">
        <f t="shared" si="389"/>
        <v>#VALUE!</v>
      </c>
      <c r="P1743" s="11"/>
      <c r="Q1743" s="11"/>
      <c r="R1743" s="11"/>
      <c r="S1743" s="11"/>
      <c r="T1743" s="11"/>
      <c r="U1743" s="11"/>
      <c r="V1743" s="11"/>
      <c r="W1743" s="11"/>
      <c r="X1743" s="11"/>
      <c r="Y1743" s="11"/>
      <c r="Z1743" s="11"/>
      <c r="AA1743" s="11"/>
    </row>
    <row r="1744" ht="15.75" customHeight="1">
      <c r="A1744" s="737">
        <f t="shared" si="387"/>
        <v>0</v>
      </c>
      <c r="B1744" s="737">
        <f>A1744/'Orbit Info'!$G$10</f>
        <v>0</v>
      </c>
      <c r="C1744" s="737" t="str">
        <f t="shared" si="380"/>
        <v>Housekeeping and events only</v>
      </c>
      <c r="D1744" s="737">
        <f t="shared" si="381"/>
        <v>1</v>
      </c>
      <c r="E1744" s="737" t="str">
        <f t="shared" si="382"/>
        <v>#VALUE!</v>
      </c>
      <c r="F1744" s="737">
        <v>1.0</v>
      </c>
      <c r="G1744" s="737" t="str">
        <f t="shared" si="383"/>
        <v>#VALUE!</v>
      </c>
      <c r="H1744" s="737" t="str">
        <f>MIN($Q$11/('Orbit Info'!G$10),$Q$8*60)</f>
        <v>#VALUE!</v>
      </c>
      <c r="I1744" s="737" t="str">
        <f>IF(D1744=1,$Q$12/'Data DownlinkStorage Budget'!$M$3,0)</f>
        <v>#VALUE!</v>
      </c>
      <c r="J1744" s="737" t="str">
        <f t="shared" si="388"/>
        <v>#VALUE!</v>
      </c>
      <c r="K1744" s="11"/>
      <c r="L1744" s="737" t="str">
        <f t="shared" si="385"/>
        <v>FOUND product plus housekeeping</v>
      </c>
      <c r="M1744" s="737" t="str">
        <f>MIN($Q$18,$Q$10*60)-IF(D1744=1,$Q$17/'Data DownlinkStorage Budget'!$M$3,0)</f>
        <v>#VALUE!</v>
      </c>
      <c r="N1744" s="182"/>
      <c r="O1744" s="737" t="str">
        <f t="shared" si="389"/>
        <v>#VALUE!</v>
      </c>
      <c r="P1744" s="11"/>
      <c r="Q1744" s="11"/>
      <c r="R1744" s="11"/>
      <c r="S1744" s="11"/>
      <c r="T1744" s="11"/>
      <c r="U1744" s="11"/>
      <c r="V1744" s="11"/>
      <c r="W1744" s="11"/>
      <c r="X1744" s="11"/>
      <c r="Y1744" s="11"/>
      <c r="Z1744" s="11"/>
      <c r="AA1744" s="11"/>
    </row>
    <row r="1745" ht="15.75" customHeight="1">
      <c r="A1745" s="737">
        <f t="shared" si="387"/>
        <v>0</v>
      </c>
      <c r="B1745" s="737">
        <f>A1745/'Orbit Info'!$G$10</f>
        <v>0</v>
      </c>
      <c r="C1745" s="737" t="str">
        <f t="shared" si="380"/>
        <v>Housekeeping and events only</v>
      </c>
      <c r="D1745" s="737">
        <f t="shared" si="381"/>
        <v>1</v>
      </c>
      <c r="E1745" s="737" t="str">
        <f t="shared" si="382"/>
        <v>#VALUE!</v>
      </c>
      <c r="F1745" s="737">
        <v>1.0</v>
      </c>
      <c r="G1745" s="737" t="str">
        <f t="shared" si="383"/>
        <v>#VALUE!</v>
      </c>
      <c r="H1745" s="737" t="str">
        <f>MIN($Q$11/('Orbit Info'!G$10),$Q$8*60)</f>
        <v>#VALUE!</v>
      </c>
      <c r="I1745" s="737" t="str">
        <f>IF(D1745=1,$Q$12/'Data DownlinkStorage Budget'!$M$3,0)</f>
        <v>#VALUE!</v>
      </c>
      <c r="J1745" s="737" t="str">
        <f t="shared" si="388"/>
        <v>#VALUE!</v>
      </c>
      <c r="K1745" s="11"/>
      <c r="L1745" s="737" t="str">
        <f t="shared" si="385"/>
        <v>FOUND product plus housekeeping</v>
      </c>
      <c r="M1745" s="737" t="str">
        <f>MIN($Q$18,$Q$10*60)-IF(D1745=1,$Q$17/'Data DownlinkStorage Budget'!$M$3,0)</f>
        <v>#VALUE!</v>
      </c>
      <c r="N1745" s="182"/>
      <c r="O1745" s="737" t="str">
        <f t="shared" si="389"/>
        <v>#VALUE!</v>
      </c>
      <c r="P1745" s="11"/>
      <c r="Q1745" s="11"/>
      <c r="R1745" s="11"/>
      <c r="S1745" s="11"/>
      <c r="T1745" s="11"/>
      <c r="U1745" s="11"/>
      <c r="V1745" s="11"/>
      <c r="W1745" s="11"/>
      <c r="X1745" s="11"/>
      <c r="Y1745" s="11"/>
      <c r="Z1745" s="11"/>
      <c r="AA1745" s="11"/>
    </row>
    <row r="1746" ht="15.75" customHeight="1">
      <c r="A1746" s="737">
        <f t="shared" si="387"/>
        <v>0</v>
      </c>
      <c r="B1746" s="737">
        <f>A1746/'Orbit Info'!$G$10</f>
        <v>0</v>
      </c>
      <c r="C1746" s="737" t="str">
        <f t="shared" si="380"/>
        <v>Housekeeping and events only</v>
      </c>
      <c r="D1746" s="737">
        <f t="shared" si="381"/>
        <v>1</v>
      </c>
      <c r="E1746" s="737" t="str">
        <f t="shared" si="382"/>
        <v>#VALUE!</v>
      </c>
      <c r="F1746" s="737">
        <v>1.0</v>
      </c>
      <c r="G1746" s="737" t="str">
        <f t="shared" si="383"/>
        <v>#VALUE!</v>
      </c>
      <c r="H1746" s="737" t="str">
        <f>MIN($Q$11/('Orbit Info'!G$10),$Q$8*60)</f>
        <v>#VALUE!</v>
      </c>
      <c r="I1746" s="737" t="str">
        <f>IF(D1746=1,$Q$12/'Data DownlinkStorage Budget'!$M$3,0)</f>
        <v>#VALUE!</v>
      </c>
      <c r="J1746" s="737" t="str">
        <f t="shared" si="388"/>
        <v>#VALUE!</v>
      </c>
      <c r="K1746" s="11"/>
      <c r="L1746" s="737" t="str">
        <f t="shared" si="385"/>
        <v>FOUND product plus housekeeping</v>
      </c>
      <c r="M1746" s="737" t="str">
        <f>MIN($Q$18,$Q$10*60)-IF(D1746=1,$Q$17/'Data DownlinkStorage Budget'!$M$3,0)</f>
        <v>#VALUE!</v>
      </c>
      <c r="N1746" s="182"/>
      <c r="O1746" s="737" t="str">
        <f t="shared" si="389"/>
        <v>#VALUE!</v>
      </c>
      <c r="P1746" s="11"/>
      <c r="Q1746" s="11"/>
      <c r="R1746" s="11"/>
      <c r="S1746" s="11"/>
      <c r="T1746" s="11"/>
      <c r="U1746" s="11"/>
      <c r="V1746" s="11"/>
      <c r="W1746" s="11"/>
      <c r="X1746" s="11"/>
      <c r="Y1746" s="11"/>
      <c r="Z1746" s="11"/>
      <c r="AA1746" s="11"/>
    </row>
    <row r="1747" ht="15.75" customHeight="1">
      <c r="A1747" s="737">
        <f t="shared" si="387"/>
        <v>0</v>
      </c>
      <c r="B1747" s="737">
        <f>A1747/'Orbit Info'!$G$10</f>
        <v>0</v>
      </c>
      <c r="C1747" s="737" t="str">
        <f t="shared" si="380"/>
        <v>Housekeeping and events only</v>
      </c>
      <c r="D1747" s="737">
        <f t="shared" si="381"/>
        <v>1</v>
      </c>
      <c r="E1747" s="737" t="str">
        <f t="shared" si="382"/>
        <v>#VALUE!</v>
      </c>
      <c r="F1747" s="737">
        <v>1.0</v>
      </c>
      <c r="G1747" s="737" t="str">
        <f t="shared" si="383"/>
        <v>#VALUE!</v>
      </c>
      <c r="H1747" s="737" t="str">
        <f>MIN($Q$11/('Orbit Info'!G$10),$Q$8*60)</f>
        <v>#VALUE!</v>
      </c>
      <c r="I1747" s="737" t="str">
        <f>IF(D1747=1,$Q$12/'Data DownlinkStorage Budget'!$M$3,0)</f>
        <v>#VALUE!</v>
      </c>
      <c r="J1747" s="737" t="str">
        <f t="shared" si="388"/>
        <v>#VALUE!</v>
      </c>
      <c r="K1747" s="11"/>
      <c r="L1747" s="737" t="str">
        <f t="shared" si="385"/>
        <v>FOUND product plus housekeeping</v>
      </c>
      <c r="M1747" s="737" t="str">
        <f>MIN($Q$18,$Q$10*60)-IF(D1747=1,$Q$17/'Data DownlinkStorage Budget'!$M$3,0)</f>
        <v>#VALUE!</v>
      </c>
      <c r="N1747" s="182"/>
      <c r="O1747" s="737" t="str">
        <f t="shared" si="389"/>
        <v>#VALUE!</v>
      </c>
      <c r="P1747" s="11"/>
      <c r="Q1747" s="11"/>
      <c r="R1747" s="11"/>
      <c r="S1747" s="11"/>
      <c r="T1747" s="11"/>
      <c r="U1747" s="11"/>
      <c r="V1747" s="11"/>
      <c r="W1747" s="11"/>
      <c r="X1747" s="11"/>
      <c r="Y1747" s="11"/>
      <c r="Z1747" s="11"/>
      <c r="AA1747" s="11"/>
    </row>
    <row r="1748" ht="15.75" customHeight="1">
      <c r="A1748" s="737">
        <f t="shared" si="387"/>
        <v>0</v>
      </c>
      <c r="B1748" s="737">
        <f>A1748/'Orbit Info'!$G$10</f>
        <v>0</v>
      </c>
      <c r="C1748" s="737" t="str">
        <f t="shared" si="380"/>
        <v>Housekeeping and events only</v>
      </c>
      <c r="D1748" s="737">
        <f t="shared" si="381"/>
        <v>1</v>
      </c>
      <c r="E1748" s="737" t="str">
        <f t="shared" si="382"/>
        <v>#VALUE!</v>
      </c>
      <c r="F1748" s="737">
        <v>1.0</v>
      </c>
      <c r="G1748" s="737" t="str">
        <f t="shared" si="383"/>
        <v>#VALUE!</v>
      </c>
      <c r="H1748" s="737" t="str">
        <f>MIN($Q$11/('Orbit Info'!G$10),$Q$8*60)</f>
        <v>#VALUE!</v>
      </c>
      <c r="I1748" s="737" t="str">
        <f>IF(D1748=1,$Q$12/'Data DownlinkStorage Budget'!$M$3,0)</f>
        <v>#VALUE!</v>
      </c>
      <c r="J1748" s="737" t="str">
        <f t="shared" si="388"/>
        <v>#VALUE!</v>
      </c>
      <c r="K1748" s="11"/>
      <c r="L1748" s="737" t="str">
        <f t="shared" si="385"/>
        <v>FOUND product plus housekeeping</v>
      </c>
      <c r="M1748" s="737" t="str">
        <f>MIN($Q$18,$Q$10*60)-IF(D1748=1,$Q$17/'Data DownlinkStorage Budget'!$M$3,0)</f>
        <v>#VALUE!</v>
      </c>
      <c r="N1748" s="182"/>
      <c r="O1748" s="737" t="str">
        <f t="shared" si="389"/>
        <v>#VALUE!</v>
      </c>
      <c r="P1748" s="11"/>
      <c r="Q1748" s="11"/>
      <c r="R1748" s="11"/>
      <c r="S1748" s="11"/>
      <c r="T1748" s="11"/>
      <c r="U1748" s="11"/>
      <c r="V1748" s="11"/>
      <c r="W1748" s="11"/>
      <c r="X1748" s="11"/>
      <c r="Y1748" s="11"/>
      <c r="Z1748" s="11"/>
      <c r="AA1748" s="11"/>
    </row>
    <row r="1749" ht="15.75" customHeight="1">
      <c r="A1749" s="737">
        <f t="shared" si="387"/>
        <v>0</v>
      </c>
      <c r="B1749" s="737">
        <f>A1749/'Orbit Info'!$G$10</f>
        <v>0</v>
      </c>
      <c r="C1749" s="737" t="str">
        <f t="shared" si="380"/>
        <v>Housekeeping and events only</v>
      </c>
      <c r="D1749" s="737">
        <f t="shared" si="381"/>
        <v>1</v>
      </c>
      <c r="E1749" s="737" t="str">
        <f t="shared" si="382"/>
        <v>#VALUE!</v>
      </c>
      <c r="F1749" s="737">
        <v>1.0</v>
      </c>
      <c r="G1749" s="737" t="str">
        <f t="shared" si="383"/>
        <v>#VALUE!</v>
      </c>
      <c r="H1749" s="737" t="str">
        <f>MIN($Q$11/('Orbit Info'!G$10),$Q$8*60)</f>
        <v>#VALUE!</v>
      </c>
      <c r="I1749" s="737" t="str">
        <f>IF(D1749=1,$Q$12/'Data DownlinkStorage Budget'!$M$3,0)</f>
        <v>#VALUE!</v>
      </c>
      <c r="J1749" s="737" t="str">
        <f t="shared" si="388"/>
        <v>#VALUE!</v>
      </c>
      <c r="K1749" s="11"/>
      <c r="L1749" s="737" t="str">
        <f t="shared" si="385"/>
        <v>FOUND product plus housekeeping</v>
      </c>
      <c r="M1749" s="737" t="str">
        <f>MIN($Q$18,$Q$10*60)-IF(D1749=1,$Q$17/'Data DownlinkStorage Budget'!$M$3,0)</f>
        <v>#VALUE!</v>
      </c>
      <c r="N1749" s="182"/>
      <c r="O1749" s="737" t="str">
        <f t="shared" si="389"/>
        <v>#VALUE!</v>
      </c>
      <c r="P1749" s="11"/>
      <c r="Q1749" s="11"/>
      <c r="R1749" s="11"/>
      <c r="S1749" s="11"/>
      <c r="T1749" s="11"/>
      <c r="U1749" s="11"/>
      <c r="V1749" s="11"/>
      <c r="W1749" s="11"/>
      <c r="X1749" s="11"/>
      <c r="Y1749" s="11"/>
      <c r="Z1749" s="11"/>
      <c r="AA1749" s="11"/>
    </row>
    <row r="1750" ht="15.75" customHeight="1">
      <c r="A1750" s="737">
        <f t="shared" si="387"/>
        <v>0</v>
      </c>
      <c r="B1750" s="737">
        <f>A1750/'Orbit Info'!$G$10</f>
        <v>0</v>
      </c>
      <c r="C1750" s="737" t="str">
        <f t="shared" si="380"/>
        <v>Housekeeping and events only</v>
      </c>
      <c r="D1750" s="737">
        <f t="shared" si="381"/>
        <v>1</v>
      </c>
      <c r="E1750" s="737" t="str">
        <f t="shared" si="382"/>
        <v>#VALUE!</v>
      </c>
      <c r="F1750" s="737">
        <v>1.0</v>
      </c>
      <c r="G1750" s="737" t="str">
        <f t="shared" si="383"/>
        <v>#VALUE!</v>
      </c>
      <c r="H1750" s="737" t="str">
        <f>MIN($Q$11/('Orbit Info'!G$10),$Q$8*60)</f>
        <v>#VALUE!</v>
      </c>
      <c r="I1750" s="737" t="str">
        <f>IF(D1750=1,$Q$12/'Data DownlinkStorage Budget'!$M$3,0)</f>
        <v>#VALUE!</v>
      </c>
      <c r="J1750" s="737" t="str">
        <f t="shared" si="388"/>
        <v>#VALUE!</v>
      </c>
      <c r="K1750" s="11"/>
      <c r="L1750" s="737" t="str">
        <f t="shared" si="385"/>
        <v>FOUND product plus housekeeping</v>
      </c>
      <c r="M1750" s="737" t="str">
        <f>MIN($Q$18,$Q$10*60)-IF(D1750=1,$Q$17/'Data DownlinkStorage Budget'!$M$3,0)</f>
        <v>#VALUE!</v>
      </c>
      <c r="N1750" s="182"/>
      <c r="O1750" s="737" t="str">
        <f t="shared" si="389"/>
        <v>#VALUE!</v>
      </c>
      <c r="P1750" s="11"/>
      <c r="Q1750" s="11"/>
      <c r="R1750" s="11"/>
      <c r="S1750" s="11"/>
      <c r="T1750" s="11"/>
      <c r="U1750" s="11"/>
      <c r="V1750" s="11"/>
      <c r="W1750" s="11"/>
      <c r="X1750" s="11"/>
      <c r="Y1750" s="11"/>
      <c r="Z1750" s="11"/>
      <c r="AA1750" s="11"/>
    </row>
    <row r="1751" ht="15.75" customHeight="1">
      <c r="A1751" s="737">
        <f t="shared" si="387"/>
        <v>0</v>
      </c>
      <c r="B1751" s="737">
        <f>A1751/'Orbit Info'!$G$10</f>
        <v>0</v>
      </c>
      <c r="C1751" s="737" t="str">
        <f t="shared" si="380"/>
        <v>Housekeeping and events only</v>
      </c>
      <c r="D1751" s="737">
        <f t="shared" si="381"/>
        <v>1</v>
      </c>
      <c r="E1751" s="737" t="str">
        <f t="shared" si="382"/>
        <v>#VALUE!</v>
      </c>
      <c r="F1751" s="737">
        <v>1.0</v>
      </c>
      <c r="G1751" s="737" t="str">
        <f t="shared" si="383"/>
        <v>#VALUE!</v>
      </c>
      <c r="H1751" s="737" t="str">
        <f>MIN($Q$11/('Orbit Info'!G$10),$Q$8*60)</f>
        <v>#VALUE!</v>
      </c>
      <c r="I1751" s="737" t="str">
        <f>IF(D1751=1,$Q$12/'Data DownlinkStorage Budget'!$M$3,0)</f>
        <v>#VALUE!</v>
      </c>
      <c r="J1751" s="737" t="str">
        <f t="shared" si="388"/>
        <v>#VALUE!</v>
      </c>
      <c r="K1751" s="11"/>
      <c r="L1751" s="737" t="str">
        <f t="shared" si="385"/>
        <v>FOUND product plus housekeeping</v>
      </c>
      <c r="M1751" s="737" t="str">
        <f>MIN($Q$18,$Q$10*60)-IF(D1751=1,$Q$17/'Data DownlinkStorage Budget'!$M$3,0)</f>
        <v>#VALUE!</v>
      </c>
      <c r="N1751" s="182"/>
      <c r="O1751" s="737" t="str">
        <f t="shared" si="389"/>
        <v>#VALUE!</v>
      </c>
      <c r="P1751" s="11"/>
      <c r="Q1751" s="11"/>
      <c r="R1751" s="11"/>
      <c r="S1751" s="11"/>
      <c r="T1751" s="11"/>
      <c r="U1751" s="11"/>
      <c r="V1751" s="11"/>
      <c r="W1751" s="11"/>
      <c r="X1751" s="11"/>
      <c r="Y1751" s="11"/>
      <c r="Z1751" s="11"/>
      <c r="AA1751" s="11"/>
    </row>
    <row r="1752" ht="15.75" customHeight="1">
      <c r="A1752" s="737">
        <f t="shared" si="387"/>
        <v>0</v>
      </c>
      <c r="B1752" s="737">
        <f>A1752/'Orbit Info'!$G$10</f>
        <v>0</v>
      </c>
      <c r="C1752" s="737" t="str">
        <f t="shared" si="380"/>
        <v>Housekeeping and events only</v>
      </c>
      <c r="D1752" s="737">
        <f t="shared" si="381"/>
        <v>1</v>
      </c>
      <c r="E1752" s="737" t="str">
        <f t="shared" si="382"/>
        <v>#VALUE!</v>
      </c>
      <c r="F1752" s="737">
        <v>1.0</v>
      </c>
      <c r="G1752" s="737" t="str">
        <f t="shared" si="383"/>
        <v>#VALUE!</v>
      </c>
      <c r="H1752" s="737" t="str">
        <f>MIN($Q$11/('Orbit Info'!G$10),$Q$8*60)</f>
        <v>#VALUE!</v>
      </c>
      <c r="I1752" s="737" t="str">
        <f>IF(D1752=1,$Q$12/'Data DownlinkStorage Budget'!$M$3,0)</f>
        <v>#VALUE!</v>
      </c>
      <c r="J1752" s="737" t="str">
        <f t="shared" si="388"/>
        <v>#VALUE!</v>
      </c>
      <c r="K1752" s="11"/>
      <c r="L1752" s="737" t="str">
        <f t="shared" si="385"/>
        <v>FOUND product plus housekeeping</v>
      </c>
      <c r="M1752" s="737" t="str">
        <f>MIN($Q$18,$Q$10*60)-IF(D1752=1,$Q$17/'Data DownlinkStorage Budget'!$M$3,0)</f>
        <v>#VALUE!</v>
      </c>
      <c r="N1752" s="182"/>
      <c r="O1752" s="737" t="str">
        <f t="shared" si="389"/>
        <v>#VALUE!</v>
      </c>
      <c r="P1752" s="11"/>
      <c r="Q1752" s="11"/>
      <c r="R1752" s="11"/>
      <c r="S1752" s="11"/>
      <c r="T1752" s="11"/>
      <c r="U1752" s="11"/>
      <c r="V1752" s="11"/>
      <c r="W1752" s="11"/>
      <c r="X1752" s="11"/>
      <c r="Y1752" s="11"/>
      <c r="Z1752" s="11"/>
      <c r="AA1752" s="11"/>
    </row>
    <row r="1753" ht="15.75" customHeight="1">
      <c r="A1753" s="737">
        <f t="shared" si="387"/>
        <v>0</v>
      </c>
      <c r="B1753" s="737">
        <f>A1753/'Orbit Info'!$G$10</f>
        <v>0</v>
      </c>
      <c r="C1753" s="737" t="str">
        <f t="shared" si="380"/>
        <v>Housekeeping and events only</v>
      </c>
      <c r="D1753" s="737">
        <f t="shared" si="381"/>
        <v>1</v>
      </c>
      <c r="E1753" s="737" t="str">
        <f t="shared" si="382"/>
        <v>#VALUE!</v>
      </c>
      <c r="F1753" s="737">
        <v>1.0</v>
      </c>
      <c r="G1753" s="737" t="str">
        <f t="shared" si="383"/>
        <v>#VALUE!</v>
      </c>
      <c r="H1753" s="737" t="str">
        <f>MIN($Q$11/('Orbit Info'!G$10),$Q$8*60)</f>
        <v>#VALUE!</v>
      </c>
      <c r="I1753" s="737" t="str">
        <f>IF(D1753=1,$Q$12/'Data DownlinkStorage Budget'!$M$3,0)</f>
        <v>#VALUE!</v>
      </c>
      <c r="J1753" s="737" t="str">
        <f t="shared" si="388"/>
        <v>#VALUE!</v>
      </c>
      <c r="K1753" s="11"/>
      <c r="L1753" s="737" t="str">
        <f t="shared" si="385"/>
        <v>FOUND product plus housekeeping</v>
      </c>
      <c r="M1753" s="737" t="str">
        <f>MIN($Q$18,$Q$10*60)-IF(D1753=1,$Q$17/'Data DownlinkStorage Budget'!$M$3,0)</f>
        <v>#VALUE!</v>
      </c>
      <c r="N1753" s="182"/>
      <c r="O1753" s="737" t="str">
        <f t="shared" si="389"/>
        <v>#VALUE!</v>
      </c>
      <c r="P1753" s="11"/>
      <c r="Q1753" s="11"/>
      <c r="R1753" s="11"/>
      <c r="S1753" s="11"/>
      <c r="T1753" s="11"/>
      <c r="U1753" s="11"/>
      <c r="V1753" s="11"/>
      <c r="W1753" s="11"/>
      <c r="X1753" s="11"/>
      <c r="Y1753" s="11"/>
      <c r="Z1753" s="11"/>
      <c r="AA1753" s="11"/>
    </row>
    <row r="1754" ht="15.75" customHeight="1">
      <c r="A1754" s="737">
        <f t="shared" si="387"/>
        <v>0</v>
      </c>
      <c r="B1754" s="737">
        <f>A1754/'Orbit Info'!$G$10</f>
        <v>0</v>
      </c>
      <c r="C1754" s="737" t="str">
        <f t="shared" si="380"/>
        <v>Housekeeping and events only</v>
      </c>
      <c r="D1754" s="737">
        <f t="shared" si="381"/>
        <v>1</v>
      </c>
      <c r="E1754" s="737" t="str">
        <f t="shared" si="382"/>
        <v>#VALUE!</v>
      </c>
      <c r="F1754" s="737">
        <v>1.0</v>
      </c>
      <c r="G1754" s="737" t="str">
        <f t="shared" si="383"/>
        <v>#VALUE!</v>
      </c>
      <c r="H1754" s="737" t="str">
        <f>MIN($Q$11/('Orbit Info'!G$10),$Q$8*60)</f>
        <v>#VALUE!</v>
      </c>
      <c r="I1754" s="737" t="str">
        <f>IF(D1754=1,$Q$12/'Data DownlinkStorage Budget'!$M$3,0)</f>
        <v>#VALUE!</v>
      </c>
      <c r="J1754" s="737" t="str">
        <f t="shared" si="388"/>
        <v>#VALUE!</v>
      </c>
      <c r="K1754" s="11"/>
      <c r="L1754" s="737" t="str">
        <f t="shared" si="385"/>
        <v>FOUND product plus housekeeping</v>
      </c>
      <c r="M1754" s="737" t="str">
        <f>MIN($Q$18,$Q$10*60)-IF(D1754=1,$Q$17/'Data DownlinkStorage Budget'!$M$3,0)</f>
        <v>#VALUE!</v>
      </c>
      <c r="N1754" s="182"/>
      <c r="O1754" s="737" t="str">
        <f t="shared" si="389"/>
        <v>#VALUE!</v>
      </c>
      <c r="P1754" s="11"/>
      <c r="Q1754" s="11"/>
      <c r="R1754" s="11"/>
      <c r="S1754" s="11"/>
      <c r="T1754" s="11"/>
      <c r="U1754" s="11"/>
      <c r="V1754" s="11"/>
      <c r="W1754" s="11"/>
      <c r="X1754" s="11"/>
      <c r="Y1754" s="11"/>
      <c r="Z1754" s="11"/>
      <c r="AA1754" s="11"/>
    </row>
    <row r="1755" ht="15.75" customHeight="1">
      <c r="A1755" s="737">
        <f t="shared" si="387"/>
        <v>0</v>
      </c>
      <c r="B1755" s="737">
        <f>A1755/'Orbit Info'!$G$10</f>
        <v>0</v>
      </c>
      <c r="C1755" s="737" t="str">
        <f t="shared" si="380"/>
        <v>Housekeeping and events only</v>
      </c>
      <c r="D1755" s="737">
        <f t="shared" si="381"/>
        <v>1</v>
      </c>
      <c r="E1755" s="737" t="str">
        <f t="shared" si="382"/>
        <v>#VALUE!</v>
      </c>
      <c r="F1755" s="737">
        <v>1.0</v>
      </c>
      <c r="G1755" s="737" t="str">
        <f t="shared" si="383"/>
        <v>#VALUE!</v>
      </c>
      <c r="H1755" s="737" t="str">
        <f>MIN($Q$11/('Orbit Info'!G$10),$Q$8*60)</f>
        <v>#VALUE!</v>
      </c>
      <c r="I1755" s="737" t="str">
        <f>IF(D1755=1,$Q$12/'Data DownlinkStorage Budget'!$M$3,0)</f>
        <v>#VALUE!</v>
      </c>
      <c r="J1755" s="737" t="str">
        <f t="shared" si="388"/>
        <v>#VALUE!</v>
      </c>
      <c r="K1755" s="11"/>
      <c r="L1755" s="737" t="str">
        <f t="shared" si="385"/>
        <v>FOUND product plus housekeeping</v>
      </c>
      <c r="M1755" s="737" t="str">
        <f>MIN($Q$18,$Q$10*60)-IF(D1755=1,$Q$17/'Data DownlinkStorage Budget'!$M$3,0)</f>
        <v>#VALUE!</v>
      </c>
      <c r="N1755" s="182"/>
      <c r="O1755" s="737" t="str">
        <f t="shared" si="389"/>
        <v>#VALUE!</v>
      </c>
      <c r="P1755" s="11"/>
      <c r="Q1755" s="11"/>
      <c r="R1755" s="11"/>
      <c r="S1755" s="11"/>
      <c r="T1755" s="11"/>
      <c r="U1755" s="11"/>
      <c r="V1755" s="11"/>
      <c r="W1755" s="11"/>
      <c r="X1755" s="11"/>
      <c r="Y1755" s="11"/>
      <c r="Z1755" s="11"/>
      <c r="AA1755" s="11"/>
    </row>
    <row r="1756" ht="15.75" customHeight="1">
      <c r="A1756" s="737">
        <f t="shared" si="387"/>
        <v>0</v>
      </c>
      <c r="B1756" s="737">
        <f>A1756/'Orbit Info'!$G$10</f>
        <v>0</v>
      </c>
      <c r="C1756" s="737" t="str">
        <f t="shared" si="380"/>
        <v>Housekeeping and events only</v>
      </c>
      <c r="D1756" s="737">
        <f t="shared" si="381"/>
        <v>1</v>
      </c>
      <c r="E1756" s="737" t="str">
        <f t="shared" si="382"/>
        <v>#VALUE!</v>
      </c>
      <c r="F1756" s="737">
        <v>1.0</v>
      </c>
      <c r="G1756" s="737" t="str">
        <f t="shared" si="383"/>
        <v>#VALUE!</v>
      </c>
      <c r="H1756" s="737" t="str">
        <f>MIN($Q$11/('Orbit Info'!G$10),$Q$8*60)</f>
        <v>#VALUE!</v>
      </c>
      <c r="I1756" s="737" t="str">
        <f>IF(D1756=1,$Q$12/'Data DownlinkStorage Budget'!$M$3,0)</f>
        <v>#VALUE!</v>
      </c>
      <c r="J1756" s="737" t="str">
        <f t="shared" si="388"/>
        <v>#VALUE!</v>
      </c>
      <c r="K1756" s="11"/>
      <c r="L1756" s="737" t="str">
        <f t="shared" si="385"/>
        <v>FOUND product plus housekeeping</v>
      </c>
      <c r="M1756" s="737" t="str">
        <f>MIN($Q$18,$Q$10*60)-IF(D1756=1,$Q$17/'Data DownlinkStorage Budget'!$M$3,0)</f>
        <v>#VALUE!</v>
      </c>
      <c r="N1756" s="182"/>
      <c r="O1756" s="737" t="str">
        <f t="shared" si="389"/>
        <v>#VALUE!</v>
      </c>
      <c r="P1756" s="11"/>
      <c r="Q1756" s="11"/>
      <c r="R1756" s="11"/>
      <c r="S1756" s="11"/>
      <c r="T1756" s="11"/>
      <c r="U1756" s="11"/>
      <c r="V1756" s="11"/>
      <c r="W1756" s="11"/>
      <c r="X1756" s="11"/>
      <c r="Y1756" s="11"/>
      <c r="Z1756" s="11"/>
      <c r="AA1756" s="11"/>
    </row>
    <row r="1757" ht="15.75" customHeight="1">
      <c r="A1757" s="737">
        <f t="shared" si="387"/>
        <v>0</v>
      </c>
      <c r="B1757" s="737">
        <f>A1757/'Orbit Info'!$G$10</f>
        <v>0</v>
      </c>
      <c r="C1757" s="737" t="str">
        <f t="shared" si="380"/>
        <v>Housekeeping and events only</v>
      </c>
      <c r="D1757" s="737">
        <f t="shared" si="381"/>
        <v>1</v>
      </c>
      <c r="E1757" s="737" t="str">
        <f t="shared" si="382"/>
        <v>#VALUE!</v>
      </c>
      <c r="F1757" s="737">
        <v>1.0</v>
      </c>
      <c r="G1757" s="737" t="str">
        <f t="shared" si="383"/>
        <v>#VALUE!</v>
      </c>
      <c r="H1757" s="737" t="str">
        <f>MIN($Q$11/('Orbit Info'!G$10),$Q$8*60)</f>
        <v>#VALUE!</v>
      </c>
      <c r="I1757" s="737" t="str">
        <f>IF(D1757=1,$Q$12/'Data DownlinkStorage Budget'!$M$3,0)</f>
        <v>#VALUE!</v>
      </c>
      <c r="J1757" s="737" t="str">
        <f t="shared" si="388"/>
        <v>#VALUE!</v>
      </c>
      <c r="K1757" s="11"/>
      <c r="L1757" s="737" t="str">
        <f t="shared" si="385"/>
        <v>FOUND product plus housekeeping</v>
      </c>
      <c r="M1757" s="737" t="str">
        <f>MIN($Q$18,$Q$10*60)-IF(D1757=1,$Q$17/'Data DownlinkStorage Budget'!$M$3,0)</f>
        <v>#VALUE!</v>
      </c>
      <c r="N1757" s="182"/>
      <c r="O1757" s="737" t="str">
        <f t="shared" si="389"/>
        <v>#VALUE!</v>
      </c>
      <c r="P1757" s="11"/>
      <c r="Q1757" s="11"/>
      <c r="R1757" s="11"/>
      <c r="S1757" s="11"/>
      <c r="T1757" s="11"/>
      <c r="U1757" s="11"/>
      <c r="V1757" s="11"/>
      <c r="W1757" s="11"/>
      <c r="X1757" s="11"/>
      <c r="Y1757" s="11"/>
      <c r="Z1757" s="11"/>
      <c r="AA1757" s="11"/>
    </row>
    <row r="1758" ht="15.75" customHeight="1">
      <c r="A1758" s="737">
        <f t="shared" si="387"/>
        <v>0</v>
      </c>
      <c r="B1758" s="737">
        <f>A1758/'Orbit Info'!$G$10</f>
        <v>0</v>
      </c>
      <c r="C1758" s="737" t="str">
        <f t="shared" si="380"/>
        <v>Housekeeping and events only</v>
      </c>
      <c r="D1758" s="737">
        <f t="shared" si="381"/>
        <v>1</v>
      </c>
      <c r="E1758" s="737" t="str">
        <f t="shared" si="382"/>
        <v>#VALUE!</v>
      </c>
      <c r="F1758" s="737">
        <v>1.0</v>
      </c>
      <c r="G1758" s="737" t="str">
        <f t="shared" si="383"/>
        <v>#VALUE!</v>
      </c>
      <c r="H1758" s="737" t="str">
        <f>MIN($Q$11/('Orbit Info'!G$10),$Q$8*60)</f>
        <v>#VALUE!</v>
      </c>
      <c r="I1758" s="737" t="str">
        <f>IF(D1758=1,$Q$12/'Data DownlinkStorage Budget'!$M$3,0)</f>
        <v>#VALUE!</v>
      </c>
      <c r="J1758" s="737" t="str">
        <f t="shared" si="388"/>
        <v>#VALUE!</v>
      </c>
      <c r="K1758" s="11"/>
      <c r="L1758" s="737" t="str">
        <f t="shared" si="385"/>
        <v>FOUND product plus housekeeping</v>
      </c>
      <c r="M1758" s="737" t="str">
        <f>MIN($Q$18,$Q$10*60)-IF(D1758=1,$Q$17/'Data DownlinkStorage Budget'!$M$3,0)</f>
        <v>#VALUE!</v>
      </c>
      <c r="N1758" s="182"/>
      <c r="O1758" s="737" t="str">
        <f t="shared" si="389"/>
        <v>#VALUE!</v>
      </c>
      <c r="P1758" s="11"/>
      <c r="Q1758" s="11"/>
      <c r="R1758" s="11"/>
      <c r="S1758" s="11"/>
      <c r="T1758" s="11"/>
      <c r="U1758" s="11"/>
      <c r="V1758" s="11"/>
      <c r="W1758" s="11"/>
      <c r="X1758" s="11"/>
      <c r="Y1758" s="11"/>
      <c r="Z1758" s="11"/>
      <c r="AA1758" s="11"/>
    </row>
    <row r="1759" ht="15.75" customHeight="1">
      <c r="A1759" s="737">
        <f t="shared" si="387"/>
        <v>0</v>
      </c>
      <c r="B1759" s="737">
        <f>A1759/'Orbit Info'!$G$10</f>
        <v>0</v>
      </c>
      <c r="C1759" s="737" t="str">
        <f t="shared" si="380"/>
        <v>Housekeeping and events only</v>
      </c>
      <c r="D1759" s="737">
        <f t="shared" si="381"/>
        <v>1</v>
      </c>
      <c r="E1759" s="737" t="str">
        <f t="shared" si="382"/>
        <v>#VALUE!</v>
      </c>
      <c r="F1759" s="737">
        <v>1.0</v>
      </c>
      <c r="G1759" s="737" t="str">
        <f t="shared" si="383"/>
        <v>#VALUE!</v>
      </c>
      <c r="H1759" s="737" t="str">
        <f>MIN($Q$11/('Orbit Info'!G$10),$Q$8*60)</f>
        <v>#VALUE!</v>
      </c>
      <c r="I1759" s="737" t="str">
        <f>IF(D1759=1,$Q$12/'Data DownlinkStorage Budget'!$M$3,0)</f>
        <v>#VALUE!</v>
      </c>
      <c r="J1759" s="737" t="str">
        <f t="shared" si="388"/>
        <v>#VALUE!</v>
      </c>
      <c r="K1759" s="11"/>
      <c r="L1759" s="737" t="str">
        <f t="shared" si="385"/>
        <v>FOUND product plus housekeeping</v>
      </c>
      <c r="M1759" s="737" t="str">
        <f>MIN($Q$18,$Q$10*60)-IF(D1759=1,$Q$17/'Data DownlinkStorage Budget'!$M$3,0)</f>
        <v>#VALUE!</v>
      </c>
      <c r="N1759" s="182"/>
      <c r="O1759" s="737" t="str">
        <f t="shared" si="389"/>
        <v>#VALUE!</v>
      </c>
      <c r="P1759" s="11"/>
      <c r="Q1759" s="11"/>
      <c r="R1759" s="11"/>
      <c r="S1759" s="11"/>
      <c r="T1759" s="11"/>
      <c r="U1759" s="11"/>
      <c r="V1759" s="11"/>
      <c r="W1759" s="11"/>
      <c r="X1759" s="11"/>
      <c r="Y1759" s="11"/>
      <c r="Z1759" s="11"/>
      <c r="AA1759" s="11"/>
    </row>
    <row r="1760" ht="15.75" customHeight="1">
      <c r="A1760" s="737">
        <f t="shared" si="387"/>
        <v>0</v>
      </c>
      <c r="B1760" s="737">
        <f>A1760/'Orbit Info'!$G$10</f>
        <v>0</v>
      </c>
      <c r="C1760" s="737" t="str">
        <f t="shared" si="380"/>
        <v>Housekeeping and events only</v>
      </c>
      <c r="D1760" s="737">
        <f t="shared" si="381"/>
        <v>1</v>
      </c>
      <c r="E1760" s="737" t="str">
        <f t="shared" si="382"/>
        <v>#VALUE!</v>
      </c>
      <c r="F1760" s="737">
        <v>1.0</v>
      </c>
      <c r="G1760" s="737" t="str">
        <f t="shared" si="383"/>
        <v>#VALUE!</v>
      </c>
      <c r="H1760" s="737" t="str">
        <f>MIN($Q$11/('Orbit Info'!G$10),$Q$8*60)</f>
        <v>#VALUE!</v>
      </c>
      <c r="I1760" s="737" t="str">
        <f>IF(D1760=1,$Q$12/'Data DownlinkStorage Budget'!$M$3,0)</f>
        <v>#VALUE!</v>
      </c>
      <c r="J1760" s="737" t="str">
        <f t="shared" si="388"/>
        <v>#VALUE!</v>
      </c>
      <c r="K1760" s="11"/>
      <c r="L1760" s="737" t="str">
        <f t="shared" si="385"/>
        <v>FOUND product plus housekeeping</v>
      </c>
      <c r="M1760" s="737" t="str">
        <f>MIN($Q$18,$Q$10*60)-IF(D1760=1,$Q$17/'Data DownlinkStorage Budget'!$M$3,0)</f>
        <v>#VALUE!</v>
      </c>
      <c r="N1760" s="182"/>
      <c r="O1760" s="737" t="str">
        <f t="shared" si="389"/>
        <v>#VALUE!</v>
      </c>
      <c r="P1760" s="11"/>
      <c r="Q1760" s="11"/>
      <c r="R1760" s="11"/>
      <c r="S1760" s="11"/>
      <c r="T1760" s="11"/>
      <c r="U1760" s="11"/>
      <c r="V1760" s="11"/>
      <c r="W1760" s="11"/>
      <c r="X1760" s="11"/>
      <c r="Y1760" s="11"/>
      <c r="Z1760" s="11"/>
      <c r="AA1760" s="11"/>
    </row>
    <row r="1761" ht="15.75" customHeight="1">
      <c r="A1761" s="737">
        <f t="shared" si="387"/>
        <v>0</v>
      </c>
      <c r="B1761" s="737">
        <f>A1761/'Orbit Info'!$G$10</f>
        <v>0</v>
      </c>
      <c r="C1761" s="737" t="str">
        <f t="shared" si="380"/>
        <v>Housekeeping and events only</v>
      </c>
      <c r="D1761" s="737">
        <f t="shared" si="381"/>
        <v>1</v>
      </c>
      <c r="E1761" s="737" t="str">
        <f t="shared" si="382"/>
        <v>#VALUE!</v>
      </c>
      <c r="F1761" s="737">
        <v>1.0</v>
      </c>
      <c r="G1761" s="737" t="str">
        <f t="shared" si="383"/>
        <v>#VALUE!</v>
      </c>
      <c r="H1761" s="737" t="str">
        <f>MIN($Q$11/('Orbit Info'!G$10),$Q$8*60)</f>
        <v>#VALUE!</v>
      </c>
      <c r="I1761" s="737" t="str">
        <f>IF(D1761=1,$Q$12/'Data DownlinkStorage Budget'!$M$3,0)</f>
        <v>#VALUE!</v>
      </c>
      <c r="J1761" s="737" t="str">
        <f t="shared" si="388"/>
        <v>#VALUE!</v>
      </c>
      <c r="K1761" s="11"/>
      <c r="L1761" s="737" t="str">
        <f t="shared" si="385"/>
        <v>FOUND product plus housekeeping</v>
      </c>
      <c r="M1761" s="737" t="str">
        <f>MIN($Q$18,$Q$10*60)-IF(D1761=1,$Q$17/'Data DownlinkStorage Budget'!$M$3,0)</f>
        <v>#VALUE!</v>
      </c>
      <c r="N1761" s="182"/>
      <c r="O1761" s="737" t="str">
        <f t="shared" si="389"/>
        <v>#VALUE!</v>
      </c>
      <c r="P1761" s="11"/>
      <c r="Q1761" s="11"/>
      <c r="R1761" s="11"/>
      <c r="S1761" s="11"/>
      <c r="T1761" s="11"/>
      <c r="U1761" s="11"/>
      <c r="V1761" s="11"/>
      <c r="W1761" s="11"/>
      <c r="X1761" s="11"/>
      <c r="Y1761" s="11"/>
      <c r="Z1761" s="11"/>
      <c r="AA1761" s="11"/>
    </row>
    <row r="1762" ht="15.75" customHeight="1">
      <c r="A1762" s="737">
        <f t="shared" si="387"/>
        <v>0</v>
      </c>
      <c r="B1762" s="737">
        <f>A1762/'Orbit Info'!$G$10</f>
        <v>0</v>
      </c>
      <c r="C1762" s="737" t="str">
        <f t="shared" si="380"/>
        <v>Housekeeping and events only</v>
      </c>
      <c r="D1762" s="737">
        <f t="shared" si="381"/>
        <v>1</v>
      </c>
      <c r="E1762" s="737" t="str">
        <f t="shared" si="382"/>
        <v>#VALUE!</v>
      </c>
      <c r="F1762" s="737">
        <v>1.0</v>
      </c>
      <c r="G1762" s="737" t="str">
        <f t="shared" si="383"/>
        <v>#VALUE!</v>
      </c>
      <c r="H1762" s="737" t="str">
        <f>MIN($Q$11/('Orbit Info'!G$10),$Q$8*60)</f>
        <v>#VALUE!</v>
      </c>
      <c r="I1762" s="737" t="str">
        <f>IF(D1762=1,$Q$12/'Data DownlinkStorage Budget'!$M$3,0)</f>
        <v>#VALUE!</v>
      </c>
      <c r="J1762" s="737" t="str">
        <f t="shared" si="388"/>
        <v>#VALUE!</v>
      </c>
      <c r="K1762" s="11"/>
      <c r="L1762" s="737" t="str">
        <f t="shared" si="385"/>
        <v>FOUND product plus housekeeping</v>
      </c>
      <c r="M1762" s="737" t="str">
        <f>MIN($Q$18,$Q$10*60)-IF(D1762=1,$Q$17/'Data DownlinkStorage Budget'!$M$3,0)</f>
        <v>#VALUE!</v>
      </c>
      <c r="N1762" s="182"/>
      <c r="O1762" s="737" t="str">
        <f t="shared" si="389"/>
        <v>#VALUE!</v>
      </c>
      <c r="P1762" s="11"/>
      <c r="Q1762" s="11"/>
      <c r="R1762" s="11"/>
      <c r="S1762" s="11"/>
      <c r="T1762" s="11"/>
      <c r="U1762" s="11"/>
      <c r="V1762" s="11"/>
      <c r="W1762" s="11"/>
      <c r="X1762" s="11"/>
      <c r="Y1762" s="11"/>
      <c r="Z1762" s="11"/>
      <c r="AA1762" s="11"/>
    </row>
    <row r="1763" ht="15.75" customHeight="1">
      <c r="A1763" s="737">
        <f t="shared" si="387"/>
        <v>0</v>
      </c>
      <c r="B1763" s="737">
        <f>A1763/'Orbit Info'!$G$10</f>
        <v>0</v>
      </c>
      <c r="C1763" s="737" t="str">
        <f t="shared" si="380"/>
        <v>Housekeeping and events only</v>
      </c>
      <c r="D1763" s="737">
        <f t="shared" si="381"/>
        <v>1</v>
      </c>
      <c r="E1763" s="737" t="str">
        <f t="shared" si="382"/>
        <v>#VALUE!</v>
      </c>
      <c r="F1763" s="737">
        <v>1.0</v>
      </c>
      <c r="G1763" s="737" t="str">
        <f t="shared" si="383"/>
        <v>#VALUE!</v>
      </c>
      <c r="H1763" s="737" t="str">
        <f>MIN($Q$11/('Orbit Info'!G$10),$Q$8*60)</f>
        <v>#VALUE!</v>
      </c>
      <c r="I1763" s="737" t="str">
        <f>IF(D1763=1,$Q$12/'Data DownlinkStorage Budget'!$M$3,0)</f>
        <v>#VALUE!</v>
      </c>
      <c r="J1763" s="737" t="str">
        <f t="shared" si="388"/>
        <v>#VALUE!</v>
      </c>
      <c r="K1763" s="11"/>
      <c r="L1763" s="737" t="str">
        <f t="shared" si="385"/>
        <v>FOUND product plus housekeeping</v>
      </c>
      <c r="M1763" s="737" t="str">
        <f>MIN($Q$18,$Q$10*60)-IF(D1763=1,$Q$17/'Data DownlinkStorage Budget'!$M$3,0)</f>
        <v>#VALUE!</v>
      </c>
      <c r="N1763" s="182"/>
      <c r="O1763" s="737" t="str">
        <f t="shared" si="389"/>
        <v>#VALUE!</v>
      </c>
      <c r="P1763" s="11"/>
      <c r="Q1763" s="11"/>
      <c r="R1763" s="11"/>
      <c r="S1763" s="11"/>
      <c r="T1763" s="11"/>
      <c r="U1763" s="11"/>
      <c r="V1763" s="11"/>
      <c r="W1763" s="11"/>
      <c r="X1763" s="11"/>
      <c r="Y1763" s="11"/>
      <c r="Z1763" s="11"/>
      <c r="AA1763" s="11"/>
    </row>
    <row r="1764" ht="15.75" customHeight="1">
      <c r="A1764" s="737">
        <f t="shared" si="387"/>
        <v>0</v>
      </c>
      <c r="B1764" s="737">
        <f>A1764/'Orbit Info'!$G$10</f>
        <v>0</v>
      </c>
      <c r="C1764" s="737" t="str">
        <f t="shared" si="380"/>
        <v>Housekeeping and events only</v>
      </c>
      <c r="D1764" s="737">
        <f t="shared" si="381"/>
        <v>1</v>
      </c>
      <c r="E1764" s="737" t="str">
        <f t="shared" si="382"/>
        <v>#VALUE!</v>
      </c>
      <c r="F1764" s="737">
        <v>1.0</v>
      </c>
      <c r="G1764" s="737" t="str">
        <f t="shared" si="383"/>
        <v>#VALUE!</v>
      </c>
      <c r="H1764" s="737" t="str">
        <f>MIN($Q$11/('Orbit Info'!G$10),$Q$8*60)</f>
        <v>#VALUE!</v>
      </c>
      <c r="I1764" s="737" t="str">
        <f>IF(D1764=1,$Q$12/'Data DownlinkStorage Budget'!$M$3,0)</f>
        <v>#VALUE!</v>
      </c>
      <c r="J1764" s="737" t="str">
        <f t="shared" si="388"/>
        <v>#VALUE!</v>
      </c>
      <c r="K1764" s="11"/>
      <c r="L1764" s="737" t="str">
        <f t="shared" si="385"/>
        <v>FOUND product plus housekeeping</v>
      </c>
      <c r="M1764" s="737" t="str">
        <f>MIN($Q$18,$Q$10*60)-IF(D1764=1,$Q$17/'Data DownlinkStorage Budget'!$M$3,0)</f>
        <v>#VALUE!</v>
      </c>
      <c r="N1764" s="182"/>
      <c r="O1764" s="737" t="str">
        <f t="shared" si="389"/>
        <v>#VALUE!</v>
      </c>
      <c r="P1764" s="11"/>
      <c r="Q1764" s="11"/>
      <c r="R1764" s="11"/>
      <c r="S1764" s="11"/>
      <c r="T1764" s="11"/>
      <c r="U1764" s="11"/>
      <c r="V1764" s="11"/>
      <c r="W1764" s="11"/>
      <c r="X1764" s="11"/>
      <c r="Y1764" s="11"/>
      <c r="Z1764" s="11"/>
      <c r="AA1764" s="11"/>
    </row>
    <row r="1765" ht="15.75" customHeight="1">
      <c r="A1765" s="737">
        <f t="shared" si="387"/>
        <v>0</v>
      </c>
      <c r="B1765" s="737">
        <f>A1765/'Orbit Info'!$G$10</f>
        <v>0</v>
      </c>
      <c r="C1765" s="737" t="str">
        <f t="shared" si="380"/>
        <v>Housekeeping and events only</v>
      </c>
      <c r="D1765" s="737">
        <f t="shared" si="381"/>
        <v>1</v>
      </c>
      <c r="E1765" s="737" t="str">
        <f t="shared" si="382"/>
        <v>#VALUE!</v>
      </c>
      <c r="F1765" s="737">
        <v>1.0</v>
      </c>
      <c r="G1765" s="737" t="str">
        <f t="shared" si="383"/>
        <v>#VALUE!</v>
      </c>
      <c r="H1765" s="737" t="str">
        <f>MIN($Q$11/('Orbit Info'!G$10),$Q$8*60)</f>
        <v>#VALUE!</v>
      </c>
      <c r="I1765" s="737" t="str">
        <f>IF(D1765=1,$Q$12/'Data DownlinkStorage Budget'!$M$3,0)</f>
        <v>#VALUE!</v>
      </c>
      <c r="J1765" s="737" t="str">
        <f t="shared" si="388"/>
        <v>#VALUE!</v>
      </c>
      <c r="K1765" s="11"/>
      <c r="L1765" s="737" t="str">
        <f t="shared" si="385"/>
        <v>FOUND product plus housekeeping</v>
      </c>
      <c r="M1765" s="737" t="str">
        <f>MIN($Q$18,$Q$10*60)-IF(D1765=1,$Q$17/'Data DownlinkStorage Budget'!$M$3,0)</f>
        <v>#VALUE!</v>
      </c>
      <c r="N1765" s="182"/>
      <c r="O1765" s="737" t="str">
        <f t="shared" si="389"/>
        <v>#VALUE!</v>
      </c>
      <c r="P1765" s="11"/>
      <c r="Q1765" s="11"/>
      <c r="R1765" s="11"/>
      <c r="S1765" s="11"/>
      <c r="T1765" s="11"/>
      <c r="U1765" s="11"/>
      <c r="V1765" s="11"/>
      <c r="W1765" s="11"/>
      <c r="X1765" s="11"/>
      <c r="Y1765" s="11"/>
      <c r="Z1765" s="11"/>
      <c r="AA1765" s="11"/>
    </row>
    <row r="1766" ht="15.75" customHeight="1">
      <c r="A1766" s="737">
        <f t="shared" si="387"/>
        <v>0</v>
      </c>
      <c r="B1766" s="737">
        <f>A1766/'Orbit Info'!$G$10</f>
        <v>0</v>
      </c>
      <c r="C1766" s="737" t="str">
        <f t="shared" si="380"/>
        <v>Housekeeping and events only</v>
      </c>
      <c r="D1766" s="737">
        <f t="shared" si="381"/>
        <v>1</v>
      </c>
      <c r="E1766" s="737" t="str">
        <f t="shared" si="382"/>
        <v>#VALUE!</v>
      </c>
      <c r="F1766" s="737">
        <v>1.0</v>
      </c>
      <c r="G1766" s="737" t="str">
        <f t="shared" si="383"/>
        <v>#VALUE!</v>
      </c>
      <c r="H1766" s="737" t="str">
        <f>MIN($Q$11/('Orbit Info'!G$10),$Q$8*60)</f>
        <v>#VALUE!</v>
      </c>
      <c r="I1766" s="737" t="str">
        <f>IF(D1766=1,$Q$12/'Data DownlinkStorage Budget'!$M$3,0)</f>
        <v>#VALUE!</v>
      </c>
      <c r="J1766" s="737" t="str">
        <f t="shared" si="388"/>
        <v>#VALUE!</v>
      </c>
      <c r="K1766" s="11"/>
      <c r="L1766" s="737" t="str">
        <f t="shared" si="385"/>
        <v>FOUND product plus housekeeping</v>
      </c>
      <c r="M1766" s="737" t="str">
        <f>MIN($Q$18,$Q$10*60)-IF(D1766=1,$Q$17/'Data DownlinkStorage Budget'!$M$3,0)</f>
        <v>#VALUE!</v>
      </c>
      <c r="N1766" s="182"/>
      <c r="O1766" s="737" t="str">
        <f t="shared" si="389"/>
        <v>#VALUE!</v>
      </c>
      <c r="P1766" s="11"/>
      <c r="Q1766" s="11"/>
      <c r="R1766" s="11"/>
      <c r="S1766" s="11"/>
      <c r="T1766" s="11"/>
      <c r="U1766" s="11"/>
      <c r="V1766" s="11"/>
      <c r="W1766" s="11"/>
      <c r="X1766" s="11"/>
      <c r="Y1766" s="11"/>
      <c r="Z1766" s="11"/>
      <c r="AA1766" s="11"/>
    </row>
    <row r="1767" ht="15.75" customHeight="1">
      <c r="A1767" s="737">
        <f t="shared" si="387"/>
        <v>0</v>
      </c>
      <c r="B1767" s="737">
        <f>A1767/'Orbit Info'!$G$10</f>
        <v>0</v>
      </c>
      <c r="C1767" s="737" t="str">
        <f t="shared" si="380"/>
        <v>Housekeeping and events only</v>
      </c>
      <c r="D1767" s="737">
        <f t="shared" si="381"/>
        <v>1</v>
      </c>
      <c r="E1767" s="737" t="str">
        <f t="shared" si="382"/>
        <v>#VALUE!</v>
      </c>
      <c r="F1767" s="737">
        <v>1.0</v>
      </c>
      <c r="G1767" s="737" t="str">
        <f t="shared" si="383"/>
        <v>#VALUE!</v>
      </c>
      <c r="H1767" s="737" t="str">
        <f>MIN($Q$11/('Orbit Info'!G$10),$Q$8*60)</f>
        <v>#VALUE!</v>
      </c>
      <c r="I1767" s="737" t="str">
        <f>IF(D1767=1,$Q$12/'Data DownlinkStorage Budget'!$M$3,0)</f>
        <v>#VALUE!</v>
      </c>
      <c r="J1767" s="737" t="str">
        <f t="shared" si="388"/>
        <v>#VALUE!</v>
      </c>
      <c r="K1767" s="11"/>
      <c r="L1767" s="737" t="str">
        <f t="shared" si="385"/>
        <v>FOUND product plus housekeeping</v>
      </c>
      <c r="M1767" s="737" t="str">
        <f>MIN($Q$18,$Q$10*60)-IF(D1767=1,$Q$17/'Data DownlinkStorage Budget'!$M$3,0)</f>
        <v>#VALUE!</v>
      </c>
      <c r="N1767" s="182"/>
      <c r="O1767" s="737" t="str">
        <f t="shared" si="389"/>
        <v>#VALUE!</v>
      </c>
      <c r="P1767" s="11"/>
      <c r="Q1767" s="11"/>
      <c r="R1767" s="11"/>
      <c r="S1767" s="11"/>
      <c r="T1767" s="11"/>
      <c r="U1767" s="11"/>
      <c r="V1767" s="11"/>
      <c r="W1767" s="11"/>
      <c r="X1767" s="11"/>
      <c r="Y1767" s="11"/>
      <c r="Z1767" s="11"/>
      <c r="AA1767" s="11"/>
    </row>
    <row r="1768" ht="15.75" customHeight="1">
      <c r="A1768" s="737">
        <f t="shared" si="387"/>
        <v>0</v>
      </c>
      <c r="B1768" s="737">
        <f>A1768/'Orbit Info'!$G$10</f>
        <v>0</v>
      </c>
      <c r="C1768" s="737" t="str">
        <f t="shared" si="380"/>
        <v>Housekeeping and events only</v>
      </c>
      <c r="D1768" s="737">
        <f t="shared" si="381"/>
        <v>1</v>
      </c>
      <c r="E1768" s="737" t="str">
        <f t="shared" si="382"/>
        <v>#VALUE!</v>
      </c>
      <c r="F1768" s="737">
        <v>1.0</v>
      </c>
      <c r="G1768" s="737" t="str">
        <f t="shared" si="383"/>
        <v>#VALUE!</v>
      </c>
      <c r="H1768" s="737" t="str">
        <f>MIN($Q$11/('Orbit Info'!G$10),$Q$8*60)</f>
        <v>#VALUE!</v>
      </c>
      <c r="I1768" s="737" t="str">
        <f>IF(D1768=1,$Q$12/'Data DownlinkStorage Budget'!$M$3,0)</f>
        <v>#VALUE!</v>
      </c>
      <c r="J1768" s="737" t="str">
        <f t="shared" si="388"/>
        <v>#VALUE!</v>
      </c>
      <c r="K1768" s="11"/>
      <c r="L1768" s="737" t="str">
        <f t="shared" si="385"/>
        <v>FOUND product plus housekeeping</v>
      </c>
      <c r="M1768" s="737" t="str">
        <f>MIN($Q$18,$Q$10*60)-IF(D1768=1,$Q$17/'Data DownlinkStorage Budget'!$M$3,0)</f>
        <v>#VALUE!</v>
      </c>
      <c r="N1768" s="182"/>
      <c r="O1768" s="737" t="str">
        <f t="shared" si="389"/>
        <v>#VALUE!</v>
      </c>
      <c r="P1768" s="11"/>
      <c r="Q1768" s="11"/>
      <c r="R1768" s="11"/>
      <c r="S1768" s="11"/>
      <c r="T1768" s="11"/>
      <c r="U1768" s="11"/>
      <c r="V1768" s="11"/>
      <c r="W1768" s="11"/>
      <c r="X1768" s="11"/>
      <c r="Y1768" s="11"/>
      <c r="Z1768" s="11"/>
      <c r="AA1768" s="11"/>
    </row>
    <row r="1769" ht="15.75" customHeight="1">
      <c r="A1769" s="737">
        <f t="shared" si="387"/>
        <v>0</v>
      </c>
      <c r="B1769" s="737">
        <f>A1769/'Orbit Info'!$G$10</f>
        <v>0</v>
      </c>
      <c r="C1769" s="737" t="str">
        <f t="shared" si="380"/>
        <v>Housekeeping and events only</v>
      </c>
      <c r="D1769" s="737">
        <f t="shared" si="381"/>
        <v>1</v>
      </c>
      <c r="E1769" s="737" t="str">
        <f t="shared" si="382"/>
        <v>#VALUE!</v>
      </c>
      <c r="F1769" s="737">
        <v>1.0</v>
      </c>
      <c r="G1769" s="737" t="str">
        <f t="shared" si="383"/>
        <v>#VALUE!</v>
      </c>
      <c r="H1769" s="737" t="str">
        <f>MIN($Q$11/('Orbit Info'!G$10),$Q$8*60)</f>
        <v>#VALUE!</v>
      </c>
      <c r="I1769" s="737" t="str">
        <f>IF(D1769=1,$Q$12/'Data DownlinkStorage Budget'!$M$3,0)</f>
        <v>#VALUE!</v>
      </c>
      <c r="J1769" s="737" t="str">
        <f t="shared" si="388"/>
        <v>#VALUE!</v>
      </c>
      <c r="K1769" s="11"/>
      <c r="L1769" s="737" t="str">
        <f t="shared" si="385"/>
        <v>FOUND product plus housekeeping</v>
      </c>
      <c r="M1769" s="737" t="str">
        <f>MIN($Q$18,$Q$10*60)-IF(D1769=1,$Q$17/'Data DownlinkStorage Budget'!$M$3,0)</f>
        <v>#VALUE!</v>
      </c>
      <c r="N1769" s="182"/>
      <c r="O1769" s="737" t="str">
        <f t="shared" si="389"/>
        <v>#VALUE!</v>
      </c>
      <c r="P1769" s="11"/>
      <c r="Q1769" s="11"/>
      <c r="R1769" s="11"/>
      <c r="S1769" s="11"/>
      <c r="T1769" s="11"/>
      <c r="U1769" s="11"/>
      <c r="V1769" s="11"/>
      <c r="W1769" s="11"/>
      <c r="X1769" s="11"/>
      <c r="Y1769" s="11"/>
      <c r="Z1769" s="11"/>
      <c r="AA1769" s="11"/>
    </row>
    <row r="1770" ht="15.75" customHeight="1">
      <c r="A1770" s="737">
        <f t="shared" si="387"/>
        <v>0</v>
      </c>
      <c r="B1770" s="737">
        <f>A1770/'Orbit Info'!$G$10</f>
        <v>0</v>
      </c>
      <c r="C1770" s="737" t="str">
        <f t="shared" si="380"/>
        <v>Housekeeping and events only</v>
      </c>
      <c r="D1770" s="737">
        <f t="shared" si="381"/>
        <v>1</v>
      </c>
      <c r="E1770" s="737" t="str">
        <f t="shared" si="382"/>
        <v>#VALUE!</v>
      </c>
      <c r="F1770" s="737">
        <v>1.0</v>
      </c>
      <c r="G1770" s="737" t="str">
        <f t="shared" si="383"/>
        <v>#VALUE!</v>
      </c>
      <c r="H1770" s="737" t="str">
        <f>MIN($Q$11/('Orbit Info'!G$10),$Q$8*60)</f>
        <v>#VALUE!</v>
      </c>
      <c r="I1770" s="737" t="str">
        <f>IF(D1770=1,$Q$12/'Data DownlinkStorage Budget'!$M$3,0)</f>
        <v>#VALUE!</v>
      </c>
      <c r="J1770" s="737" t="str">
        <f t="shared" si="388"/>
        <v>#VALUE!</v>
      </c>
      <c r="K1770" s="11"/>
      <c r="L1770" s="737" t="str">
        <f t="shared" si="385"/>
        <v>FOUND product plus housekeeping</v>
      </c>
      <c r="M1770" s="737" t="str">
        <f>MIN($Q$18,$Q$10*60)-IF(D1770=1,$Q$17/'Data DownlinkStorage Budget'!$M$3,0)</f>
        <v>#VALUE!</v>
      </c>
      <c r="N1770" s="182"/>
      <c r="O1770" s="737" t="str">
        <f t="shared" si="389"/>
        <v>#VALUE!</v>
      </c>
      <c r="P1770" s="11"/>
      <c r="Q1770" s="11"/>
      <c r="R1770" s="11"/>
      <c r="S1770" s="11"/>
      <c r="T1770" s="11"/>
      <c r="U1770" s="11"/>
      <c r="V1770" s="11"/>
      <c r="W1770" s="11"/>
      <c r="X1770" s="11"/>
      <c r="Y1770" s="11"/>
      <c r="Z1770" s="11"/>
      <c r="AA1770" s="11"/>
    </row>
    <row r="1771" ht="15.75" customHeight="1">
      <c r="A1771" s="737">
        <f t="shared" si="387"/>
        <v>0</v>
      </c>
      <c r="B1771" s="737">
        <f>A1771/'Orbit Info'!$G$10</f>
        <v>0</v>
      </c>
      <c r="C1771" s="737" t="str">
        <f t="shared" si="380"/>
        <v>Housekeeping and events only</v>
      </c>
      <c r="D1771" s="737">
        <f t="shared" si="381"/>
        <v>1</v>
      </c>
      <c r="E1771" s="737" t="str">
        <f t="shared" si="382"/>
        <v>#VALUE!</v>
      </c>
      <c r="F1771" s="737">
        <v>1.0</v>
      </c>
      <c r="G1771" s="737" t="str">
        <f t="shared" si="383"/>
        <v>#VALUE!</v>
      </c>
      <c r="H1771" s="737" t="str">
        <f>MIN($Q$11/('Orbit Info'!G$10),$Q$8*60)</f>
        <v>#VALUE!</v>
      </c>
      <c r="I1771" s="737" t="str">
        <f>IF(D1771=1,$Q$12/'Data DownlinkStorage Budget'!$M$3,0)</f>
        <v>#VALUE!</v>
      </c>
      <c r="J1771" s="737" t="str">
        <f t="shared" si="388"/>
        <v>#VALUE!</v>
      </c>
      <c r="K1771" s="11"/>
      <c r="L1771" s="737" t="str">
        <f t="shared" si="385"/>
        <v>FOUND product plus housekeeping</v>
      </c>
      <c r="M1771" s="737" t="str">
        <f>MIN($Q$18,$Q$10*60)-IF(D1771=1,$Q$17/'Data DownlinkStorage Budget'!$M$3,0)</f>
        <v>#VALUE!</v>
      </c>
      <c r="N1771" s="182"/>
      <c r="O1771" s="737" t="str">
        <f t="shared" si="389"/>
        <v>#VALUE!</v>
      </c>
      <c r="P1771" s="11"/>
      <c r="Q1771" s="11"/>
      <c r="R1771" s="11"/>
      <c r="S1771" s="11"/>
      <c r="T1771" s="11"/>
      <c r="U1771" s="11"/>
      <c r="V1771" s="11"/>
      <c r="W1771" s="11"/>
      <c r="X1771" s="11"/>
      <c r="Y1771" s="11"/>
      <c r="Z1771" s="11"/>
      <c r="AA1771" s="11"/>
    </row>
    <row r="1772" ht="15.75" customHeight="1">
      <c r="A1772" s="737">
        <f t="shared" si="387"/>
        <v>0</v>
      </c>
      <c r="B1772" s="737">
        <f>A1772/'Orbit Info'!$G$10</f>
        <v>0</v>
      </c>
      <c r="C1772" s="737" t="str">
        <f t="shared" si="380"/>
        <v>Housekeeping and events only</v>
      </c>
      <c r="D1772" s="737">
        <f t="shared" si="381"/>
        <v>1</v>
      </c>
      <c r="E1772" s="737" t="str">
        <f t="shared" si="382"/>
        <v>#VALUE!</v>
      </c>
      <c r="F1772" s="737">
        <v>1.0</v>
      </c>
      <c r="G1772" s="737" t="str">
        <f t="shared" si="383"/>
        <v>#VALUE!</v>
      </c>
      <c r="H1772" s="737" t="str">
        <f>MIN($Q$11/('Orbit Info'!G$10),$Q$8*60)</f>
        <v>#VALUE!</v>
      </c>
      <c r="I1772" s="737" t="str">
        <f>IF(D1772=1,$Q$12/'Data DownlinkStorage Budget'!$M$3,0)</f>
        <v>#VALUE!</v>
      </c>
      <c r="J1772" s="737" t="str">
        <f t="shared" si="388"/>
        <v>#VALUE!</v>
      </c>
      <c r="K1772" s="11"/>
      <c r="L1772" s="737" t="str">
        <f t="shared" si="385"/>
        <v>FOUND product plus housekeeping</v>
      </c>
      <c r="M1772" s="737" t="str">
        <f>MIN($Q$18,$Q$10*60)-IF(D1772=1,$Q$17/'Data DownlinkStorage Budget'!$M$3,0)</f>
        <v>#VALUE!</v>
      </c>
      <c r="N1772" s="182"/>
      <c r="O1772" s="737" t="str">
        <f t="shared" si="389"/>
        <v>#VALUE!</v>
      </c>
      <c r="P1772" s="11"/>
      <c r="Q1772" s="11"/>
      <c r="R1772" s="11"/>
      <c r="S1772" s="11"/>
      <c r="T1772" s="11"/>
      <c r="U1772" s="11"/>
      <c r="V1772" s="11"/>
      <c r="W1772" s="11"/>
      <c r="X1772" s="11"/>
      <c r="Y1772" s="11"/>
      <c r="Z1772" s="11"/>
      <c r="AA1772" s="11"/>
    </row>
    <row r="1773" ht="15.75" customHeight="1">
      <c r="A1773" s="737">
        <f t="shared" si="387"/>
        <v>0</v>
      </c>
      <c r="B1773" s="737">
        <f>A1773/'Orbit Info'!$G$10</f>
        <v>0</v>
      </c>
      <c r="C1773" s="737" t="str">
        <f t="shared" si="380"/>
        <v>Housekeeping and events only</v>
      </c>
      <c r="D1773" s="737">
        <f t="shared" si="381"/>
        <v>1</v>
      </c>
      <c r="E1773" s="737" t="str">
        <f t="shared" si="382"/>
        <v>#VALUE!</v>
      </c>
      <c r="F1773" s="737">
        <v>1.0</v>
      </c>
      <c r="G1773" s="737" t="str">
        <f t="shared" si="383"/>
        <v>#VALUE!</v>
      </c>
      <c r="H1773" s="737" t="str">
        <f>MIN($Q$11/('Orbit Info'!G$10),$Q$8*60)</f>
        <v>#VALUE!</v>
      </c>
      <c r="I1773" s="737" t="str">
        <f>IF(D1773=1,$Q$12/'Data DownlinkStorage Budget'!$M$3,0)</f>
        <v>#VALUE!</v>
      </c>
      <c r="J1773" s="737" t="str">
        <f t="shared" si="388"/>
        <v>#VALUE!</v>
      </c>
      <c r="K1773" s="11"/>
      <c r="L1773" s="737" t="str">
        <f t="shared" si="385"/>
        <v>FOUND product plus housekeeping</v>
      </c>
      <c r="M1773" s="737" t="str">
        <f>MIN($Q$18,$Q$10*60)-IF(D1773=1,$Q$17/'Data DownlinkStorage Budget'!$M$3,0)</f>
        <v>#VALUE!</v>
      </c>
      <c r="N1773" s="182"/>
      <c r="O1773" s="737" t="str">
        <f t="shared" si="389"/>
        <v>#VALUE!</v>
      </c>
      <c r="P1773" s="11"/>
      <c r="Q1773" s="11"/>
      <c r="R1773" s="11"/>
      <c r="S1773" s="11"/>
      <c r="T1773" s="11"/>
      <c r="U1773" s="11"/>
      <c r="V1773" s="11"/>
      <c r="W1773" s="11"/>
      <c r="X1773" s="11"/>
      <c r="Y1773" s="11"/>
      <c r="Z1773" s="11"/>
      <c r="AA1773" s="11"/>
    </row>
    <row r="1774" ht="15.75" customHeight="1">
      <c r="A1774" s="737">
        <f t="shared" si="387"/>
        <v>0</v>
      </c>
      <c r="B1774" s="737">
        <f>A1774/'Orbit Info'!$G$10</f>
        <v>0</v>
      </c>
      <c r="C1774" s="737" t="str">
        <f t="shared" si="380"/>
        <v>Housekeeping and events only</v>
      </c>
      <c r="D1774" s="737">
        <f t="shared" si="381"/>
        <v>1</v>
      </c>
      <c r="E1774" s="737" t="str">
        <f t="shared" si="382"/>
        <v>#VALUE!</v>
      </c>
      <c r="F1774" s="737">
        <v>1.0</v>
      </c>
      <c r="G1774" s="737" t="str">
        <f t="shared" si="383"/>
        <v>#VALUE!</v>
      </c>
      <c r="H1774" s="737" t="str">
        <f>MIN($Q$11/('Orbit Info'!G$10),$Q$8*60)</f>
        <v>#VALUE!</v>
      </c>
      <c r="I1774" s="737" t="str">
        <f>IF(D1774=1,$Q$12/'Data DownlinkStorage Budget'!$M$3,0)</f>
        <v>#VALUE!</v>
      </c>
      <c r="J1774" s="737" t="str">
        <f t="shared" si="388"/>
        <v>#VALUE!</v>
      </c>
      <c r="K1774" s="11"/>
      <c r="L1774" s="737" t="str">
        <f t="shared" si="385"/>
        <v>FOUND product plus housekeeping</v>
      </c>
      <c r="M1774" s="737" t="str">
        <f>MIN($Q$18,$Q$10*60)-IF(D1774=1,$Q$17/'Data DownlinkStorage Budget'!$M$3,0)</f>
        <v>#VALUE!</v>
      </c>
      <c r="N1774" s="182"/>
      <c r="O1774" s="737" t="str">
        <f t="shared" si="389"/>
        <v>#VALUE!</v>
      </c>
      <c r="P1774" s="11"/>
      <c r="Q1774" s="11"/>
      <c r="R1774" s="11"/>
      <c r="S1774" s="11"/>
      <c r="T1774" s="11"/>
      <c r="U1774" s="11"/>
      <c r="V1774" s="11"/>
      <c r="W1774" s="11"/>
      <c r="X1774" s="11"/>
      <c r="Y1774" s="11"/>
      <c r="Z1774" s="11"/>
      <c r="AA1774" s="11"/>
    </row>
    <row r="1775" ht="15.75" customHeight="1">
      <c r="A1775" s="737">
        <f t="shared" si="387"/>
        <v>0</v>
      </c>
      <c r="B1775" s="737">
        <f>A1775/'Orbit Info'!$G$10</f>
        <v>0</v>
      </c>
      <c r="C1775" s="737" t="str">
        <f t="shared" si="380"/>
        <v>Housekeeping and events only</v>
      </c>
      <c r="D1775" s="737">
        <f t="shared" si="381"/>
        <v>1</v>
      </c>
      <c r="E1775" s="737" t="str">
        <f t="shared" si="382"/>
        <v>#VALUE!</v>
      </c>
      <c r="F1775" s="737">
        <v>1.0</v>
      </c>
      <c r="G1775" s="737" t="str">
        <f t="shared" si="383"/>
        <v>#VALUE!</v>
      </c>
      <c r="H1775" s="737" t="str">
        <f>MIN($Q$11/('Orbit Info'!G$10),$Q$8*60)</f>
        <v>#VALUE!</v>
      </c>
      <c r="I1775" s="737" t="str">
        <f>IF(D1775=1,$Q$12/'Data DownlinkStorage Budget'!$M$3,0)</f>
        <v>#VALUE!</v>
      </c>
      <c r="J1775" s="737" t="str">
        <f t="shared" si="388"/>
        <v>#VALUE!</v>
      </c>
      <c r="K1775" s="11"/>
      <c r="L1775" s="737" t="str">
        <f t="shared" si="385"/>
        <v>FOUND product plus housekeeping</v>
      </c>
      <c r="M1775" s="737" t="str">
        <f>MIN($Q$18,$Q$10*60)-IF(D1775=1,$Q$17/'Data DownlinkStorage Budget'!$M$3,0)</f>
        <v>#VALUE!</v>
      </c>
      <c r="N1775" s="182"/>
      <c r="O1775" s="737" t="str">
        <f t="shared" si="389"/>
        <v>#VALUE!</v>
      </c>
      <c r="P1775" s="11"/>
      <c r="Q1775" s="11"/>
      <c r="R1775" s="11"/>
      <c r="S1775" s="11"/>
      <c r="T1775" s="11"/>
      <c r="U1775" s="11"/>
      <c r="V1775" s="11"/>
      <c r="W1775" s="11"/>
      <c r="X1775" s="11"/>
      <c r="Y1775" s="11"/>
      <c r="Z1775" s="11"/>
      <c r="AA1775" s="11"/>
    </row>
    <row r="1776" ht="15.75" customHeight="1">
      <c r="A1776" s="737">
        <f t="shared" si="387"/>
        <v>0</v>
      </c>
      <c r="B1776" s="737">
        <f>A1776/'Orbit Info'!$G$10</f>
        <v>0</v>
      </c>
      <c r="C1776" s="737" t="str">
        <f t="shared" si="380"/>
        <v>Housekeeping and events only</v>
      </c>
      <c r="D1776" s="737">
        <f t="shared" si="381"/>
        <v>1</v>
      </c>
      <c r="E1776" s="737" t="str">
        <f t="shared" si="382"/>
        <v>#VALUE!</v>
      </c>
      <c r="F1776" s="737">
        <v>1.0</v>
      </c>
      <c r="G1776" s="737" t="str">
        <f t="shared" si="383"/>
        <v>#VALUE!</v>
      </c>
      <c r="H1776" s="737" t="str">
        <f>MIN($Q$11/('Orbit Info'!G$10),$Q$8*60)</f>
        <v>#VALUE!</v>
      </c>
      <c r="I1776" s="737" t="str">
        <f>IF(D1776=1,$Q$12/'Data DownlinkStorage Budget'!$M$3,0)</f>
        <v>#VALUE!</v>
      </c>
      <c r="J1776" s="737" t="str">
        <f t="shared" si="388"/>
        <v>#VALUE!</v>
      </c>
      <c r="K1776" s="11"/>
      <c r="L1776" s="737" t="str">
        <f t="shared" si="385"/>
        <v>FOUND product plus housekeeping</v>
      </c>
      <c r="M1776" s="737" t="str">
        <f>MIN($Q$18,$Q$10*60)-IF(D1776=1,$Q$17/'Data DownlinkStorage Budget'!$M$3,0)</f>
        <v>#VALUE!</v>
      </c>
      <c r="N1776" s="182"/>
      <c r="O1776" s="737" t="str">
        <f t="shared" si="389"/>
        <v>#VALUE!</v>
      </c>
      <c r="P1776" s="11"/>
      <c r="Q1776" s="11"/>
      <c r="R1776" s="11"/>
      <c r="S1776" s="11"/>
      <c r="T1776" s="11"/>
      <c r="U1776" s="11"/>
      <c r="V1776" s="11"/>
      <c r="W1776" s="11"/>
      <c r="X1776" s="11"/>
      <c r="Y1776" s="11"/>
      <c r="Z1776" s="11"/>
      <c r="AA1776" s="11"/>
    </row>
    <row r="1777" ht="15.75" customHeight="1">
      <c r="A1777" s="737">
        <f t="shared" si="387"/>
        <v>0</v>
      </c>
      <c r="B1777" s="737">
        <f>A1777/'Orbit Info'!$G$10</f>
        <v>0</v>
      </c>
      <c r="C1777" s="737" t="str">
        <f t="shared" si="380"/>
        <v>Housekeeping and events only</v>
      </c>
      <c r="D1777" s="737">
        <f t="shared" si="381"/>
        <v>1</v>
      </c>
      <c r="E1777" s="737" t="str">
        <f t="shared" si="382"/>
        <v>#VALUE!</v>
      </c>
      <c r="F1777" s="737">
        <v>1.0</v>
      </c>
      <c r="G1777" s="737" t="str">
        <f t="shared" si="383"/>
        <v>#VALUE!</v>
      </c>
      <c r="H1777" s="737" t="str">
        <f>MIN($Q$11/('Orbit Info'!G$10),$Q$8*60)</f>
        <v>#VALUE!</v>
      </c>
      <c r="I1777" s="737" t="str">
        <f>IF(D1777=1,$Q$12/'Data DownlinkStorage Budget'!$M$3,0)</f>
        <v>#VALUE!</v>
      </c>
      <c r="J1777" s="737" t="str">
        <f t="shared" si="388"/>
        <v>#VALUE!</v>
      </c>
      <c r="K1777" s="11"/>
      <c r="L1777" s="737" t="str">
        <f t="shared" si="385"/>
        <v>FOUND product plus housekeeping</v>
      </c>
      <c r="M1777" s="737" t="str">
        <f>MIN($Q$18,$Q$10*60)-IF(D1777=1,$Q$17/'Data DownlinkStorage Budget'!$M$3,0)</f>
        <v>#VALUE!</v>
      </c>
      <c r="N1777" s="182"/>
      <c r="O1777" s="737" t="str">
        <f t="shared" si="389"/>
        <v>#VALUE!</v>
      </c>
      <c r="P1777" s="11"/>
      <c r="Q1777" s="11"/>
      <c r="R1777" s="11"/>
      <c r="S1777" s="11"/>
      <c r="T1777" s="11"/>
      <c r="U1777" s="11"/>
      <c r="V1777" s="11"/>
      <c r="W1777" s="11"/>
      <c r="X1777" s="11"/>
      <c r="Y1777" s="11"/>
      <c r="Z1777" s="11"/>
      <c r="AA1777" s="11"/>
    </row>
    <row r="1778" ht="15.75" customHeight="1">
      <c r="A1778" s="737">
        <f t="shared" si="387"/>
        <v>0</v>
      </c>
      <c r="B1778" s="737">
        <f>A1778/'Orbit Info'!$G$10</f>
        <v>0</v>
      </c>
      <c r="C1778" s="737" t="str">
        <f t="shared" si="380"/>
        <v>Housekeeping and events only</v>
      </c>
      <c r="D1778" s="737">
        <f t="shared" si="381"/>
        <v>1</v>
      </c>
      <c r="E1778" s="737" t="str">
        <f t="shared" si="382"/>
        <v>#VALUE!</v>
      </c>
      <c r="F1778" s="737">
        <v>1.0</v>
      </c>
      <c r="G1778" s="737" t="str">
        <f t="shared" si="383"/>
        <v>#VALUE!</v>
      </c>
      <c r="H1778" s="737" t="str">
        <f>MIN($Q$11/('Orbit Info'!G$10),$Q$8*60)</f>
        <v>#VALUE!</v>
      </c>
      <c r="I1778" s="737" t="str">
        <f>IF(D1778=1,$Q$12/'Data DownlinkStorage Budget'!$M$3,0)</f>
        <v>#VALUE!</v>
      </c>
      <c r="J1778" s="737" t="str">
        <f t="shared" si="388"/>
        <v>#VALUE!</v>
      </c>
      <c r="K1778" s="11"/>
      <c r="L1778" s="737" t="str">
        <f t="shared" si="385"/>
        <v>FOUND product plus housekeeping</v>
      </c>
      <c r="M1778" s="737" t="str">
        <f>MIN($Q$18,$Q$10*60)-IF(D1778=1,$Q$17/'Data DownlinkStorage Budget'!$M$3,0)</f>
        <v>#VALUE!</v>
      </c>
      <c r="N1778" s="182"/>
      <c r="O1778" s="737" t="str">
        <f t="shared" si="389"/>
        <v>#VALUE!</v>
      </c>
      <c r="P1778" s="11"/>
      <c r="Q1778" s="11"/>
      <c r="R1778" s="11"/>
      <c r="S1778" s="11"/>
      <c r="T1778" s="11"/>
      <c r="U1778" s="11"/>
      <c r="V1778" s="11"/>
      <c r="W1778" s="11"/>
      <c r="X1778" s="11"/>
      <c r="Y1778" s="11"/>
      <c r="Z1778" s="11"/>
      <c r="AA1778" s="11"/>
    </row>
    <row r="1779" ht="15.75" customHeight="1">
      <c r="A1779" s="737">
        <f t="shared" si="387"/>
        <v>0</v>
      </c>
      <c r="B1779" s="737">
        <f>A1779/'Orbit Info'!$G$10</f>
        <v>0</v>
      </c>
      <c r="C1779" s="737" t="str">
        <f t="shared" si="380"/>
        <v>Housekeeping and events only</v>
      </c>
      <c r="D1779" s="737">
        <f t="shared" si="381"/>
        <v>1</v>
      </c>
      <c r="E1779" s="737" t="str">
        <f t="shared" si="382"/>
        <v>#VALUE!</v>
      </c>
      <c r="F1779" s="737">
        <v>1.0</v>
      </c>
      <c r="G1779" s="737" t="str">
        <f t="shared" si="383"/>
        <v>#VALUE!</v>
      </c>
      <c r="H1779" s="737" t="str">
        <f>MIN($Q$11/('Orbit Info'!G$10),$Q$8*60)</f>
        <v>#VALUE!</v>
      </c>
      <c r="I1779" s="737" t="str">
        <f>IF(D1779=1,$Q$12/'Data DownlinkStorage Budget'!$M$3,0)</f>
        <v>#VALUE!</v>
      </c>
      <c r="J1779" s="737" t="str">
        <f t="shared" si="388"/>
        <v>#VALUE!</v>
      </c>
      <c r="K1779" s="11"/>
      <c r="L1779" s="737" t="str">
        <f t="shared" si="385"/>
        <v>FOUND product plus housekeeping</v>
      </c>
      <c r="M1779" s="737" t="str">
        <f>MIN($Q$18,$Q$10*60)-IF(D1779=1,$Q$17/'Data DownlinkStorage Budget'!$M$3,0)</f>
        <v>#VALUE!</v>
      </c>
      <c r="N1779" s="182"/>
      <c r="O1779" s="737" t="str">
        <f t="shared" si="389"/>
        <v>#VALUE!</v>
      </c>
      <c r="P1779" s="11"/>
      <c r="Q1779" s="11"/>
      <c r="R1779" s="11"/>
      <c r="S1779" s="11"/>
      <c r="T1779" s="11"/>
      <c r="U1779" s="11"/>
      <c r="V1779" s="11"/>
      <c r="W1779" s="11"/>
      <c r="X1779" s="11"/>
      <c r="Y1779" s="11"/>
      <c r="Z1779" s="11"/>
      <c r="AA1779" s="11"/>
    </row>
    <row r="1780" ht="15.75" customHeight="1">
      <c r="A1780" s="737">
        <f t="shared" si="387"/>
        <v>0</v>
      </c>
      <c r="B1780" s="737">
        <f>A1780/'Orbit Info'!$G$10</f>
        <v>0</v>
      </c>
      <c r="C1780" s="737" t="str">
        <f t="shared" si="380"/>
        <v>Housekeeping and events only</v>
      </c>
      <c r="D1780" s="737">
        <f t="shared" si="381"/>
        <v>1</v>
      </c>
      <c r="E1780" s="737" t="str">
        <f t="shared" si="382"/>
        <v>#VALUE!</v>
      </c>
      <c r="F1780" s="737">
        <v>1.0</v>
      </c>
      <c r="G1780" s="737" t="str">
        <f t="shared" si="383"/>
        <v>#VALUE!</v>
      </c>
      <c r="H1780" s="737" t="str">
        <f>MIN($Q$11/('Orbit Info'!G$10),$Q$8*60)</f>
        <v>#VALUE!</v>
      </c>
      <c r="I1780" s="737" t="str">
        <f>IF(D1780=1,$Q$12/'Data DownlinkStorage Budget'!$M$3,0)</f>
        <v>#VALUE!</v>
      </c>
      <c r="J1780" s="737" t="str">
        <f t="shared" si="388"/>
        <v>#VALUE!</v>
      </c>
      <c r="K1780" s="11"/>
      <c r="L1780" s="737" t="str">
        <f t="shared" si="385"/>
        <v>FOUND product plus housekeeping</v>
      </c>
      <c r="M1780" s="737" t="str">
        <f>MIN($Q$18,$Q$10*60)-IF(D1780=1,$Q$17/'Data DownlinkStorage Budget'!$M$3,0)</f>
        <v>#VALUE!</v>
      </c>
      <c r="N1780" s="182"/>
      <c r="O1780" s="737" t="str">
        <f t="shared" si="389"/>
        <v>#VALUE!</v>
      </c>
      <c r="P1780" s="11"/>
      <c r="Q1780" s="11"/>
      <c r="R1780" s="11"/>
      <c r="S1780" s="11"/>
      <c r="T1780" s="11"/>
      <c r="U1780" s="11"/>
      <c r="V1780" s="11"/>
      <c r="W1780" s="11"/>
      <c r="X1780" s="11"/>
      <c r="Y1780" s="11"/>
      <c r="Z1780" s="11"/>
      <c r="AA1780" s="11"/>
    </row>
    <row r="1781" ht="15.75" customHeight="1">
      <c r="A1781" s="737">
        <f t="shared" si="387"/>
        <v>0</v>
      </c>
      <c r="B1781" s="737">
        <f>A1781/'Orbit Info'!$G$10</f>
        <v>0</v>
      </c>
      <c r="C1781" s="737" t="str">
        <f t="shared" si="380"/>
        <v>Housekeeping and events only</v>
      </c>
      <c r="D1781" s="737">
        <f t="shared" si="381"/>
        <v>1</v>
      </c>
      <c r="E1781" s="737" t="str">
        <f t="shared" si="382"/>
        <v>#VALUE!</v>
      </c>
      <c r="F1781" s="737">
        <v>1.0</v>
      </c>
      <c r="G1781" s="737" t="str">
        <f t="shared" si="383"/>
        <v>#VALUE!</v>
      </c>
      <c r="H1781" s="737" t="str">
        <f>MIN($Q$11/('Orbit Info'!G$10),$Q$8*60)</f>
        <v>#VALUE!</v>
      </c>
      <c r="I1781" s="737" t="str">
        <f>IF(D1781=1,$Q$12/'Data DownlinkStorage Budget'!$M$3,0)</f>
        <v>#VALUE!</v>
      </c>
      <c r="J1781" s="737" t="str">
        <f t="shared" si="388"/>
        <v>#VALUE!</v>
      </c>
      <c r="K1781" s="11"/>
      <c r="L1781" s="737" t="str">
        <f t="shared" si="385"/>
        <v>FOUND product plus housekeeping</v>
      </c>
      <c r="M1781" s="737" t="str">
        <f>MIN($Q$18,$Q$10*60)-IF(D1781=1,$Q$17/'Data DownlinkStorage Budget'!$M$3,0)</f>
        <v>#VALUE!</v>
      </c>
      <c r="N1781" s="182"/>
      <c r="O1781" s="737" t="str">
        <f t="shared" si="389"/>
        <v>#VALUE!</v>
      </c>
      <c r="P1781" s="11"/>
      <c r="Q1781" s="11"/>
      <c r="R1781" s="11"/>
      <c r="S1781" s="11"/>
      <c r="T1781" s="11"/>
      <c r="U1781" s="11"/>
      <c r="V1781" s="11"/>
      <c r="W1781" s="11"/>
      <c r="X1781" s="11"/>
      <c r="Y1781" s="11"/>
      <c r="Z1781" s="11"/>
      <c r="AA1781" s="11"/>
    </row>
    <row r="1782" ht="15.75" customHeight="1">
      <c r="A1782" s="737">
        <f t="shared" si="387"/>
        <v>0</v>
      </c>
      <c r="B1782" s="737">
        <f>A1782/'Orbit Info'!$G$10</f>
        <v>0</v>
      </c>
      <c r="C1782" s="737" t="str">
        <f t="shared" si="380"/>
        <v>Housekeeping and events only</v>
      </c>
      <c r="D1782" s="737">
        <f t="shared" si="381"/>
        <v>1</v>
      </c>
      <c r="E1782" s="737" t="str">
        <f t="shared" si="382"/>
        <v>#VALUE!</v>
      </c>
      <c r="F1782" s="737">
        <v>1.0</v>
      </c>
      <c r="G1782" s="737" t="str">
        <f t="shared" si="383"/>
        <v>#VALUE!</v>
      </c>
      <c r="H1782" s="737" t="str">
        <f>MIN($Q$11/('Orbit Info'!G$10),$Q$8*60)</f>
        <v>#VALUE!</v>
      </c>
      <c r="I1782" s="737" t="str">
        <f>IF(D1782=1,$Q$12/'Data DownlinkStorage Budget'!$M$3,0)</f>
        <v>#VALUE!</v>
      </c>
      <c r="J1782" s="737" t="str">
        <f t="shared" si="388"/>
        <v>#VALUE!</v>
      </c>
      <c r="K1782" s="11"/>
      <c r="L1782" s="737" t="str">
        <f t="shared" si="385"/>
        <v>FOUND product plus housekeeping</v>
      </c>
      <c r="M1782" s="737" t="str">
        <f>MIN($Q$18,$Q$10*60)-IF(D1782=1,$Q$17/'Data DownlinkStorage Budget'!$M$3,0)</f>
        <v>#VALUE!</v>
      </c>
      <c r="N1782" s="182"/>
      <c r="O1782" s="737" t="str">
        <f t="shared" si="389"/>
        <v>#VALUE!</v>
      </c>
      <c r="P1782" s="11"/>
      <c r="Q1782" s="11"/>
      <c r="R1782" s="11"/>
      <c r="S1782" s="11"/>
      <c r="T1782" s="11"/>
      <c r="U1782" s="11"/>
      <c r="V1782" s="11"/>
      <c r="W1782" s="11"/>
      <c r="X1782" s="11"/>
      <c r="Y1782" s="11"/>
      <c r="Z1782" s="11"/>
      <c r="AA1782" s="11"/>
    </row>
    <row r="1783" ht="15.75" customHeight="1">
      <c r="A1783" s="737">
        <f t="shared" si="387"/>
        <v>0</v>
      </c>
      <c r="B1783" s="737">
        <f>A1783/'Orbit Info'!$G$10</f>
        <v>0</v>
      </c>
      <c r="C1783" s="737" t="str">
        <f t="shared" si="380"/>
        <v>Housekeeping and events only</v>
      </c>
      <c r="D1783" s="737">
        <f t="shared" si="381"/>
        <v>1</v>
      </c>
      <c r="E1783" s="737" t="str">
        <f t="shared" si="382"/>
        <v>#VALUE!</v>
      </c>
      <c r="F1783" s="737">
        <v>1.0</v>
      </c>
      <c r="G1783" s="737" t="str">
        <f t="shared" si="383"/>
        <v>#VALUE!</v>
      </c>
      <c r="H1783" s="737" t="str">
        <f>MIN($Q$11/('Orbit Info'!G$10),$Q$8*60)</f>
        <v>#VALUE!</v>
      </c>
      <c r="I1783" s="737" t="str">
        <f>IF(D1783=1,$Q$12/'Data DownlinkStorage Budget'!$M$3,0)</f>
        <v>#VALUE!</v>
      </c>
      <c r="J1783" s="737" t="str">
        <f t="shared" si="388"/>
        <v>#VALUE!</v>
      </c>
      <c r="K1783" s="11"/>
      <c r="L1783" s="737" t="str">
        <f t="shared" si="385"/>
        <v>FOUND product plus housekeeping</v>
      </c>
      <c r="M1783" s="737" t="str">
        <f>MIN($Q$18,$Q$10*60)-IF(D1783=1,$Q$17/'Data DownlinkStorage Budget'!$M$3,0)</f>
        <v>#VALUE!</v>
      </c>
      <c r="N1783" s="182"/>
      <c r="O1783" s="737" t="str">
        <f t="shared" si="389"/>
        <v>#VALUE!</v>
      </c>
      <c r="P1783" s="11"/>
      <c r="Q1783" s="11"/>
      <c r="R1783" s="11"/>
      <c r="S1783" s="11"/>
      <c r="T1783" s="11"/>
      <c r="U1783" s="11"/>
      <c r="V1783" s="11"/>
      <c r="W1783" s="11"/>
      <c r="X1783" s="11"/>
      <c r="Y1783" s="11"/>
      <c r="Z1783" s="11"/>
      <c r="AA1783" s="11"/>
    </row>
    <row r="1784" ht="15.75" customHeight="1">
      <c r="A1784" s="737">
        <f t="shared" si="387"/>
        <v>0</v>
      </c>
      <c r="B1784" s="737">
        <f>A1784/'Orbit Info'!$G$10</f>
        <v>0</v>
      </c>
      <c r="C1784" s="737" t="str">
        <f t="shared" si="380"/>
        <v>Housekeeping and events only</v>
      </c>
      <c r="D1784" s="737">
        <f t="shared" si="381"/>
        <v>1</v>
      </c>
      <c r="E1784" s="737" t="str">
        <f t="shared" si="382"/>
        <v>#VALUE!</v>
      </c>
      <c r="F1784" s="737">
        <v>1.0</v>
      </c>
      <c r="G1784" s="737" t="str">
        <f t="shared" si="383"/>
        <v>#VALUE!</v>
      </c>
      <c r="H1784" s="737" t="str">
        <f>MIN($Q$11/('Orbit Info'!G$10),$Q$8*60)</f>
        <v>#VALUE!</v>
      </c>
      <c r="I1784" s="737" t="str">
        <f>IF(D1784=1,$Q$12/'Data DownlinkStorage Budget'!$M$3,0)</f>
        <v>#VALUE!</v>
      </c>
      <c r="J1784" s="737" t="str">
        <f t="shared" si="388"/>
        <v>#VALUE!</v>
      </c>
      <c r="K1784" s="11"/>
      <c r="L1784" s="737" t="str">
        <f t="shared" si="385"/>
        <v>FOUND product plus housekeeping</v>
      </c>
      <c r="M1784" s="737" t="str">
        <f>MIN($Q$18,$Q$10*60)-IF(D1784=1,$Q$17/'Data DownlinkStorage Budget'!$M$3,0)</f>
        <v>#VALUE!</v>
      </c>
      <c r="N1784" s="182"/>
      <c r="O1784" s="737" t="str">
        <f t="shared" si="389"/>
        <v>#VALUE!</v>
      </c>
      <c r="P1784" s="11"/>
      <c r="Q1784" s="11"/>
      <c r="R1784" s="11"/>
      <c r="S1784" s="11"/>
      <c r="T1784" s="11"/>
      <c r="U1784" s="11"/>
      <c r="V1784" s="11"/>
      <c r="W1784" s="11"/>
      <c r="X1784" s="11"/>
      <c r="Y1784" s="11"/>
      <c r="Z1784" s="11"/>
      <c r="AA1784" s="11"/>
    </row>
    <row r="1785" ht="15.75" customHeight="1">
      <c r="A1785" s="737">
        <f t="shared" si="387"/>
        <v>0</v>
      </c>
      <c r="B1785" s="737">
        <f>A1785/'Orbit Info'!$G$10</f>
        <v>0</v>
      </c>
      <c r="C1785" s="737" t="str">
        <f t="shared" si="380"/>
        <v>Housekeeping and events only</v>
      </c>
      <c r="D1785" s="737">
        <f t="shared" si="381"/>
        <v>1</v>
      </c>
      <c r="E1785" s="737" t="str">
        <f t="shared" si="382"/>
        <v>#VALUE!</v>
      </c>
      <c r="F1785" s="737">
        <v>1.0</v>
      </c>
      <c r="G1785" s="737" t="str">
        <f t="shared" si="383"/>
        <v>#VALUE!</v>
      </c>
      <c r="H1785" s="737" t="str">
        <f>MIN($Q$11/('Orbit Info'!G$10),$Q$8*60)</f>
        <v>#VALUE!</v>
      </c>
      <c r="I1785" s="737" t="str">
        <f>IF(D1785=1,$Q$12/'Data DownlinkStorage Budget'!$M$3,0)</f>
        <v>#VALUE!</v>
      </c>
      <c r="J1785" s="737" t="str">
        <f t="shared" si="388"/>
        <v>#VALUE!</v>
      </c>
      <c r="K1785" s="11"/>
      <c r="L1785" s="737" t="str">
        <f t="shared" si="385"/>
        <v>FOUND product plus housekeeping</v>
      </c>
      <c r="M1785" s="737" t="str">
        <f>MIN($Q$18,$Q$10*60)-IF(D1785=1,$Q$17/'Data DownlinkStorage Budget'!$M$3,0)</f>
        <v>#VALUE!</v>
      </c>
      <c r="N1785" s="182"/>
      <c r="O1785" s="737" t="str">
        <f t="shared" si="389"/>
        <v>#VALUE!</v>
      </c>
      <c r="P1785" s="11"/>
      <c r="Q1785" s="11"/>
      <c r="R1785" s="11"/>
      <c r="S1785" s="11"/>
      <c r="T1785" s="11"/>
      <c r="U1785" s="11"/>
      <c r="V1785" s="11"/>
      <c r="W1785" s="11"/>
      <c r="X1785" s="11"/>
      <c r="Y1785" s="11"/>
      <c r="Z1785" s="11"/>
      <c r="AA1785" s="11"/>
    </row>
    <row r="1786" ht="15.75" customHeight="1">
      <c r="A1786" s="737">
        <f t="shared" si="387"/>
        <v>0</v>
      </c>
      <c r="B1786" s="737">
        <f>A1786/'Orbit Info'!$G$10</f>
        <v>0</v>
      </c>
      <c r="C1786" s="737" t="str">
        <f t="shared" si="380"/>
        <v>Housekeeping and events only</v>
      </c>
      <c r="D1786" s="737">
        <f t="shared" si="381"/>
        <v>1</v>
      </c>
      <c r="E1786" s="737" t="str">
        <f t="shared" si="382"/>
        <v>#VALUE!</v>
      </c>
      <c r="F1786" s="737">
        <v>1.0</v>
      </c>
      <c r="G1786" s="737" t="str">
        <f t="shared" si="383"/>
        <v>#VALUE!</v>
      </c>
      <c r="H1786" s="737" t="str">
        <f>MIN($Q$11/('Orbit Info'!G$10),$Q$8*60)</f>
        <v>#VALUE!</v>
      </c>
      <c r="I1786" s="737" t="str">
        <f>IF(D1786=1,$Q$12/'Data DownlinkStorage Budget'!$M$3,0)</f>
        <v>#VALUE!</v>
      </c>
      <c r="J1786" s="737" t="str">
        <f t="shared" si="388"/>
        <v>#VALUE!</v>
      </c>
      <c r="K1786" s="11"/>
      <c r="L1786" s="737" t="str">
        <f t="shared" si="385"/>
        <v>FOUND product plus housekeeping</v>
      </c>
      <c r="M1786" s="737" t="str">
        <f>MIN($Q$18,$Q$10*60)-IF(D1786=1,$Q$17/'Data DownlinkStorage Budget'!$M$3,0)</f>
        <v>#VALUE!</v>
      </c>
      <c r="N1786" s="182"/>
      <c r="O1786" s="737" t="str">
        <f t="shared" si="389"/>
        <v>#VALUE!</v>
      </c>
      <c r="P1786" s="11"/>
      <c r="Q1786" s="11"/>
      <c r="R1786" s="11"/>
      <c r="S1786" s="11"/>
      <c r="T1786" s="11"/>
      <c r="U1786" s="11"/>
      <c r="V1786" s="11"/>
      <c r="W1786" s="11"/>
      <c r="X1786" s="11"/>
      <c r="Y1786" s="11"/>
      <c r="Z1786" s="11"/>
      <c r="AA1786" s="11"/>
    </row>
    <row r="1787" ht="15.75" customHeight="1">
      <c r="A1787" s="737">
        <f t="shared" si="387"/>
        <v>0</v>
      </c>
      <c r="B1787" s="737">
        <f>A1787/'Orbit Info'!$G$10</f>
        <v>0</v>
      </c>
      <c r="C1787" s="737" t="str">
        <f t="shared" si="380"/>
        <v>Housekeeping and events only</v>
      </c>
      <c r="D1787" s="737">
        <f t="shared" si="381"/>
        <v>1</v>
      </c>
      <c r="E1787" s="737" t="str">
        <f t="shared" si="382"/>
        <v>#VALUE!</v>
      </c>
      <c r="F1787" s="737">
        <v>1.0</v>
      </c>
      <c r="G1787" s="737" t="str">
        <f t="shared" si="383"/>
        <v>#VALUE!</v>
      </c>
      <c r="H1787" s="737" t="str">
        <f>MIN($Q$11/('Orbit Info'!G$10),$Q$8*60)</f>
        <v>#VALUE!</v>
      </c>
      <c r="I1787" s="737" t="str">
        <f>IF(D1787=1,$Q$12/'Data DownlinkStorage Budget'!$M$3,0)</f>
        <v>#VALUE!</v>
      </c>
      <c r="J1787" s="737" t="str">
        <f t="shared" si="388"/>
        <v>#VALUE!</v>
      </c>
      <c r="K1787" s="11"/>
      <c r="L1787" s="737" t="str">
        <f t="shared" si="385"/>
        <v>FOUND product plus housekeeping</v>
      </c>
      <c r="M1787" s="737" t="str">
        <f>MIN($Q$18,$Q$10*60)-IF(D1787=1,$Q$17/'Data DownlinkStorage Budget'!$M$3,0)</f>
        <v>#VALUE!</v>
      </c>
      <c r="N1787" s="182"/>
      <c r="O1787" s="737" t="str">
        <f t="shared" si="389"/>
        <v>#VALUE!</v>
      </c>
      <c r="P1787" s="11"/>
      <c r="Q1787" s="11"/>
      <c r="R1787" s="11"/>
      <c r="S1787" s="11"/>
      <c r="T1787" s="11"/>
      <c r="U1787" s="11"/>
      <c r="V1787" s="11"/>
      <c r="W1787" s="11"/>
      <c r="X1787" s="11"/>
      <c r="Y1787" s="11"/>
      <c r="Z1787" s="11"/>
      <c r="AA1787" s="11"/>
    </row>
    <row r="1788" ht="15.75" customHeight="1">
      <c r="A1788" s="737">
        <f t="shared" si="387"/>
        <v>0</v>
      </c>
      <c r="B1788" s="737">
        <f>A1788/'Orbit Info'!$G$10</f>
        <v>0</v>
      </c>
      <c r="C1788" s="737" t="str">
        <f t="shared" si="380"/>
        <v>Housekeeping and events only</v>
      </c>
      <c r="D1788" s="737">
        <f t="shared" si="381"/>
        <v>1</v>
      </c>
      <c r="E1788" s="737" t="str">
        <f t="shared" si="382"/>
        <v>#VALUE!</v>
      </c>
      <c r="F1788" s="737">
        <v>1.0</v>
      </c>
      <c r="G1788" s="737" t="str">
        <f t="shared" si="383"/>
        <v>#VALUE!</v>
      </c>
      <c r="H1788" s="737" t="str">
        <f>MIN($Q$11/('Orbit Info'!G$10),$Q$8*60)</f>
        <v>#VALUE!</v>
      </c>
      <c r="I1788" s="737" t="str">
        <f>IF(D1788=1,$Q$12/'Data DownlinkStorage Budget'!$M$3,0)</f>
        <v>#VALUE!</v>
      </c>
      <c r="J1788" s="737" t="str">
        <f t="shared" si="388"/>
        <v>#VALUE!</v>
      </c>
      <c r="K1788" s="11"/>
      <c r="L1788" s="737" t="str">
        <f t="shared" si="385"/>
        <v>FOUND product plus housekeeping</v>
      </c>
      <c r="M1788" s="737" t="str">
        <f>MIN($Q$18,$Q$10*60)-IF(D1788=1,$Q$17/'Data DownlinkStorage Budget'!$M$3,0)</f>
        <v>#VALUE!</v>
      </c>
      <c r="N1788" s="182"/>
      <c r="O1788" s="737" t="str">
        <f t="shared" si="389"/>
        <v>#VALUE!</v>
      </c>
      <c r="P1788" s="11"/>
      <c r="Q1788" s="11"/>
      <c r="R1788" s="11"/>
      <c r="S1788" s="11"/>
      <c r="T1788" s="11"/>
      <c r="U1788" s="11"/>
      <c r="V1788" s="11"/>
      <c r="W1788" s="11"/>
      <c r="X1788" s="11"/>
      <c r="Y1788" s="11"/>
      <c r="Z1788" s="11"/>
      <c r="AA1788" s="11"/>
    </row>
    <row r="1789" ht="15.75" customHeight="1">
      <c r="A1789" s="737">
        <f t="shared" si="387"/>
        <v>0</v>
      </c>
      <c r="B1789" s="737">
        <f>A1789/'Orbit Info'!$G$10</f>
        <v>0</v>
      </c>
      <c r="C1789" s="737" t="str">
        <f t="shared" si="380"/>
        <v>Housekeeping and events only</v>
      </c>
      <c r="D1789" s="737">
        <f t="shared" si="381"/>
        <v>1</v>
      </c>
      <c r="E1789" s="737" t="str">
        <f t="shared" si="382"/>
        <v>#VALUE!</v>
      </c>
      <c r="F1789" s="737">
        <v>1.0</v>
      </c>
      <c r="G1789" s="737" t="str">
        <f t="shared" si="383"/>
        <v>#VALUE!</v>
      </c>
      <c r="H1789" s="737" t="str">
        <f>MIN($Q$11/('Orbit Info'!G$10),$Q$8*60)</f>
        <v>#VALUE!</v>
      </c>
      <c r="I1789" s="737" t="str">
        <f>IF(D1789=1,$Q$12/'Data DownlinkStorage Budget'!$M$3,0)</f>
        <v>#VALUE!</v>
      </c>
      <c r="J1789" s="737" t="str">
        <f t="shared" si="388"/>
        <v>#VALUE!</v>
      </c>
      <c r="K1789" s="11"/>
      <c r="L1789" s="737" t="str">
        <f t="shared" si="385"/>
        <v>FOUND product plus housekeeping</v>
      </c>
      <c r="M1789" s="737" t="str">
        <f>MIN($Q$18,$Q$10*60)-IF(D1789=1,$Q$17/'Data DownlinkStorage Budget'!$M$3,0)</f>
        <v>#VALUE!</v>
      </c>
      <c r="N1789" s="182"/>
      <c r="O1789" s="737" t="str">
        <f t="shared" si="389"/>
        <v>#VALUE!</v>
      </c>
      <c r="P1789" s="11"/>
      <c r="Q1789" s="11"/>
      <c r="R1789" s="11"/>
      <c r="S1789" s="11"/>
      <c r="T1789" s="11"/>
      <c r="U1789" s="11"/>
      <c r="V1789" s="11"/>
      <c r="W1789" s="11"/>
      <c r="X1789" s="11"/>
      <c r="Y1789" s="11"/>
      <c r="Z1789" s="11"/>
      <c r="AA1789" s="11"/>
    </row>
    <row r="1790" ht="15.75" customHeight="1">
      <c r="A1790" s="737">
        <f t="shared" si="387"/>
        <v>0</v>
      </c>
      <c r="B1790" s="737">
        <f>A1790/'Orbit Info'!$G$10</f>
        <v>0</v>
      </c>
      <c r="C1790" s="737" t="str">
        <f t="shared" si="380"/>
        <v>Housekeeping and events only</v>
      </c>
      <c r="D1790" s="737">
        <f t="shared" si="381"/>
        <v>1</v>
      </c>
      <c r="E1790" s="737" t="str">
        <f t="shared" si="382"/>
        <v>#VALUE!</v>
      </c>
      <c r="F1790" s="737">
        <v>1.0</v>
      </c>
      <c r="G1790" s="737" t="str">
        <f t="shared" si="383"/>
        <v>#VALUE!</v>
      </c>
      <c r="H1790" s="737" t="str">
        <f>MIN($Q$11/('Orbit Info'!G$10),$Q$8*60)</f>
        <v>#VALUE!</v>
      </c>
      <c r="I1790" s="737" t="str">
        <f>IF(D1790=1,$Q$12/'Data DownlinkStorage Budget'!$M$3,0)</f>
        <v>#VALUE!</v>
      </c>
      <c r="J1790" s="737" t="str">
        <f t="shared" si="388"/>
        <v>#VALUE!</v>
      </c>
      <c r="K1790" s="11"/>
      <c r="L1790" s="737" t="str">
        <f t="shared" si="385"/>
        <v>FOUND product plus housekeeping</v>
      </c>
      <c r="M1790" s="737" t="str">
        <f>MIN($Q$18,$Q$10*60)-IF(D1790=1,$Q$17/'Data DownlinkStorage Budget'!$M$3,0)</f>
        <v>#VALUE!</v>
      </c>
      <c r="N1790" s="182"/>
      <c r="O1790" s="737" t="str">
        <f t="shared" si="389"/>
        <v>#VALUE!</v>
      </c>
      <c r="P1790" s="11"/>
      <c r="Q1790" s="11"/>
      <c r="R1790" s="11"/>
      <c r="S1790" s="11"/>
      <c r="T1790" s="11"/>
      <c r="U1790" s="11"/>
      <c r="V1790" s="11"/>
      <c r="W1790" s="11"/>
      <c r="X1790" s="11"/>
      <c r="Y1790" s="11"/>
      <c r="Z1790" s="11"/>
      <c r="AA1790" s="11"/>
    </row>
    <row r="1791" ht="15.75" customHeight="1">
      <c r="A1791" s="737">
        <f t="shared" si="387"/>
        <v>0</v>
      </c>
      <c r="B1791" s="737">
        <f>A1791/'Orbit Info'!$G$10</f>
        <v>0</v>
      </c>
      <c r="C1791" s="737" t="str">
        <f t="shared" si="380"/>
        <v>Housekeeping and events only</v>
      </c>
      <c r="D1791" s="737">
        <f t="shared" si="381"/>
        <v>1</v>
      </c>
      <c r="E1791" s="737" t="str">
        <f t="shared" si="382"/>
        <v>#VALUE!</v>
      </c>
      <c r="F1791" s="737">
        <v>1.0</v>
      </c>
      <c r="G1791" s="737" t="str">
        <f t="shared" si="383"/>
        <v>#VALUE!</v>
      </c>
      <c r="H1791" s="737" t="str">
        <f>MIN($Q$11/('Orbit Info'!G$10),$Q$8*60)</f>
        <v>#VALUE!</v>
      </c>
      <c r="I1791" s="737" t="str">
        <f>IF(D1791=1,$Q$12/'Data DownlinkStorage Budget'!$M$3,0)</f>
        <v>#VALUE!</v>
      </c>
      <c r="J1791" s="737" t="str">
        <f t="shared" si="388"/>
        <v>#VALUE!</v>
      </c>
      <c r="K1791" s="11"/>
      <c r="L1791" s="737" t="str">
        <f t="shared" si="385"/>
        <v>FOUND product plus housekeeping</v>
      </c>
      <c r="M1791" s="737" t="str">
        <f>MIN($Q$18,$Q$10*60)-IF(D1791=1,$Q$17/'Data DownlinkStorage Budget'!$M$3,0)</f>
        <v>#VALUE!</v>
      </c>
      <c r="N1791" s="182"/>
      <c r="O1791" s="737" t="str">
        <f t="shared" si="389"/>
        <v>#VALUE!</v>
      </c>
      <c r="P1791" s="11"/>
      <c r="Q1791" s="11"/>
      <c r="R1791" s="11"/>
      <c r="S1791" s="11"/>
      <c r="T1791" s="11"/>
      <c r="U1791" s="11"/>
      <c r="V1791" s="11"/>
      <c r="W1791" s="11"/>
      <c r="X1791" s="11"/>
      <c r="Y1791" s="11"/>
      <c r="Z1791" s="11"/>
      <c r="AA1791" s="11"/>
    </row>
    <row r="1792" ht="15.75" customHeight="1">
      <c r="A1792" s="737">
        <f t="shared" si="387"/>
        <v>0</v>
      </c>
      <c r="B1792" s="737">
        <f>A1792/'Orbit Info'!$G$10</f>
        <v>0</v>
      </c>
      <c r="C1792" s="737" t="str">
        <f t="shared" si="380"/>
        <v>Housekeeping and events only</v>
      </c>
      <c r="D1792" s="737">
        <f t="shared" si="381"/>
        <v>1</v>
      </c>
      <c r="E1792" s="737" t="str">
        <f t="shared" si="382"/>
        <v>#VALUE!</v>
      </c>
      <c r="F1792" s="737">
        <v>1.0</v>
      </c>
      <c r="G1792" s="737" t="str">
        <f t="shared" si="383"/>
        <v>#VALUE!</v>
      </c>
      <c r="H1792" s="737" t="str">
        <f>MIN($Q$11/('Orbit Info'!G$10),$Q$8*60)</f>
        <v>#VALUE!</v>
      </c>
      <c r="I1792" s="737" t="str">
        <f>IF(D1792=1,$Q$12/'Data DownlinkStorage Budget'!$M$3,0)</f>
        <v>#VALUE!</v>
      </c>
      <c r="J1792" s="737" t="str">
        <f t="shared" si="388"/>
        <v>#VALUE!</v>
      </c>
      <c r="K1792" s="11"/>
      <c r="L1792" s="737" t="str">
        <f t="shared" si="385"/>
        <v>FOUND product plus housekeeping</v>
      </c>
      <c r="M1792" s="737" t="str">
        <f>MIN($Q$18,$Q$10*60)-IF(D1792=1,$Q$17/'Data DownlinkStorage Budget'!$M$3,0)</f>
        <v>#VALUE!</v>
      </c>
      <c r="N1792" s="182"/>
      <c r="O1792" s="737" t="str">
        <f t="shared" si="389"/>
        <v>#VALUE!</v>
      </c>
      <c r="P1792" s="11"/>
      <c r="Q1792" s="11"/>
      <c r="R1792" s="11"/>
      <c r="S1792" s="11"/>
      <c r="T1792" s="11"/>
      <c r="U1792" s="11"/>
      <c r="V1792" s="11"/>
      <c r="W1792" s="11"/>
      <c r="X1792" s="11"/>
      <c r="Y1792" s="11"/>
      <c r="Z1792" s="11"/>
      <c r="AA1792" s="11"/>
    </row>
    <row r="1793" ht="15.75" customHeight="1">
      <c r="A1793" s="737">
        <f t="shared" si="387"/>
        <v>0</v>
      </c>
      <c r="B1793" s="737">
        <f>A1793/'Orbit Info'!$G$10</f>
        <v>0</v>
      </c>
      <c r="C1793" s="737" t="str">
        <f t="shared" si="380"/>
        <v>Housekeeping and events only</v>
      </c>
      <c r="D1793" s="737">
        <f t="shared" si="381"/>
        <v>1</v>
      </c>
      <c r="E1793" s="737" t="str">
        <f t="shared" si="382"/>
        <v>#VALUE!</v>
      </c>
      <c r="F1793" s="737">
        <v>1.0</v>
      </c>
      <c r="G1793" s="737" t="str">
        <f t="shared" si="383"/>
        <v>#VALUE!</v>
      </c>
      <c r="H1793" s="737" t="str">
        <f>MIN($Q$11/('Orbit Info'!G$10),$Q$8*60)</f>
        <v>#VALUE!</v>
      </c>
      <c r="I1793" s="737" t="str">
        <f>IF(D1793=1,$Q$12/'Data DownlinkStorage Budget'!$M$3,0)</f>
        <v>#VALUE!</v>
      </c>
      <c r="J1793" s="737" t="str">
        <f t="shared" si="388"/>
        <v>#VALUE!</v>
      </c>
      <c r="K1793" s="11"/>
      <c r="L1793" s="737" t="str">
        <f t="shared" si="385"/>
        <v>FOUND product plus housekeeping</v>
      </c>
      <c r="M1793" s="737" t="str">
        <f>MIN($Q$18,$Q$10*60)-IF(D1793=1,$Q$17/'Data DownlinkStorage Budget'!$M$3,0)</f>
        <v>#VALUE!</v>
      </c>
      <c r="N1793" s="182"/>
      <c r="O1793" s="737" t="str">
        <f t="shared" si="389"/>
        <v>#VALUE!</v>
      </c>
      <c r="P1793" s="11"/>
      <c r="Q1793" s="11"/>
      <c r="R1793" s="11"/>
      <c r="S1793" s="11"/>
      <c r="T1793" s="11"/>
      <c r="U1793" s="11"/>
      <c r="V1793" s="11"/>
      <c r="W1793" s="11"/>
      <c r="X1793" s="11"/>
      <c r="Y1793" s="11"/>
      <c r="Z1793" s="11"/>
      <c r="AA1793" s="11"/>
    </row>
    <row r="1794" ht="15.75" customHeight="1">
      <c r="A1794" s="737">
        <f t="shared" si="387"/>
        <v>0</v>
      </c>
      <c r="B1794" s="737">
        <f>A1794/'Orbit Info'!$G$10</f>
        <v>0</v>
      </c>
      <c r="C1794" s="737" t="str">
        <f t="shared" si="380"/>
        <v>Housekeeping and events only</v>
      </c>
      <c r="D1794" s="737">
        <f t="shared" si="381"/>
        <v>1</v>
      </c>
      <c r="E1794" s="737" t="str">
        <f t="shared" si="382"/>
        <v>#VALUE!</v>
      </c>
      <c r="F1794" s="737">
        <v>1.0</v>
      </c>
      <c r="G1794" s="737" t="str">
        <f t="shared" si="383"/>
        <v>#VALUE!</v>
      </c>
      <c r="H1794" s="737" t="str">
        <f>MIN($Q$11/('Orbit Info'!G$10),$Q$8*60)</f>
        <v>#VALUE!</v>
      </c>
      <c r="I1794" s="737" t="str">
        <f>IF(D1794=1,$Q$12/'Data DownlinkStorage Budget'!$M$3,0)</f>
        <v>#VALUE!</v>
      </c>
      <c r="J1794" s="737" t="str">
        <f t="shared" si="388"/>
        <v>#VALUE!</v>
      </c>
      <c r="K1794" s="11"/>
      <c r="L1794" s="737" t="str">
        <f t="shared" si="385"/>
        <v>FOUND product plus housekeeping</v>
      </c>
      <c r="M1794" s="737" t="str">
        <f>MIN($Q$18,$Q$10*60)-IF(D1794=1,$Q$17/'Data DownlinkStorage Budget'!$M$3,0)</f>
        <v>#VALUE!</v>
      </c>
      <c r="N1794" s="182"/>
      <c r="O1794" s="737" t="str">
        <f t="shared" si="389"/>
        <v>#VALUE!</v>
      </c>
      <c r="P1794" s="11"/>
      <c r="Q1794" s="11"/>
      <c r="R1794" s="11"/>
      <c r="S1794" s="11"/>
      <c r="T1794" s="11"/>
      <c r="U1794" s="11"/>
      <c r="V1794" s="11"/>
      <c r="W1794" s="11"/>
      <c r="X1794" s="11"/>
      <c r="Y1794" s="11"/>
      <c r="Z1794" s="11"/>
      <c r="AA1794" s="11"/>
    </row>
    <row r="1795" ht="15.75" customHeight="1">
      <c r="A1795" s="737">
        <f t="shared" si="387"/>
        <v>0</v>
      </c>
      <c r="B1795" s="737">
        <f>A1795/'Orbit Info'!$G$10</f>
        <v>0</v>
      </c>
      <c r="C1795" s="737" t="str">
        <f t="shared" si="380"/>
        <v>Housekeeping and events only</v>
      </c>
      <c r="D1795" s="737">
        <f t="shared" si="381"/>
        <v>1</v>
      </c>
      <c r="E1795" s="737" t="str">
        <f t="shared" si="382"/>
        <v>#VALUE!</v>
      </c>
      <c r="F1795" s="737">
        <v>1.0</v>
      </c>
      <c r="G1795" s="737" t="str">
        <f t="shared" si="383"/>
        <v>#VALUE!</v>
      </c>
      <c r="H1795" s="737" t="str">
        <f>MIN($Q$11/('Orbit Info'!G$10),$Q$8*60)</f>
        <v>#VALUE!</v>
      </c>
      <c r="I1795" s="737" t="str">
        <f>IF(D1795=1,$Q$12/'Data DownlinkStorage Budget'!$M$3,0)</f>
        <v>#VALUE!</v>
      </c>
      <c r="J1795" s="737" t="str">
        <f t="shared" si="388"/>
        <v>#VALUE!</v>
      </c>
      <c r="K1795" s="11"/>
      <c r="L1795" s="737" t="str">
        <f t="shared" si="385"/>
        <v>FOUND product plus housekeeping</v>
      </c>
      <c r="M1795" s="737" t="str">
        <f>MIN($Q$18,$Q$10*60)-IF(D1795=1,$Q$17/'Data DownlinkStorage Budget'!$M$3,0)</f>
        <v>#VALUE!</v>
      </c>
      <c r="N1795" s="182"/>
      <c r="O1795" s="737" t="str">
        <f t="shared" si="389"/>
        <v>#VALUE!</v>
      </c>
      <c r="P1795" s="11"/>
      <c r="Q1795" s="11"/>
      <c r="R1795" s="11"/>
      <c r="S1795" s="11"/>
      <c r="T1795" s="11"/>
      <c r="U1795" s="11"/>
      <c r="V1795" s="11"/>
      <c r="W1795" s="11"/>
      <c r="X1795" s="11"/>
      <c r="Y1795" s="11"/>
      <c r="Z1795" s="11"/>
      <c r="AA1795" s="11"/>
    </row>
    <row r="1796" ht="15.75" customHeight="1">
      <c r="A1796" s="737">
        <f t="shared" si="387"/>
        <v>0</v>
      </c>
      <c r="B1796" s="737">
        <f>A1796/'Orbit Info'!$G$10</f>
        <v>0</v>
      </c>
      <c r="C1796" s="737" t="str">
        <f t="shared" si="380"/>
        <v>Housekeeping and events only</v>
      </c>
      <c r="D1796" s="737">
        <f t="shared" si="381"/>
        <v>1</v>
      </c>
      <c r="E1796" s="737" t="str">
        <f t="shared" si="382"/>
        <v>#VALUE!</v>
      </c>
      <c r="F1796" s="737">
        <v>1.0</v>
      </c>
      <c r="G1796" s="737" t="str">
        <f t="shared" si="383"/>
        <v>#VALUE!</v>
      </c>
      <c r="H1796" s="737" t="str">
        <f>MIN($Q$11/('Orbit Info'!G$10),$Q$8*60)</f>
        <v>#VALUE!</v>
      </c>
      <c r="I1796" s="737" t="str">
        <f>IF(D1796=1,$Q$12/'Data DownlinkStorage Budget'!$M$3,0)</f>
        <v>#VALUE!</v>
      </c>
      <c r="J1796" s="737" t="str">
        <f t="shared" si="388"/>
        <v>#VALUE!</v>
      </c>
      <c r="K1796" s="11"/>
      <c r="L1796" s="737" t="str">
        <f t="shared" si="385"/>
        <v>FOUND product plus housekeeping</v>
      </c>
      <c r="M1796" s="737" t="str">
        <f>MIN($Q$18,$Q$10*60)-IF(D1796=1,$Q$17/'Data DownlinkStorage Budget'!$M$3,0)</f>
        <v>#VALUE!</v>
      </c>
      <c r="N1796" s="182"/>
      <c r="O1796" s="737" t="str">
        <f t="shared" si="389"/>
        <v>#VALUE!</v>
      </c>
      <c r="P1796" s="11"/>
      <c r="Q1796" s="11"/>
      <c r="R1796" s="11"/>
      <c r="S1796" s="11"/>
      <c r="T1796" s="11"/>
      <c r="U1796" s="11"/>
      <c r="V1796" s="11"/>
      <c r="W1796" s="11"/>
      <c r="X1796" s="11"/>
      <c r="Y1796" s="11"/>
      <c r="Z1796" s="11"/>
      <c r="AA1796" s="11"/>
    </row>
    <row r="1797" ht="15.75" customHeight="1">
      <c r="A1797" s="737">
        <f t="shared" si="387"/>
        <v>0</v>
      </c>
      <c r="B1797" s="737">
        <f>A1797/'Orbit Info'!$G$10</f>
        <v>0</v>
      </c>
      <c r="C1797" s="737" t="str">
        <f t="shared" si="380"/>
        <v>Housekeeping and events only</v>
      </c>
      <c r="D1797" s="737">
        <f t="shared" si="381"/>
        <v>1</v>
      </c>
      <c r="E1797" s="737" t="str">
        <f t="shared" si="382"/>
        <v>#VALUE!</v>
      </c>
      <c r="F1797" s="737">
        <v>1.0</v>
      </c>
      <c r="G1797" s="737" t="str">
        <f t="shared" si="383"/>
        <v>#VALUE!</v>
      </c>
      <c r="H1797" s="737" t="str">
        <f>MIN($Q$11/('Orbit Info'!G$10),$Q$8*60)</f>
        <v>#VALUE!</v>
      </c>
      <c r="I1797" s="737" t="str">
        <f>IF(D1797=1,$Q$12/'Data DownlinkStorage Budget'!$M$3,0)</f>
        <v>#VALUE!</v>
      </c>
      <c r="J1797" s="737" t="str">
        <f t="shared" si="388"/>
        <v>#VALUE!</v>
      </c>
      <c r="K1797" s="11"/>
      <c r="L1797" s="737" t="str">
        <f t="shared" si="385"/>
        <v>FOUND product plus housekeeping</v>
      </c>
      <c r="M1797" s="737" t="str">
        <f>MIN($Q$18,$Q$10*60)-IF(D1797=1,$Q$17/'Data DownlinkStorage Budget'!$M$3,0)</f>
        <v>#VALUE!</v>
      </c>
      <c r="N1797" s="182"/>
      <c r="O1797" s="737" t="str">
        <f t="shared" si="389"/>
        <v>#VALUE!</v>
      </c>
      <c r="P1797" s="11"/>
      <c r="Q1797" s="11"/>
      <c r="R1797" s="11"/>
      <c r="S1797" s="11"/>
      <c r="T1797" s="11"/>
      <c r="U1797" s="11"/>
      <c r="V1797" s="11"/>
      <c r="W1797" s="11"/>
      <c r="X1797" s="11"/>
      <c r="Y1797" s="11"/>
      <c r="Z1797" s="11"/>
      <c r="AA1797" s="11"/>
    </row>
    <row r="1798" ht="15.75" customHeight="1">
      <c r="A1798" s="737">
        <f t="shared" si="387"/>
        <v>0</v>
      </c>
      <c r="B1798" s="737">
        <f>A1798/'Orbit Info'!$G$10</f>
        <v>0</v>
      </c>
      <c r="C1798" s="737" t="str">
        <f t="shared" si="380"/>
        <v>Housekeeping and events only</v>
      </c>
      <c r="D1798" s="737">
        <f t="shared" si="381"/>
        <v>1</v>
      </c>
      <c r="E1798" s="737" t="str">
        <f t="shared" si="382"/>
        <v>#VALUE!</v>
      </c>
      <c r="F1798" s="737">
        <v>1.0</v>
      </c>
      <c r="G1798" s="737" t="str">
        <f t="shared" si="383"/>
        <v>#VALUE!</v>
      </c>
      <c r="H1798" s="737" t="str">
        <f>MIN($Q$11/('Orbit Info'!G$10),$Q$8*60)</f>
        <v>#VALUE!</v>
      </c>
      <c r="I1798" s="737" t="str">
        <f>IF(D1798=1,$Q$12/'Data DownlinkStorage Budget'!$M$3,0)</f>
        <v>#VALUE!</v>
      </c>
      <c r="J1798" s="737" t="str">
        <f t="shared" si="388"/>
        <v>#VALUE!</v>
      </c>
      <c r="K1798" s="11"/>
      <c r="L1798" s="737" t="str">
        <f t="shared" si="385"/>
        <v>FOUND product plus housekeeping</v>
      </c>
      <c r="M1798" s="737" t="str">
        <f>MIN($Q$18,$Q$10*60)-IF(D1798=1,$Q$17/'Data DownlinkStorage Budget'!$M$3,0)</f>
        <v>#VALUE!</v>
      </c>
      <c r="N1798" s="182"/>
      <c r="O1798" s="737" t="str">
        <f t="shared" si="389"/>
        <v>#VALUE!</v>
      </c>
      <c r="P1798" s="11"/>
      <c r="Q1798" s="11"/>
      <c r="R1798" s="11"/>
      <c r="S1798" s="11"/>
      <c r="T1798" s="11"/>
      <c r="U1798" s="11"/>
      <c r="V1798" s="11"/>
      <c r="W1798" s="11"/>
      <c r="X1798" s="11"/>
      <c r="Y1798" s="11"/>
      <c r="Z1798" s="11"/>
      <c r="AA1798" s="11"/>
    </row>
    <row r="1799" ht="15.75" customHeight="1">
      <c r="A1799" s="737">
        <f t="shared" si="387"/>
        <v>0</v>
      </c>
      <c r="B1799" s="737">
        <f>A1799/'Orbit Info'!$G$10</f>
        <v>0</v>
      </c>
      <c r="C1799" s="737" t="str">
        <f t="shared" si="380"/>
        <v>Housekeeping and events only</v>
      </c>
      <c r="D1799" s="737">
        <f t="shared" si="381"/>
        <v>1</v>
      </c>
      <c r="E1799" s="737" t="str">
        <f t="shared" si="382"/>
        <v>#VALUE!</v>
      </c>
      <c r="F1799" s="737">
        <v>1.0</v>
      </c>
      <c r="G1799" s="737" t="str">
        <f t="shared" si="383"/>
        <v>#VALUE!</v>
      </c>
      <c r="H1799" s="737" t="str">
        <f>MIN($Q$11/('Orbit Info'!G$10),$Q$8*60)</f>
        <v>#VALUE!</v>
      </c>
      <c r="I1799" s="737" t="str">
        <f>IF(D1799=1,$Q$12/'Data DownlinkStorage Budget'!$M$3,0)</f>
        <v>#VALUE!</v>
      </c>
      <c r="J1799" s="737" t="str">
        <f t="shared" si="388"/>
        <v>#VALUE!</v>
      </c>
      <c r="K1799" s="11"/>
      <c r="L1799" s="737" t="str">
        <f t="shared" si="385"/>
        <v>FOUND product plus housekeeping</v>
      </c>
      <c r="M1799" s="737" t="str">
        <f>MIN($Q$18,$Q$10*60)-IF(D1799=1,$Q$17/'Data DownlinkStorage Budget'!$M$3,0)</f>
        <v>#VALUE!</v>
      </c>
      <c r="N1799" s="182"/>
      <c r="O1799" s="737" t="str">
        <f t="shared" si="389"/>
        <v>#VALUE!</v>
      </c>
      <c r="P1799" s="11"/>
      <c r="Q1799" s="11"/>
      <c r="R1799" s="11"/>
      <c r="S1799" s="11"/>
      <c r="T1799" s="11"/>
      <c r="U1799" s="11"/>
      <c r="V1799" s="11"/>
      <c r="W1799" s="11"/>
      <c r="X1799" s="11"/>
      <c r="Y1799" s="11"/>
      <c r="Z1799" s="11"/>
      <c r="AA1799" s="11"/>
    </row>
    <row r="1800" ht="15.75" customHeight="1">
      <c r="A1800" s="737">
        <f t="shared" si="387"/>
        <v>0</v>
      </c>
      <c r="B1800" s="737">
        <f>A1800/'Orbit Info'!$G$10</f>
        <v>0</v>
      </c>
      <c r="C1800" s="737" t="str">
        <f t="shared" si="380"/>
        <v>Housekeeping and events only</v>
      </c>
      <c r="D1800" s="737">
        <f t="shared" si="381"/>
        <v>1</v>
      </c>
      <c r="E1800" s="737" t="str">
        <f t="shared" si="382"/>
        <v>#VALUE!</v>
      </c>
      <c r="F1800" s="737">
        <v>1.0</v>
      </c>
      <c r="G1800" s="737" t="str">
        <f t="shared" si="383"/>
        <v>#VALUE!</v>
      </c>
      <c r="H1800" s="737" t="str">
        <f>MIN($Q$11/('Orbit Info'!G$10),$Q$8*60)</f>
        <v>#VALUE!</v>
      </c>
      <c r="I1800" s="737" t="str">
        <f>IF(D1800=1,$Q$12/'Data DownlinkStorage Budget'!$M$3,0)</f>
        <v>#VALUE!</v>
      </c>
      <c r="J1800" s="737" t="str">
        <f t="shared" si="388"/>
        <v>#VALUE!</v>
      </c>
      <c r="K1800" s="11"/>
      <c r="L1800" s="737" t="str">
        <f t="shared" si="385"/>
        <v>FOUND product plus housekeeping</v>
      </c>
      <c r="M1800" s="737" t="str">
        <f>MIN($Q$18,$Q$10*60)-IF(D1800=1,$Q$17/'Data DownlinkStorage Budget'!$M$3,0)</f>
        <v>#VALUE!</v>
      </c>
      <c r="N1800" s="182"/>
      <c r="O1800" s="737" t="str">
        <f t="shared" si="389"/>
        <v>#VALUE!</v>
      </c>
      <c r="P1800" s="11"/>
      <c r="Q1800" s="11"/>
      <c r="R1800" s="11"/>
      <c r="S1800" s="11"/>
      <c r="T1800" s="11"/>
      <c r="U1800" s="11"/>
      <c r="V1800" s="11"/>
      <c r="W1800" s="11"/>
      <c r="X1800" s="11"/>
      <c r="Y1800" s="11"/>
      <c r="Z1800" s="11"/>
      <c r="AA1800" s="11"/>
    </row>
    <row r="1801" ht="15.75" customHeight="1">
      <c r="A1801" s="737">
        <f t="shared" si="387"/>
        <v>0</v>
      </c>
      <c r="B1801" s="737">
        <f>A1801/'Orbit Info'!$G$10</f>
        <v>0</v>
      </c>
      <c r="C1801" s="737" t="str">
        <f t="shared" si="380"/>
        <v>Housekeeping and events only</v>
      </c>
      <c r="D1801" s="737">
        <f t="shared" si="381"/>
        <v>1</v>
      </c>
      <c r="E1801" s="737" t="str">
        <f t="shared" si="382"/>
        <v>#VALUE!</v>
      </c>
      <c r="F1801" s="737">
        <v>1.0</v>
      </c>
      <c r="G1801" s="737" t="str">
        <f t="shared" si="383"/>
        <v>#VALUE!</v>
      </c>
      <c r="H1801" s="737" t="str">
        <f>MIN($Q$11/('Orbit Info'!G$10),$Q$8*60)</f>
        <v>#VALUE!</v>
      </c>
      <c r="I1801" s="737" t="str">
        <f>IF(D1801=1,$Q$12/'Data DownlinkStorage Budget'!$M$3,0)</f>
        <v>#VALUE!</v>
      </c>
      <c r="J1801" s="737" t="str">
        <f t="shared" si="388"/>
        <v>#VALUE!</v>
      </c>
      <c r="K1801" s="11"/>
      <c r="L1801" s="737" t="str">
        <f t="shared" si="385"/>
        <v>FOUND product plus housekeeping</v>
      </c>
      <c r="M1801" s="737" t="str">
        <f>MIN($Q$18,$Q$10*60)-IF(D1801=1,$Q$17/'Data DownlinkStorage Budget'!$M$3,0)</f>
        <v>#VALUE!</v>
      </c>
      <c r="N1801" s="182"/>
      <c r="O1801" s="737" t="str">
        <f t="shared" si="389"/>
        <v>#VALUE!</v>
      </c>
      <c r="P1801" s="11"/>
      <c r="Q1801" s="11"/>
      <c r="R1801" s="11"/>
      <c r="S1801" s="11"/>
      <c r="T1801" s="11"/>
      <c r="U1801" s="11"/>
      <c r="V1801" s="11"/>
      <c r="W1801" s="11"/>
      <c r="X1801" s="11"/>
      <c r="Y1801" s="11"/>
      <c r="Z1801" s="11"/>
      <c r="AA1801" s="11"/>
    </row>
    <row r="1802" ht="15.75" customHeight="1">
      <c r="A1802" s="737">
        <f t="shared" si="387"/>
        <v>0</v>
      </c>
      <c r="B1802" s="737">
        <f>A1802/'Orbit Info'!$G$10</f>
        <v>0</v>
      </c>
      <c r="C1802" s="737" t="str">
        <f t="shared" si="380"/>
        <v>Housekeeping and events only</v>
      </c>
      <c r="D1802" s="737">
        <f t="shared" si="381"/>
        <v>1</v>
      </c>
      <c r="E1802" s="737" t="str">
        <f t="shared" si="382"/>
        <v>#VALUE!</v>
      </c>
      <c r="F1802" s="737">
        <v>1.0</v>
      </c>
      <c r="G1802" s="737" t="str">
        <f t="shared" si="383"/>
        <v>#VALUE!</v>
      </c>
      <c r="H1802" s="737" t="str">
        <f>MIN($Q$11/('Orbit Info'!G$10),$Q$8*60)</f>
        <v>#VALUE!</v>
      </c>
      <c r="I1802" s="737" t="str">
        <f>IF(D1802=1,$Q$12/'Data DownlinkStorage Budget'!$M$3,0)</f>
        <v>#VALUE!</v>
      </c>
      <c r="J1802" s="737" t="str">
        <f t="shared" si="388"/>
        <v>#VALUE!</v>
      </c>
      <c r="K1802" s="11"/>
      <c r="L1802" s="737" t="str">
        <f t="shared" si="385"/>
        <v>FOUND product plus housekeeping</v>
      </c>
      <c r="M1802" s="737" t="str">
        <f>MIN($Q$18,$Q$10*60)-IF(D1802=1,$Q$17/'Data DownlinkStorage Budget'!$M$3,0)</f>
        <v>#VALUE!</v>
      </c>
      <c r="N1802" s="182"/>
      <c r="O1802" s="737" t="str">
        <f t="shared" si="389"/>
        <v>#VALUE!</v>
      </c>
      <c r="P1802" s="11"/>
      <c r="Q1802" s="11"/>
      <c r="R1802" s="11"/>
      <c r="S1802" s="11"/>
      <c r="T1802" s="11"/>
      <c r="U1802" s="11"/>
      <c r="V1802" s="11"/>
      <c r="W1802" s="11"/>
      <c r="X1802" s="11"/>
      <c r="Y1802" s="11"/>
      <c r="Z1802" s="11"/>
      <c r="AA1802" s="11"/>
    </row>
    <row r="1803" ht="15.75" customHeight="1">
      <c r="A1803" s="737">
        <f t="shared" si="387"/>
        <v>0</v>
      </c>
      <c r="B1803" s="737">
        <f>A1803/'Orbit Info'!$G$10</f>
        <v>0</v>
      </c>
      <c r="C1803" s="737" t="str">
        <f t="shared" si="380"/>
        <v>Housekeeping and events only</v>
      </c>
      <c r="D1803" s="737">
        <f t="shared" si="381"/>
        <v>1</v>
      </c>
      <c r="E1803" s="737" t="str">
        <f t="shared" si="382"/>
        <v>#VALUE!</v>
      </c>
      <c r="F1803" s="737">
        <v>1.0</v>
      </c>
      <c r="G1803" s="737" t="str">
        <f t="shared" si="383"/>
        <v>#VALUE!</v>
      </c>
      <c r="H1803" s="737" t="str">
        <f>MIN($Q$11/('Orbit Info'!G$10),$Q$8*60)</f>
        <v>#VALUE!</v>
      </c>
      <c r="I1803" s="737" t="str">
        <f>IF(D1803=1,$Q$12/'Data DownlinkStorage Budget'!$M$3,0)</f>
        <v>#VALUE!</v>
      </c>
      <c r="J1803" s="737" t="str">
        <f t="shared" si="388"/>
        <v>#VALUE!</v>
      </c>
      <c r="K1803" s="11"/>
      <c r="L1803" s="737" t="str">
        <f t="shared" si="385"/>
        <v>FOUND product plus housekeeping</v>
      </c>
      <c r="M1803" s="737" t="str">
        <f>MIN($Q$18,$Q$10*60)-IF(D1803=1,$Q$17/'Data DownlinkStorage Budget'!$M$3,0)</f>
        <v>#VALUE!</v>
      </c>
      <c r="N1803" s="182"/>
      <c r="O1803" s="737" t="str">
        <f t="shared" si="389"/>
        <v>#VALUE!</v>
      </c>
      <c r="P1803" s="11"/>
      <c r="Q1803" s="11"/>
      <c r="R1803" s="11"/>
      <c r="S1803" s="11"/>
      <c r="T1803" s="11"/>
      <c r="U1803" s="11"/>
      <c r="V1803" s="11"/>
      <c r="W1803" s="11"/>
      <c r="X1803" s="11"/>
      <c r="Y1803" s="11"/>
      <c r="Z1803" s="11"/>
      <c r="AA1803" s="11"/>
    </row>
    <row r="1804" ht="15.75" customHeight="1">
      <c r="A1804" s="737">
        <f t="shared" si="387"/>
        <v>0</v>
      </c>
      <c r="B1804" s="737">
        <f>A1804/'Orbit Info'!$G$10</f>
        <v>0</v>
      </c>
      <c r="C1804" s="737" t="str">
        <f t="shared" si="380"/>
        <v>Housekeeping and events only</v>
      </c>
      <c r="D1804" s="737">
        <f t="shared" si="381"/>
        <v>1</v>
      </c>
      <c r="E1804" s="737" t="str">
        <f t="shared" si="382"/>
        <v>#VALUE!</v>
      </c>
      <c r="F1804" s="737">
        <v>1.0</v>
      </c>
      <c r="G1804" s="737" t="str">
        <f t="shared" si="383"/>
        <v>#VALUE!</v>
      </c>
      <c r="H1804" s="737" t="str">
        <f>MIN($Q$11/('Orbit Info'!G$10),$Q$8*60)</f>
        <v>#VALUE!</v>
      </c>
      <c r="I1804" s="737" t="str">
        <f>IF(D1804=1,$Q$12/'Data DownlinkStorage Budget'!$M$3,0)</f>
        <v>#VALUE!</v>
      </c>
      <c r="J1804" s="737" t="str">
        <f t="shared" si="388"/>
        <v>#VALUE!</v>
      </c>
      <c r="K1804" s="11"/>
      <c r="L1804" s="737" t="str">
        <f t="shared" si="385"/>
        <v>FOUND product plus housekeeping</v>
      </c>
      <c r="M1804" s="737" t="str">
        <f>MIN($Q$18,$Q$10*60)-IF(D1804=1,$Q$17/'Data DownlinkStorage Budget'!$M$3,0)</f>
        <v>#VALUE!</v>
      </c>
      <c r="N1804" s="182"/>
      <c r="O1804" s="737" t="str">
        <f t="shared" si="389"/>
        <v>#VALUE!</v>
      </c>
      <c r="P1804" s="11"/>
      <c r="Q1804" s="11"/>
      <c r="R1804" s="11"/>
      <c r="S1804" s="11"/>
      <c r="T1804" s="11"/>
      <c r="U1804" s="11"/>
      <c r="V1804" s="11"/>
      <c r="W1804" s="11"/>
      <c r="X1804" s="11"/>
      <c r="Y1804" s="11"/>
      <c r="Z1804" s="11"/>
      <c r="AA1804" s="11"/>
    </row>
    <row r="1805" ht="15.75" customHeight="1">
      <c r="A1805" s="737">
        <f t="shared" si="387"/>
        <v>0</v>
      </c>
      <c r="B1805" s="737">
        <f>A1805/'Orbit Info'!$G$10</f>
        <v>0</v>
      </c>
      <c r="C1805" s="737" t="str">
        <f t="shared" si="380"/>
        <v>Housekeeping and events only</v>
      </c>
      <c r="D1805" s="737">
        <f t="shared" si="381"/>
        <v>1</v>
      </c>
      <c r="E1805" s="737" t="str">
        <f t="shared" si="382"/>
        <v>#VALUE!</v>
      </c>
      <c r="F1805" s="737">
        <v>1.0</v>
      </c>
      <c r="G1805" s="737" t="str">
        <f t="shared" si="383"/>
        <v>#VALUE!</v>
      </c>
      <c r="H1805" s="737" t="str">
        <f>MIN($Q$11/('Orbit Info'!G$10),$Q$8*60)</f>
        <v>#VALUE!</v>
      </c>
      <c r="I1805" s="737" t="str">
        <f>IF(D1805=1,$Q$12/'Data DownlinkStorage Budget'!$M$3,0)</f>
        <v>#VALUE!</v>
      </c>
      <c r="J1805" s="737" t="str">
        <f t="shared" si="388"/>
        <v>#VALUE!</v>
      </c>
      <c r="K1805" s="11"/>
      <c r="L1805" s="737" t="str">
        <f t="shared" si="385"/>
        <v>FOUND product plus housekeeping</v>
      </c>
      <c r="M1805" s="737" t="str">
        <f>MIN($Q$18,$Q$10*60)-IF(D1805=1,$Q$17/'Data DownlinkStorage Budget'!$M$3,0)</f>
        <v>#VALUE!</v>
      </c>
      <c r="N1805" s="182"/>
      <c r="O1805" s="737" t="str">
        <f t="shared" si="389"/>
        <v>#VALUE!</v>
      </c>
      <c r="P1805" s="11"/>
      <c r="Q1805" s="11"/>
      <c r="R1805" s="11"/>
      <c r="S1805" s="11"/>
      <c r="T1805" s="11"/>
      <c r="U1805" s="11"/>
      <c r="V1805" s="11"/>
      <c r="W1805" s="11"/>
      <c r="X1805" s="11"/>
      <c r="Y1805" s="11"/>
      <c r="Z1805" s="11"/>
      <c r="AA1805" s="11"/>
    </row>
    <row r="1806" ht="15.75" customHeight="1">
      <c r="A1806" s="737">
        <f t="shared" si="387"/>
        <v>0</v>
      </c>
      <c r="B1806" s="737">
        <f>A1806/'Orbit Info'!$G$10</f>
        <v>0</v>
      </c>
      <c r="C1806" s="737" t="str">
        <f t="shared" si="380"/>
        <v>Housekeeping and events only</v>
      </c>
      <c r="D1806" s="737">
        <f t="shared" si="381"/>
        <v>1</v>
      </c>
      <c r="E1806" s="737" t="str">
        <f t="shared" si="382"/>
        <v>#VALUE!</v>
      </c>
      <c r="F1806" s="737">
        <v>1.0</v>
      </c>
      <c r="G1806" s="737" t="str">
        <f t="shared" si="383"/>
        <v>#VALUE!</v>
      </c>
      <c r="H1806" s="737" t="str">
        <f>MIN($Q$11/('Orbit Info'!G$10),$Q$8*60)</f>
        <v>#VALUE!</v>
      </c>
      <c r="I1806" s="737" t="str">
        <f>IF(D1806=1,$Q$12/'Data DownlinkStorage Budget'!$M$3,0)</f>
        <v>#VALUE!</v>
      </c>
      <c r="J1806" s="737" t="str">
        <f t="shared" si="388"/>
        <v>#VALUE!</v>
      </c>
      <c r="K1806" s="11"/>
      <c r="L1806" s="737" t="str">
        <f t="shared" si="385"/>
        <v>FOUND product plus housekeeping</v>
      </c>
      <c r="M1806" s="737" t="str">
        <f>MIN($Q$18,$Q$10*60)-IF(D1806=1,$Q$17/'Data DownlinkStorage Budget'!$M$3,0)</f>
        <v>#VALUE!</v>
      </c>
      <c r="N1806" s="182"/>
      <c r="O1806" s="737" t="str">
        <f t="shared" si="389"/>
        <v>#VALUE!</v>
      </c>
      <c r="P1806" s="11"/>
      <c r="Q1806" s="11"/>
      <c r="R1806" s="11"/>
      <c r="S1806" s="11"/>
      <c r="T1806" s="11"/>
      <c r="U1806" s="11"/>
      <c r="V1806" s="11"/>
      <c r="W1806" s="11"/>
      <c r="X1806" s="11"/>
      <c r="Y1806" s="11"/>
      <c r="Z1806" s="11"/>
      <c r="AA1806" s="11"/>
    </row>
    <row r="1807" ht="15.75" customHeight="1">
      <c r="A1807" s="737">
        <f t="shared" si="387"/>
        <v>0</v>
      </c>
      <c r="B1807" s="737">
        <f>A1807/'Orbit Info'!$G$10</f>
        <v>0</v>
      </c>
      <c r="C1807" s="737" t="str">
        <f t="shared" si="380"/>
        <v>Housekeeping and events only</v>
      </c>
      <c r="D1807" s="737">
        <f t="shared" si="381"/>
        <v>1</v>
      </c>
      <c r="E1807" s="737" t="str">
        <f t="shared" si="382"/>
        <v>#VALUE!</v>
      </c>
      <c r="F1807" s="737">
        <v>1.0</v>
      </c>
      <c r="G1807" s="737" t="str">
        <f t="shared" si="383"/>
        <v>#VALUE!</v>
      </c>
      <c r="H1807" s="737" t="str">
        <f>MIN($Q$11/('Orbit Info'!G$10),$Q$8*60)</f>
        <v>#VALUE!</v>
      </c>
      <c r="I1807" s="737" t="str">
        <f>IF(D1807=1,$Q$12/'Data DownlinkStorage Budget'!$M$3,0)</f>
        <v>#VALUE!</v>
      </c>
      <c r="J1807" s="737" t="str">
        <f t="shared" si="388"/>
        <v>#VALUE!</v>
      </c>
      <c r="K1807" s="11"/>
      <c r="L1807" s="737" t="str">
        <f t="shared" si="385"/>
        <v>FOUND product plus housekeeping</v>
      </c>
      <c r="M1807" s="737" t="str">
        <f>MIN($Q$18,$Q$10*60)-IF(D1807=1,$Q$17/'Data DownlinkStorage Budget'!$M$3,0)</f>
        <v>#VALUE!</v>
      </c>
      <c r="N1807" s="182"/>
      <c r="O1807" s="737" t="str">
        <f t="shared" si="389"/>
        <v>#VALUE!</v>
      </c>
      <c r="P1807" s="11"/>
      <c r="Q1807" s="11"/>
      <c r="R1807" s="11"/>
      <c r="S1807" s="11"/>
      <c r="T1807" s="11"/>
      <c r="U1807" s="11"/>
      <c r="V1807" s="11"/>
      <c r="W1807" s="11"/>
      <c r="X1807" s="11"/>
      <c r="Y1807" s="11"/>
      <c r="Z1807" s="11"/>
      <c r="AA1807" s="11"/>
    </row>
    <row r="1808" ht="15.75" customHeight="1">
      <c r="A1808" s="737">
        <f t="shared" si="387"/>
        <v>0</v>
      </c>
      <c r="B1808" s="737">
        <f>A1808/'Orbit Info'!$G$10</f>
        <v>0</v>
      </c>
      <c r="C1808" s="737" t="str">
        <f t="shared" si="380"/>
        <v>Housekeeping and events only</v>
      </c>
      <c r="D1808" s="737">
        <f t="shared" si="381"/>
        <v>1</v>
      </c>
      <c r="E1808" s="737" t="str">
        <f t="shared" si="382"/>
        <v>#VALUE!</v>
      </c>
      <c r="F1808" s="737">
        <v>1.0</v>
      </c>
      <c r="G1808" s="737" t="str">
        <f t="shared" si="383"/>
        <v>#VALUE!</v>
      </c>
      <c r="H1808" s="737" t="str">
        <f>MIN($Q$11/('Orbit Info'!G$10),$Q$8*60)</f>
        <v>#VALUE!</v>
      </c>
      <c r="I1808" s="737" t="str">
        <f>IF(D1808=1,$Q$12/'Data DownlinkStorage Budget'!$M$3,0)</f>
        <v>#VALUE!</v>
      </c>
      <c r="J1808" s="737" t="str">
        <f t="shared" si="388"/>
        <v>#VALUE!</v>
      </c>
      <c r="K1808" s="11"/>
      <c r="L1808" s="737" t="str">
        <f t="shared" si="385"/>
        <v>FOUND product plus housekeeping</v>
      </c>
      <c r="M1808" s="737" t="str">
        <f>MIN($Q$18,$Q$10*60)-IF(D1808=1,$Q$17/'Data DownlinkStorage Budget'!$M$3,0)</f>
        <v>#VALUE!</v>
      </c>
      <c r="N1808" s="182"/>
      <c r="O1808" s="737" t="str">
        <f t="shared" si="389"/>
        <v>#VALUE!</v>
      </c>
      <c r="P1808" s="11"/>
      <c r="Q1808" s="11"/>
      <c r="R1808" s="11"/>
      <c r="S1808" s="11"/>
      <c r="T1808" s="11"/>
      <c r="U1808" s="11"/>
      <c r="V1808" s="11"/>
      <c r="W1808" s="11"/>
      <c r="X1808" s="11"/>
      <c r="Y1808" s="11"/>
      <c r="Z1808" s="11"/>
      <c r="AA1808" s="11"/>
    </row>
    <row r="1809" ht="15.75" customHeight="1">
      <c r="A1809" s="737">
        <f t="shared" si="387"/>
        <v>0</v>
      </c>
      <c r="B1809" s="737">
        <f>A1809/'Orbit Info'!$G$10</f>
        <v>0</v>
      </c>
      <c r="C1809" s="737" t="str">
        <f t="shared" si="380"/>
        <v>Housekeeping and events only</v>
      </c>
      <c r="D1809" s="737">
        <f t="shared" si="381"/>
        <v>1</v>
      </c>
      <c r="E1809" s="737" t="str">
        <f t="shared" si="382"/>
        <v>#VALUE!</v>
      </c>
      <c r="F1809" s="737">
        <v>1.0</v>
      </c>
      <c r="G1809" s="737" t="str">
        <f t="shared" si="383"/>
        <v>#VALUE!</v>
      </c>
      <c r="H1809" s="737" t="str">
        <f>MIN($Q$11/('Orbit Info'!G$10),$Q$8*60)</f>
        <v>#VALUE!</v>
      </c>
      <c r="I1809" s="737" t="str">
        <f>IF(D1809=1,$Q$12/'Data DownlinkStorage Budget'!$M$3,0)</f>
        <v>#VALUE!</v>
      </c>
      <c r="J1809" s="737" t="str">
        <f t="shared" si="388"/>
        <v>#VALUE!</v>
      </c>
      <c r="K1809" s="11"/>
      <c r="L1809" s="737" t="str">
        <f t="shared" si="385"/>
        <v>FOUND product plus housekeeping</v>
      </c>
      <c r="M1809" s="737" t="str">
        <f>MIN($Q$18,$Q$10*60)-IF(D1809=1,$Q$17/'Data DownlinkStorage Budget'!$M$3,0)</f>
        <v>#VALUE!</v>
      </c>
      <c r="N1809" s="182"/>
      <c r="O1809" s="737" t="str">
        <f t="shared" si="389"/>
        <v>#VALUE!</v>
      </c>
      <c r="P1809" s="11"/>
      <c r="Q1809" s="11"/>
      <c r="R1809" s="11"/>
      <c r="S1809" s="11"/>
      <c r="T1809" s="11"/>
      <c r="U1809" s="11"/>
      <c r="V1809" s="11"/>
      <c r="W1809" s="11"/>
      <c r="X1809" s="11"/>
      <c r="Y1809" s="11"/>
      <c r="Z1809" s="11"/>
      <c r="AA1809" s="11"/>
    </row>
    <row r="1810" ht="15.75" customHeight="1">
      <c r="A1810" s="737">
        <f t="shared" si="387"/>
        <v>0</v>
      </c>
      <c r="B1810" s="737">
        <f>A1810/'Orbit Info'!$G$10</f>
        <v>0</v>
      </c>
      <c r="C1810" s="737" t="str">
        <f t="shared" si="380"/>
        <v>Housekeeping and events only</v>
      </c>
      <c r="D1810" s="737">
        <f t="shared" si="381"/>
        <v>1</v>
      </c>
      <c r="E1810" s="737" t="str">
        <f t="shared" si="382"/>
        <v>#VALUE!</v>
      </c>
      <c r="F1810" s="737">
        <v>1.0</v>
      </c>
      <c r="G1810" s="737" t="str">
        <f t="shared" si="383"/>
        <v>#VALUE!</v>
      </c>
      <c r="H1810" s="737" t="str">
        <f>MIN($Q$11/('Orbit Info'!G$10),$Q$8*60)</f>
        <v>#VALUE!</v>
      </c>
      <c r="I1810" s="737" t="str">
        <f>IF(D1810=1,$Q$12/'Data DownlinkStorage Budget'!$M$3,0)</f>
        <v>#VALUE!</v>
      </c>
      <c r="J1810" s="737" t="str">
        <f t="shared" si="388"/>
        <v>#VALUE!</v>
      </c>
      <c r="K1810" s="11"/>
      <c r="L1810" s="737" t="str">
        <f t="shared" si="385"/>
        <v>FOUND product plus housekeeping</v>
      </c>
      <c r="M1810" s="737" t="str">
        <f>MIN($Q$18,$Q$10*60)-IF(D1810=1,$Q$17/'Data DownlinkStorage Budget'!$M$3,0)</f>
        <v>#VALUE!</v>
      </c>
      <c r="N1810" s="182"/>
      <c r="O1810" s="737" t="str">
        <f t="shared" si="389"/>
        <v>#VALUE!</v>
      </c>
      <c r="P1810" s="11"/>
      <c r="Q1810" s="11"/>
      <c r="R1810" s="11"/>
      <c r="S1810" s="11"/>
      <c r="T1810" s="11"/>
      <c r="U1810" s="11"/>
      <c r="V1810" s="11"/>
      <c r="W1810" s="11"/>
      <c r="X1810" s="11"/>
      <c r="Y1810" s="11"/>
      <c r="Z1810" s="11"/>
      <c r="AA1810" s="11"/>
    </row>
    <row r="1811" ht="15.75" customHeight="1">
      <c r="A1811" s="737">
        <f t="shared" si="387"/>
        <v>0</v>
      </c>
      <c r="B1811" s="737">
        <f>A1811/'Orbit Info'!$G$10</f>
        <v>0</v>
      </c>
      <c r="C1811" s="737" t="str">
        <f t="shared" si="380"/>
        <v>Housekeeping and events only</v>
      </c>
      <c r="D1811" s="737">
        <f t="shared" si="381"/>
        <v>1</v>
      </c>
      <c r="E1811" s="737" t="str">
        <f t="shared" si="382"/>
        <v>#VALUE!</v>
      </c>
      <c r="F1811" s="737">
        <v>1.0</v>
      </c>
      <c r="G1811" s="737" t="str">
        <f t="shared" si="383"/>
        <v>#VALUE!</v>
      </c>
      <c r="H1811" s="737" t="str">
        <f>MIN($Q$11/('Orbit Info'!G$10),$Q$8*60)</f>
        <v>#VALUE!</v>
      </c>
      <c r="I1811" s="737" t="str">
        <f>IF(D1811=1,$Q$12/'Data DownlinkStorage Budget'!$M$3,0)</f>
        <v>#VALUE!</v>
      </c>
      <c r="J1811" s="737" t="str">
        <f t="shared" si="388"/>
        <v>#VALUE!</v>
      </c>
      <c r="K1811" s="11"/>
      <c r="L1811" s="737" t="str">
        <f t="shared" si="385"/>
        <v>FOUND product plus housekeeping</v>
      </c>
      <c r="M1811" s="737" t="str">
        <f>MIN($Q$18,$Q$10*60)-IF(D1811=1,$Q$17/'Data DownlinkStorage Budget'!$M$3,0)</f>
        <v>#VALUE!</v>
      </c>
      <c r="N1811" s="182"/>
      <c r="O1811" s="737" t="str">
        <f t="shared" si="389"/>
        <v>#VALUE!</v>
      </c>
      <c r="P1811" s="11"/>
      <c r="Q1811" s="11"/>
      <c r="R1811" s="11"/>
      <c r="S1811" s="11"/>
      <c r="T1811" s="11"/>
      <c r="U1811" s="11"/>
      <c r="V1811" s="11"/>
      <c r="W1811" s="11"/>
      <c r="X1811" s="11"/>
      <c r="Y1811" s="11"/>
      <c r="Z1811" s="11"/>
      <c r="AA1811" s="11"/>
    </row>
    <row r="1812" ht="15.75" customHeight="1">
      <c r="A1812" s="737">
        <f t="shared" si="387"/>
        <v>0</v>
      </c>
      <c r="B1812" s="737">
        <f>A1812/'Orbit Info'!$G$10</f>
        <v>0</v>
      </c>
      <c r="C1812" s="737" t="str">
        <f t="shared" si="380"/>
        <v>Housekeeping and events only</v>
      </c>
      <c r="D1812" s="737">
        <f t="shared" si="381"/>
        <v>1</v>
      </c>
      <c r="E1812" s="737" t="str">
        <f t="shared" si="382"/>
        <v>#VALUE!</v>
      </c>
      <c r="F1812" s="737">
        <v>1.0</v>
      </c>
      <c r="G1812" s="737" t="str">
        <f t="shared" si="383"/>
        <v>#VALUE!</v>
      </c>
      <c r="H1812" s="737" t="str">
        <f>MIN($Q$11/('Orbit Info'!G$10),$Q$8*60)</f>
        <v>#VALUE!</v>
      </c>
      <c r="I1812" s="737" t="str">
        <f>IF(D1812=1,$Q$12/'Data DownlinkStorage Budget'!$M$3,0)</f>
        <v>#VALUE!</v>
      </c>
      <c r="J1812" s="737" t="str">
        <f t="shared" si="388"/>
        <v>#VALUE!</v>
      </c>
      <c r="K1812" s="11"/>
      <c r="L1812" s="737" t="str">
        <f t="shared" si="385"/>
        <v>FOUND product plus housekeeping</v>
      </c>
      <c r="M1812" s="737" t="str">
        <f>MIN($Q$18,$Q$10*60)-IF(D1812=1,$Q$17/'Data DownlinkStorage Budget'!$M$3,0)</f>
        <v>#VALUE!</v>
      </c>
      <c r="N1812" s="182"/>
      <c r="O1812" s="737" t="str">
        <f t="shared" si="389"/>
        <v>#VALUE!</v>
      </c>
      <c r="P1812" s="11"/>
      <c r="Q1812" s="11"/>
      <c r="R1812" s="11"/>
      <c r="S1812" s="11"/>
      <c r="T1812" s="11"/>
      <c r="U1812" s="11"/>
      <c r="V1812" s="11"/>
      <c r="W1812" s="11"/>
      <c r="X1812" s="11"/>
      <c r="Y1812" s="11"/>
      <c r="Z1812" s="11"/>
      <c r="AA1812" s="11"/>
    </row>
    <row r="1813" ht="15.75" customHeight="1">
      <c r="A1813" s="737">
        <f t="shared" si="387"/>
        <v>0</v>
      </c>
      <c r="B1813" s="737">
        <f>A1813/'Orbit Info'!$G$10</f>
        <v>0</v>
      </c>
      <c r="C1813" s="737" t="str">
        <f t="shared" si="380"/>
        <v>Housekeeping and events only</v>
      </c>
      <c r="D1813" s="737">
        <f t="shared" si="381"/>
        <v>1</v>
      </c>
      <c r="E1813" s="737" t="str">
        <f t="shared" si="382"/>
        <v>#VALUE!</v>
      </c>
      <c r="F1813" s="737">
        <v>1.0</v>
      </c>
      <c r="G1813" s="737" t="str">
        <f t="shared" si="383"/>
        <v>#VALUE!</v>
      </c>
      <c r="H1813" s="737" t="str">
        <f>MIN($Q$11/('Orbit Info'!G$10),$Q$8*60)</f>
        <v>#VALUE!</v>
      </c>
      <c r="I1813" s="737" t="str">
        <f>IF(D1813=1,$Q$12/'Data DownlinkStorage Budget'!$M$3,0)</f>
        <v>#VALUE!</v>
      </c>
      <c r="J1813" s="737" t="str">
        <f t="shared" si="388"/>
        <v>#VALUE!</v>
      </c>
      <c r="K1813" s="11"/>
      <c r="L1813" s="737" t="str">
        <f t="shared" si="385"/>
        <v>FOUND product plus housekeeping</v>
      </c>
      <c r="M1813" s="737" t="str">
        <f>MIN($Q$18,$Q$10*60)-IF(D1813=1,$Q$17/'Data DownlinkStorage Budget'!$M$3,0)</f>
        <v>#VALUE!</v>
      </c>
      <c r="N1813" s="182"/>
      <c r="O1813" s="737" t="str">
        <f t="shared" si="389"/>
        <v>#VALUE!</v>
      </c>
      <c r="P1813" s="11"/>
      <c r="Q1813" s="11"/>
      <c r="R1813" s="11"/>
      <c r="S1813" s="11"/>
      <c r="T1813" s="11"/>
      <c r="U1813" s="11"/>
      <c r="V1813" s="11"/>
      <c r="W1813" s="11"/>
      <c r="X1813" s="11"/>
      <c r="Y1813" s="11"/>
      <c r="Z1813" s="11"/>
      <c r="AA1813" s="11"/>
    </row>
    <row r="1814" ht="15.75" customHeight="1">
      <c r="A1814" s="737">
        <f t="shared" si="387"/>
        <v>0</v>
      </c>
      <c r="B1814" s="737">
        <f>A1814/'Orbit Info'!$G$10</f>
        <v>0</v>
      </c>
      <c r="C1814" s="737" t="str">
        <f t="shared" si="380"/>
        <v>Housekeeping and events only</v>
      </c>
      <c r="D1814" s="737">
        <f t="shared" si="381"/>
        <v>1</v>
      </c>
      <c r="E1814" s="737" t="str">
        <f t="shared" si="382"/>
        <v>#VALUE!</v>
      </c>
      <c r="F1814" s="737">
        <v>1.0</v>
      </c>
      <c r="G1814" s="737" t="str">
        <f t="shared" si="383"/>
        <v>#VALUE!</v>
      </c>
      <c r="H1814" s="737" t="str">
        <f>MIN($Q$11/('Orbit Info'!G$10),$Q$8*60)</f>
        <v>#VALUE!</v>
      </c>
      <c r="I1814" s="737" t="str">
        <f>IF(D1814=1,$Q$12/'Data DownlinkStorage Budget'!$M$3,0)</f>
        <v>#VALUE!</v>
      </c>
      <c r="J1814" s="737" t="str">
        <f t="shared" si="388"/>
        <v>#VALUE!</v>
      </c>
      <c r="K1814" s="11"/>
      <c r="L1814" s="737" t="str">
        <f t="shared" si="385"/>
        <v>FOUND product plus housekeeping</v>
      </c>
      <c r="M1814" s="737" t="str">
        <f>MIN($Q$18,$Q$10*60)-IF(D1814=1,$Q$17/'Data DownlinkStorage Budget'!$M$3,0)</f>
        <v>#VALUE!</v>
      </c>
      <c r="N1814" s="182"/>
      <c r="O1814" s="737" t="str">
        <f t="shared" si="389"/>
        <v>#VALUE!</v>
      </c>
      <c r="P1814" s="11"/>
      <c r="Q1814" s="11"/>
      <c r="R1814" s="11"/>
      <c r="S1814" s="11"/>
      <c r="T1814" s="11"/>
      <c r="U1814" s="11"/>
      <c r="V1814" s="11"/>
      <c r="W1814" s="11"/>
      <c r="X1814" s="11"/>
      <c r="Y1814" s="11"/>
      <c r="Z1814" s="11"/>
      <c r="AA1814" s="11"/>
    </row>
    <row r="1815" ht="15.75" customHeight="1">
      <c r="A1815" s="737">
        <f t="shared" si="387"/>
        <v>0</v>
      </c>
      <c r="B1815" s="737">
        <f>A1815/'Orbit Info'!$G$10</f>
        <v>0</v>
      </c>
      <c r="C1815" s="737" t="str">
        <f t="shared" si="380"/>
        <v>Housekeeping and events only</v>
      </c>
      <c r="D1815" s="737">
        <f t="shared" si="381"/>
        <v>1</v>
      </c>
      <c r="E1815" s="737" t="str">
        <f t="shared" si="382"/>
        <v>#VALUE!</v>
      </c>
      <c r="F1815" s="737">
        <v>1.0</v>
      </c>
      <c r="G1815" s="737" t="str">
        <f t="shared" si="383"/>
        <v>#VALUE!</v>
      </c>
      <c r="H1815" s="737" t="str">
        <f>MIN($Q$11/('Orbit Info'!G$10),$Q$8*60)</f>
        <v>#VALUE!</v>
      </c>
      <c r="I1815" s="737" t="str">
        <f>IF(D1815=1,$Q$12/'Data DownlinkStorage Budget'!$M$3,0)</f>
        <v>#VALUE!</v>
      </c>
      <c r="J1815" s="737" t="str">
        <f t="shared" si="388"/>
        <v>#VALUE!</v>
      </c>
      <c r="K1815" s="11"/>
      <c r="L1815" s="737" t="str">
        <f t="shared" si="385"/>
        <v>FOUND product plus housekeeping</v>
      </c>
      <c r="M1815" s="737" t="str">
        <f>MIN($Q$18,$Q$10*60)-IF(D1815=1,$Q$17/'Data DownlinkStorage Budget'!$M$3,0)</f>
        <v>#VALUE!</v>
      </c>
      <c r="N1815" s="182"/>
      <c r="O1815" s="737" t="str">
        <f t="shared" si="389"/>
        <v>#VALUE!</v>
      </c>
      <c r="P1815" s="11"/>
      <c r="Q1815" s="11"/>
      <c r="R1815" s="11"/>
      <c r="S1815" s="11"/>
      <c r="T1815" s="11"/>
      <c r="U1815" s="11"/>
      <c r="V1815" s="11"/>
      <c r="W1815" s="11"/>
      <c r="X1815" s="11"/>
      <c r="Y1815" s="11"/>
      <c r="Z1815" s="11"/>
      <c r="AA1815" s="11"/>
    </row>
    <row r="1816" ht="15.75" customHeight="1">
      <c r="A1816" s="737">
        <f t="shared" si="387"/>
        <v>0</v>
      </c>
      <c r="B1816" s="737">
        <f>A1816/'Orbit Info'!$G$10</f>
        <v>0</v>
      </c>
      <c r="C1816" s="737" t="str">
        <f t="shared" si="380"/>
        <v>Housekeeping and events only</v>
      </c>
      <c r="D1816" s="737">
        <f t="shared" si="381"/>
        <v>1</v>
      </c>
      <c r="E1816" s="737" t="str">
        <f t="shared" si="382"/>
        <v>#VALUE!</v>
      </c>
      <c r="F1816" s="737">
        <v>1.0</v>
      </c>
      <c r="G1816" s="737" t="str">
        <f t="shared" si="383"/>
        <v>#VALUE!</v>
      </c>
      <c r="H1816" s="737" t="str">
        <f>MIN($Q$11/('Orbit Info'!G$10),$Q$8*60)</f>
        <v>#VALUE!</v>
      </c>
      <c r="I1816" s="737" t="str">
        <f>IF(D1816=1,$Q$12/'Data DownlinkStorage Budget'!$M$3,0)</f>
        <v>#VALUE!</v>
      </c>
      <c r="J1816" s="737" t="str">
        <f t="shared" si="388"/>
        <v>#VALUE!</v>
      </c>
      <c r="K1816" s="11"/>
      <c r="L1816" s="737" t="str">
        <f t="shared" si="385"/>
        <v>FOUND product plus housekeeping</v>
      </c>
      <c r="M1816" s="737" t="str">
        <f>MIN($Q$18,$Q$10*60)-IF(D1816=1,$Q$17/'Data DownlinkStorage Budget'!$M$3,0)</f>
        <v>#VALUE!</v>
      </c>
      <c r="N1816" s="182"/>
      <c r="O1816" s="737" t="str">
        <f t="shared" si="389"/>
        <v>#VALUE!</v>
      </c>
      <c r="P1816" s="11"/>
      <c r="Q1816" s="11"/>
      <c r="R1816" s="11"/>
      <c r="S1816" s="11"/>
      <c r="T1816" s="11"/>
      <c r="U1816" s="11"/>
      <c r="V1816" s="11"/>
      <c r="W1816" s="11"/>
      <c r="X1816" s="11"/>
      <c r="Y1816" s="11"/>
      <c r="Z1816" s="11"/>
      <c r="AA1816" s="11"/>
    </row>
    <row r="1817" ht="15.75" customHeight="1">
      <c r="A1817" s="737">
        <f t="shared" si="387"/>
        <v>0</v>
      </c>
      <c r="B1817" s="737">
        <f>A1817/'Orbit Info'!$G$10</f>
        <v>0</v>
      </c>
      <c r="C1817" s="737" t="str">
        <f t="shared" si="380"/>
        <v>Housekeeping and events only</v>
      </c>
      <c r="D1817" s="737">
        <f t="shared" si="381"/>
        <v>1</v>
      </c>
      <c r="E1817" s="737" t="str">
        <f t="shared" si="382"/>
        <v>#VALUE!</v>
      </c>
      <c r="F1817" s="737">
        <v>1.0</v>
      </c>
      <c r="G1817" s="737" t="str">
        <f t="shared" si="383"/>
        <v>#VALUE!</v>
      </c>
      <c r="H1817" s="737" t="str">
        <f>MIN($Q$11/('Orbit Info'!G$10),$Q$8*60)</f>
        <v>#VALUE!</v>
      </c>
      <c r="I1817" s="737" t="str">
        <f>IF(D1817=1,$Q$12/'Data DownlinkStorage Budget'!$M$3,0)</f>
        <v>#VALUE!</v>
      </c>
      <c r="J1817" s="737" t="str">
        <f t="shared" si="388"/>
        <v>#VALUE!</v>
      </c>
      <c r="K1817" s="11"/>
      <c r="L1817" s="737" t="str">
        <f t="shared" si="385"/>
        <v>FOUND product plus housekeeping</v>
      </c>
      <c r="M1817" s="737" t="str">
        <f>MIN($Q$18,$Q$10*60)-IF(D1817=1,$Q$17/'Data DownlinkStorage Budget'!$M$3,0)</f>
        <v>#VALUE!</v>
      </c>
      <c r="N1817" s="182"/>
      <c r="O1817" s="737" t="str">
        <f t="shared" si="389"/>
        <v>#VALUE!</v>
      </c>
      <c r="P1817" s="11"/>
      <c r="Q1817" s="11"/>
      <c r="R1817" s="11"/>
      <c r="S1817" s="11"/>
      <c r="T1817" s="11"/>
      <c r="U1817" s="11"/>
      <c r="V1817" s="11"/>
      <c r="W1817" s="11"/>
      <c r="X1817" s="11"/>
      <c r="Y1817" s="11"/>
      <c r="Z1817" s="11"/>
      <c r="AA1817" s="11"/>
    </row>
    <row r="1818" ht="15.75" customHeight="1">
      <c r="A1818" s="737">
        <f t="shared" si="387"/>
        <v>0</v>
      </c>
      <c r="B1818" s="737">
        <f>A1818/'Orbit Info'!$G$10</f>
        <v>0</v>
      </c>
      <c r="C1818" s="737" t="str">
        <f t="shared" si="380"/>
        <v>Housekeeping and events only</v>
      </c>
      <c r="D1818" s="737">
        <f t="shared" si="381"/>
        <v>1</v>
      </c>
      <c r="E1818" s="737" t="str">
        <f t="shared" si="382"/>
        <v>#VALUE!</v>
      </c>
      <c r="F1818" s="737">
        <v>1.0</v>
      </c>
      <c r="G1818" s="737" t="str">
        <f t="shared" si="383"/>
        <v>#VALUE!</v>
      </c>
      <c r="H1818" s="737" t="str">
        <f>MIN($Q$11/('Orbit Info'!G$10),$Q$8*60)</f>
        <v>#VALUE!</v>
      </c>
      <c r="I1818" s="737" t="str">
        <f>IF(D1818=1,$Q$12/'Data DownlinkStorage Budget'!$M$3,0)</f>
        <v>#VALUE!</v>
      </c>
      <c r="J1818" s="737" t="str">
        <f t="shared" si="388"/>
        <v>#VALUE!</v>
      </c>
      <c r="K1818" s="11"/>
      <c r="L1818" s="737" t="str">
        <f t="shared" si="385"/>
        <v>FOUND product plus housekeeping</v>
      </c>
      <c r="M1818" s="737" t="str">
        <f>MIN($Q$18,$Q$10*60)-IF(D1818=1,$Q$17/'Data DownlinkStorage Budget'!$M$3,0)</f>
        <v>#VALUE!</v>
      </c>
      <c r="N1818" s="182"/>
      <c r="O1818" s="737" t="str">
        <f t="shared" si="389"/>
        <v>#VALUE!</v>
      </c>
      <c r="P1818" s="11"/>
      <c r="Q1818" s="11"/>
      <c r="R1818" s="11"/>
      <c r="S1818" s="11"/>
      <c r="T1818" s="11"/>
      <c r="U1818" s="11"/>
      <c r="V1818" s="11"/>
      <c r="W1818" s="11"/>
      <c r="X1818" s="11"/>
      <c r="Y1818" s="11"/>
      <c r="Z1818" s="11"/>
      <c r="AA1818" s="11"/>
    </row>
    <row r="1819" ht="15.75" customHeight="1">
      <c r="A1819" s="737">
        <f t="shared" si="387"/>
        <v>0</v>
      </c>
      <c r="B1819" s="737">
        <f>A1819/'Orbit Info'!$G$10</f>
        <v>0</v>
      </c>
      <c r="C1819" s="737" t="str">
        <f t="shared" si="380"/>
        <v>Housekeeping and events only</v>
      </c>
      <c r="D1819" s="737">
        <f t="shared" si="381"/>
        <v>1</v>
      </c>
      <c r="E1819" s="737" t="str">
        <f t="shared" si="382"/>
        <v>#VALUE!</v>
      </c>
      <c r="F1819" s="737">
        <v>1.0</v>
      </c>
      <c r="G1819" s="737" t="str">
        <f t="shared" si="383"/>
        <v>#VALUE!</v>
      </c>
      <c r="H1819" s="737" t="str">
        <f>MIN($Q$11/('Orbit Info'!G$10),$Q$8*60)</f>
        <v>#VALUE!</v>
      </c>
      <c r="I1819" s="737" t="str">
        <f>IF(D1819=1,$Q$12/'Data DownlinkStorage Budget'!$M$3,0)</f>
        <v>#VALUE!</v>
      </c>
      <c r="J1819" s="737" t="str">
        <f t="shared" si="388"/>
        <v>#VALUE!</v>
      </c>
      <c r="K1819" s="11"/>
      <c r="L1819" s="737" t="str">
        <f t="shared" si="385"/>
        <v>FOUND product plus housekeeping</v>
      </c>
      <c r="M1819" s="737" t="str">
        <f>MIN($Q$18,$Q$10*60)-IF(D1819=1,$Q$17/'Data DownlinkStorage Budget'!$M$3,0)</f>
        <v>#VALUE!</v>
      </c>
      <c r="N1819" s="182"/>
      <c r="O1819" s="737" t="str">
        <f t="shared" si="389"/>
        <v>#VALUE!</v>
      </c>
      <c r="P1819" s="11"/>
      <c r="Q1819" s="11"/>
      <c r="R1819" s="11"/>
      <c r="S1819" s="11"/>
      <c r="T1819" s="11"/>
      <c r="U1819" s="11"/>
      <c r="V1819" s="11"/>
      <c r="W1819" s="11"/>
      <c r="X1819" s="11"/>
      <c r="Y1819" s="11"/>
      <c r="Z1819" s="11"/>
      <c r="AA1819" s="11"/>
    </row>
    <row r="1820" ht="15.75" customHeight="1">
      <c r="A1820" s="737">
        <f t="shared" si="387"/>
        <v>0</v>
      </c>
      <c r="B1820" s="737">
        <f>A1820/'Orbit Info'!$G$10</f>
        <v>0</v>
      </c>
      <c r="C1820" s="737" t="str">
        <f t="shared" si="380"/>
        <v>Housekeeping and events only</v>
      </c>
      <c r="D1820" s="737">
        <f t="shared" si="381"/>
        <v>1</v>
      </c>
      <c r="E1820" s="737" t="str">
        <f t="shared" si="382"/>
        <v>#VALUE!</v>
      </c>
      <c r="F1820" s="737">
        <v>1.0</v>
      </c>
      <c r="G1820" s="737" t="str">
        <f t="shared" si="383"/>
        <v>#VALUE!</v>
      </c>
      <c r="H1820" s="737" t="str">
        <f>MIN($Q$11/('Orbit Info'!G$10),$Q$8*60)</f>
        <v>#VALUE!</v>
      </c>
      <c r="I1820" s="737" t="str">
        <f>IF(D1820=1,$Q$12/'Data DownlinkStorage Budget'!$M$3,0)</f>
        <v>#VALUE!</v>
      </c>
      <c r="J1820" s="737" t="str">
        <f t="shared" si="388"/>
        <v>#VALUE!</v>
      </c>
      <c r="K1820" s="11"/>
      <c r="L1820" s="737" t="str">
        <f t="shared" si="385"/>
        <v>FOUND product plus housekeeping</v>
      </c>
      <c r="M1820" s="737" t="str">
        <f>MIN($Q$18,$Q$10*60)-IF(D1820=1,$Q$17/'Data DownlinkStorage Budget'!$M$3,0)</f>
        <v>#VALUE!</v>
      </c>
      <c r="N1820" s="182"/>
      <c r="O1820" s="737" t="str">
        <f t="shared" si="389"/>
        <v>#VALUE!</v>
      </c>
      <c r="P1820" s="11"/>
      <c r="Q1820" s="11"/>
      <c r="R1820" s="11"/>
      <c r="S1820" s="11"/>
      <c r="T1820" s="11"/>
      <c r="U1820" s="11"/>
      <c r="V1820" s="11"/>
      <c r="W1820" s="11"/>
      <c r="X1820" s="11"/>
      <c r="Y1820" s="11"/>
      <c r="Z1820" s="11"/>
      <c r="AA1820" s="11"/>
    </row>
    <row r="1821" ht="15.75" customHeight="1">
      <c r="A1821" s="737">
        <f t="shared" si="387"/>
        <v>0</v>
      </c>
      <c r="B1821" s="737">
        <f>A1821/'Orbit Info'!$G$10</f>
        <v>0</v>
      </c>
      <c r="C1821" s="737" t="str">
        <f t="shared" si="380"/>
        <v>Housekeeping and events only</v>
      </c>
      <c r="D1821" s="737">
        <f t="shared" si="381"/>
        <v>1</v>
      </c>
      <c r="E1821" s="737" t="str">
        <f t="shared" si="382"/>
        <v>#VALUE!</v>
      </c>
      <c r="F1821" s="737">
        <v>1.0</v>
      </c>
      <c r="G1821" s="737" t="str">
        <f t="shared" si="383"/>
        <v>#VALUE!</v>
      </c>
      <c r="H1821" s="737" t="str">
        <f>MIN($Q$11/('Orbit Info'!G$10),$Q$8*60)</f>
        <v>#VALUE!</v>
      </c>
      <c r="I1821" s="737" t="str">
        <f>IF(D1821=1,$Q$12/'Data DownlinkStorage Budget'!$M$3,0)</f>
        <v>#VALUE!</v>
      </c>
      <c r="J1821" s="737" t="str">
        <f t="shared" si="388"/>
        <v>#VALUE!</v>
      </c>
      <c r="K1821" s="11"/>
      <c r="L1821" s="737" t="str">
        <f t="shared" si="385"/>
        <v>FOUND product plus housekeeping</v>
      </c>
      <c r="M1821" s="737" t="str">
        <f>MIN($Q$18,$Q$10*60)-IF(D1821=1,$Q$17/'Data DownlinkStorage Budget'!$M$3,0)</f>
        <v>#VALUE!</v>
      </c>
      <c r="N1821" s="182"/>
      <c r="O1821" s="737" t="str">
        <f t="shared" si="389"/>
        <v>#VALUE!</v>
      </c>
      <c r="P1821" s="11"/>
      <c r="Q1821" s="11"/>
      <c r="R1821" s="11"/>
      <c r="S1821" s="11"/>
      <c r="T1821" s="11"/>
      <c r="U1821" s="11"/>
      <c r="V1821" s="11"/>
      <c r="W1821" s="11"/>
      <c r="X1821" s="11"/>
      <c r="Y1821" s="11"/>
      <c r="Z1821" s="11"/>
      <c r="AA1821" s="11"/>
    </row>
    <row r="1822" ht="15.75" customHeight="1">
      <c r="A1822" s="737">
        <f t="shared" si="387"/>
        <v>0</v>
      </c>
      <c r="B1822" s="737">
        <f>A1822/'Orbit Info'!$G$10</f>
        <v>0</v>
      </c>
      <c r="C1822" s="737" t="str">
        <f t="shared" si="380"/>
        <v>Housekeeping and events only</v>
      </c>
      <c r="D1822" s="737">
        <f t="shared" si="381"/>
        <v>1</v>
      </c>
      <c r="E1822" s="737" t="str">
        <f t="shared" si="382"/>
        <v>#VALUE!</v>
      </c>
      <c r="F1822" s="737">
        <v>1.0</v>
      </c>
      <c r="G1822" s="737" t="str">
        <f t="shared" si="383"/>
        <v>#VALUE!</v>
      </c>
      <c r="H1822" s="737" t="str">
        <f>MIN($Q$11/('Orbit Info'!G$10),$Q$8*60)</f>
        <v>#VALUE!</v>
      </c>
      <c r="I1822" s="737" t="str">
        <f>IF(D1822=1,$Q$12/'Data DownlinkStorage Budget'!$M$3,0)</f>
        <v>#VALUE!</v>
      </c>
      <c r="J1822" s="737" t="str">
        <f t="shared" si="388"/>
        <v>#VALUE!</v>
      </c>
      <c r="K1822" s="11"/>
      <c r="L1822" s="737" t="str">
        <f t="shared" si="385"/>
        <v>FOUND product plus housekeeping</v>
      </c>
      <c r="M1822" s="737" t="str">
        <f>MIN($Q$18,$Q$10*60)-IF(D1822=1,$Q$17/'Data DownlinkStorage Budget'!$M$3,0)</f>
        <v>#VALUE!</v>
      </c>
      <c r="N1822" s="182"/>
      <c r="O1822" s="737" t="str">
        <f t="shared" si="389"/>
        <v>#VALUE!</v>
      </c>
      <c r="P1822" s="11"/>
      <c r="Q1822" s="11"/>
      <c r="R1822" s="11"/>
      <c r="S1822" s="11"/>
      <c r="T1822" s="11"/>
      <c r="U1822" s="11"/>
      <c r="V1822" s="11"/>
      <c r="W1822" s="11"/>
      <c r="X1822" s="11"/>
      <c r="Y1822" s="11"/>
      <c r="Z1822" s="11"/>
      <c r="AA1822" s="11"/>
    </row>
    <row r="1823" ht="15.75" customHeight="1">
      <c r="A1823" s="737">
        <f t="shared" si="387"/>
        <v>0</v>
      </c>
      <c r="B1823" s="737">
        <f>A1823/'Orbit Info'!$G$10</f>
        <v>0</v>
      </c>
      <c r="C1823" s="737" t="str">
        <f t="shared" si="380"/>
        <v>Housekeeping and events only</v>
      </c>
      <c r="D1823" s="737">
        <f t="shared" si="381"/>
        <v>1</v>
      </c>
      <c r="E1823" s="737" t="str">
        <f t="shared" si="382"/>
        <v>#VALUE!</v>
      </c>
      <c r="F1823" s="737">
        <v>1.0</v>
      </c>
      <c r="G1823" s="737" t="str">
        <f t="shared" si="383"/>
        <v>#VALUE!</v>
      </c>
      <c r="H1823" s="737" t="str">
        <f>MIN($Q$11/('Orbit Info'!G$10),$Q$8*60)</f>
        <v>#VALUE!</v>
      </c>
      <c r="I1823" s="737" t="str">
        <f>IF(D1823=1,$Q$12/'Data DownlinkStorage Budget'!$M$3,0)</f>
        <v>#VALUE!</v>
      </c>
      <c r="J1823" s="737" t="str">
        <f t="shared" si="388"/>
        <v>#VALUE!</v>
      </c>
      <c r="K1823" s="11"/>
      <c r="L1823" s="737" t="str">
        <f t="shared" si="385"/>
        <v>FOUND product plus housekeeping</v>
      </c>
      <c r="M1823" s="737" t="str">
        <f>MIN($Q$18,$Q$10*60)-IF(D1823=1,$Q$17/'Data DownlinkStorage Budget'!$M$3,0)</f>
        <v>#VALUE!</v>
      </c>
      <c r="N1823" s="182"/>
      <c r="O1823" s="737" t="str">
        <f t="shared" si="389"/>
        <v>#VALUE!</v>
      </c>
      <c r="P1823" s="11"/>
      <c r="Q1823" s="11"/>
      <c r="R1823" s="11"/>
      <c r="S1823" s="11"/>
      <c r="T1823" s="11"/>
      <c r="U1823" s="11"/>
      <c r="V1823" s="11"/>
      <c r="W1823" s="11"/>
      <c r="X1823" s="11"/>
      <c r="Y1823" s="11"/>
      <c r="Z1823" s="11"/>
      <c r="AA1823" s="11"/>
    </row>
    <row r="1824" ht="15.75" customHeight="1">
      <c r="A1824" s="737">
        <f t="shared" si="387"/>
        <v>0</v>
      </c>
      <c r="B1824" s="737">
        <f>A1824/'Orbit Info'!$G$10</f>
        <v>0</v>
      </c>
      <c r="C1824" s="737" t="str">
        <f t="shared" si="380"/>
        <v>Housekeeping and events only</v>
      </c>
      <c r="D1824" s="737">
        <f t="shared" si="381"/>
        <v>1</v>
      </c>
      <c r="E1824" s="737" t="str">
        <f t="shared" si="382"/>
        <v>#VALUE!</v>
      </c>
      <c r="F1824" s="737">
        <v>1.0</v>
      </c>
      <c r="G1824" s="737" t="str">
        <f t="shared" si="383"/>
        <v>#VALUE!</v>
      </c>
      <c r="H1824" s="737" t="str">
        <f>MIN($Q$11/('Orbit Info'!G$10),$Q$8*60)</f>
        <v>#VALUE!</v>
      </c>
      <c r="I1824" s="737" t="str">
        <f>IF(D1824=1,$Q$12/'Data DownlinkStorage Budget'!$M$3,0)</f>
        <v>#VALUE!</v>
      </c>
      <c r="J1824" s="737" t="str">
        <f t="shared" si="388"/>
        <v>#VALUE!</v>
      </c>
      <c r="K1824" s="11"/>
      <c r="L1824" s="737" t="str">
        <f t="shared" si="385"/>
        <v>FOUND product plus housekeeping</v>
      </c>
      <c r="M1824" s="737" t="str">
        <f>MIN($Q$18,$Q$10*60)-IF(D1824=1,$Q$17/'Data DownlinkStorage Budget'!$M$3,0)</f>
        <v>#VALUE!</v>
      </c>
      <c r="N1824" s="182"/>
      <c r="O1824" s="737" t="str">
        <f t="shared" si="389"/>
        <v>#VALUE!</v>
      </c>
      <c r="P1824" s="11"/>
      <c r="Q1824" s="11"/>
      <c r="R1824" s="11"/>
      <c r="S1824" s="11"/>
      <c r="T1824" s="11"/>
      <c r="U1824" s="11"/>
      <c r="V1824" s="11"/>
      <c r="W1824" s="11"/>
      <c r="X1824" s="11"/>
      <c r="Y1824" s="11"/>
      <c r="Z1824" s="11"/>
      <c r="AA1824" s="11"/>
    </row>
    <row r="1825" ht="15.75" customHeight="1">
      <c r="A1825" s="737">
        <f t="shared" si="387"/>
        <v>0</v>
      </c>
      <c r="B1825" s="737">
        <f>A1825/'Orbit Info'!$G$10</f>
        <v>0</v>
      </c>
      <c r="C1825" s="737" t="str">
        <f t="shared" si="380"/>
        <v>Housekeeping and events only</v>
      </c>
      <c r="D1825" s="737">
        <f t="shared" si="381"/>
        <v>1</v>
      </c>
      <c r="E1825" s="737" t="str">
        <f t="shared" si="382"/>
        <v>#VALUE!</v>
      </c>
      <c r="F1825" s="737">
        <v>1.0</v>
      </c>
      <c r="G1825" s="737" t="str">
        <f t="shared" si="383"/>
        <v>#VALUE!</v>
      </c>
      <c r="H1825" s="737" t="str">
        <f>MIN($Q$11/('Orbit Info'!G$10),$Q$8*60)</f>
        <v>#VALUE!</v>
      </c>
      <c r="I1825" s="737" t="str">
        <f>IF(D1825=1,$Q$12/'Data DownlinkStorage Budget'!$M$3,0)</f>
        <v>#VALUE!</v>
      </c>
      <c r="J1825" s="737" t="str">
        <f t="shared" si="388"/>
        <v>#VALUE!</v>
      </c>
      <c r="K1825" s="11"/>
      <c r="L1825" s="737" t="str">
        <f t="shared" si="385"/>
        <v>FOUND product plus housekeeping</v>
      </c>
      <c r="M1825" s="737" t="str">
        <f>MIN($Q$18,$Q$10*60)-IF(D1825=1,$Q$17/'Data DownlinkStorage Budget'!$M$3,0)</f>
        <v>#VALUE!</v>
      </c>
      <c r="N1825" s="182"/>
      <c r="O1825" s="737" t="str">
        <f t="shared" si="389"/>
        <v>#VALUE!</v>
      </c>
      <c r="P1825" s="11"/>
      <c r="Q1825" s="11"/>
      <c r="R1825" s="11"/>
      <c r="S1825" s="11"/>
      <c r="T1825" s="11"/>
      <c r="U1825" s="11"/>
      <c r="V1825" s="11"/>
      <c r="W1825" s="11"/>
      <c r="X1825" s="11"/>
      <c r="Y1825" s="11"/>
      <c r="Z1825" s="11"/>
      <c r="AA1825" s="11"/>
    </row>
    <row r="1826" ht="15.75" customHeight="1">
      <c r="A1826" s="737">
        <f t="shared" si="387"/>
        <v>0</v>
      </c>
      <c r="B1826" s="737">
        <f>A1826/'Orbit Info'!$G$10</f>
        <v>0</v>
      </c>
      <c r="C1826" s="737" t="str">
        <f t="shared" si="380"/>
        <v>Housekeeping and events only</v>
      </c>
      <c r="D1826" s="737">
        <f t="shared" si="381"/>
        <v>1</v>
      </c>
      <c r="E1826" s="737" t="str">
        <f t="shared" si="382"/>
        <v>#VALUE!</v>
      </c>
      <c r="F1826" s="737">
        <v>1.0</v>
      </c>
      <c r="G1826" s="737" t="str">
        <f t="shared" si="383"/>
        <v>#VALUE!</v>
      </c>
      <c r="H1826" s="737" t="str">
        <f>MIN($Q$11/('Orbit Info'!G$10),$Q$8*60)</f>
        <v>#VALUE!</v>
      </c>
      <c r="I1826" s="737" t="str">
        <f>IF(D1826=1,$Q$12/'Data DownlinkStorage Budget'!$M$3,0)</f>
        <v>#VALUE!</v>
      </c>
      <c r="J1826" s="737" t="str">
        <f t="shared" si="388"/>
        <v>#VALUE!</v>
      </c>
      <c r="K1826" s="11"/>
      <c r="L1826" s="737" t="str">
        <f t="shared" si="385"/>
        <v>FOUND product plus housekeeping</v>
      </c>
      <c r="M1826" s="737" t="str">
        <f>MIN($Q$18,$Q$10*60)-IF(D1826=1,$Q$17/'Data DownlinkStorage Budget'!$M$3,0)</f>
        <v>#VALUE!</v>
      </c>
      <c r="N1826" s="182"/>
      <c r="O1826" s="737" t="str">
        <f t="shared" si="389"/>
        <v>#VALUE!</v>
      </c>
      <c r="P1826" s="11"/>
      <c r="Q1826" s="11"/>
      <c r="R1826" s="11"/>
      <c r="S1826" s="11"/>
      <c r="T1826" s="11"/>
      <c r="U1826" s="11"/>
      <c r="V1826" s="11"/>
      <c r="W1826" s="11"/>
      <c r="X1826" s="11"/>
      <c r="Y1826" s="11"/>
      <c r="Z1826" s="11"/>
      <c r="AA1826" s="11"/>
    </row>
    <row r="1827" ht="15.75" customHeight="1">
      <c r="A1827" s="737">
        <f t="shared" si="387"/>
        <v>0</v>
      </c>
      <c r="B1827" s="737">
        <f>A1827/'Orbit Info'!$G$10</f>
        <v>0</v>
      </c>
      <c r="C1827" s="737" t="str">
        <f t="shared" si="380"/>
        <v>Housekeeping and events only</v>
      </c>
      <c r="D1827" s="737">
        <f t="shared" si="381"/>
        <v>1</v>
      </c>
      <c r="E1827" s="737" t="str">
        <f t="shared" si="382"/>
        <v>#VALUE!</v>
      </c>
      <c r="F1827" s="737">
        <v>1.0</v>
      </c>
      <c r="G1827" s="737" t="str">
        <f t="shared" si="383"/>
        <v>#VALUE!</v>
      </c>
      <c r="H1827" s="737" t="str">
        <f>MIN($Q$11/('Orbit Info'!G$10),$Q$8*60)</f>
        <v>#VALUE!</v>
      </c>
      <c r="I1827" s="737" t="str">
        <f>IF(D1827=1,$Q$12/'Data DownlinkStorage Budget'!$M$3,0)</f>
        <v>#VALUE!</v>
      </c>
      <c r="J1827" s="737" t="str">
        <f t="shared" si="388"/>
        <v>#VALUE!</v>
      </c>
      <c r="K1827" s="11"/>
      <c r="L1827" s="737" t="str">
        <f t="shared" si="385"/>
        <v>FOUND product plus housekeeping</v>
      </c>
      <c r="M1827" s="737" t="str">
        <f>MIN($Q$18,$Q$10*60)-IF(D1827=1,$Q$17/'Data DownlinkStorage Budget'!$M$3,0)</f>
        <v>#VALUE!</v>
      </c>
      <c r="N1827" s="182"/>
      <c r="O1827" s="737" t="str">
        <f t="shared" si="389"/>
        <v>#VALUE!</v>
      </c>
      <c r="P1827" s="11"/>
      <c r="Q1827" s="11"/>
      <c r="R1827" s="11"/>
      <c r="S1827" s="11"/>
      <c r="T1827" s="11"/>
      <c r="U1827" s="11"/>
      <c r="V1827" s="11"/>
      <c r="W1827" s="11"/>
      <c r="X1827" s="11"/>
      <c r="Y1827" s="11"/>
      <c r="Z1827" s="11"/>
      <c r="AA1827" s="11"/>
    </row>
    <row r="1828" ht="15.75" customHeight="1">
      <c r="A1828" s="737">
        <f t="shared" si="387"/>
        <v>0</v>
      </c>
      <c r="B1828" s="737">
        <f>A1828/'Orbit Info'!$G$10</f>
        <v>0</v>
      </c>
      <c r="C1828" s="737" t="str">
        <f t="shared" si="380"/>
        <v>Housekeeping and events only</v>
      </c>
      <c r="D1828" s="737">
        <f t="shared" si="381"/>
        <v>1</v>
      </c>
      <c r="E1828" s="737" t="str">
        <f t="shared" si="382"/>
        <v>#VALUE!</v>
      </c>
      <c r="F1828" s="737">
        <v>1.0</v>
      </c>
      <c r="G1828" s="737" t="str">
        <f t="shared" si="383"/>
        <v>#VALUE!</v>
      </c>
      <c r="H1828" s="737" t="str">
        <f>MIN($Q$11/('Orbit Info'!G$10),$Q$8*60)</f>
        <v>#VALUE!</v>
      </c>
      <c r="I1828" s="737" t="str">
        <f>IF(D1828=1,$Q$12/'Data DownlinkStorage Budget'!$M$3,0)</f>
        <v>#VALUE!</v>
      </c>
      <c r="J1828" s="737" t="str">
        <f t="shared" si="388"/>
        <v>#VALUE!</v>
      </c>
      <c r="K1828" s="11"/>
      <c r="L1828" s="737" t="str">
        <f t="shared" si="385"/>
        <v>FOUND product plus housekeeping</v>
      </c>
      <c r="M1828" s="737" t="str">
        <f>MIN($Q$18,$Q$10*60)-IF(D1828=1,$Q$17/'Data DownlinkStorage Budget'!$M$3,0)</f>
        <v>#VALUE!</v>
      </c>
      <c r="N1828" s="182"/>
      <c r="O1828" s="737" t="str">
        <f t="shared" si="389"/>
        <v>#VALUE!</v>
      </c>
      <c r="P1828" s="11"/>
      <c r="Q1828" s="11"/>
      <c r="R1828" s="11"/>
      <c r="S1828" s="11"/>
      <c r="T1828" s="11"/>
      <c r="U1828" s="11"/>
      <c r="V1828" s="11"/>
      <c r="W1828" s="11"/>
      <c r="X1828" s="11"/>
      <c r="Y1828" s="11"/>
      <c r="Z1828" s="11"/>
      <c r="AA1828" s="11"/>
    </row>
    <row r="1829" ht="15.75" customHeight="1">
      <c r="A1829" s="737">
        <f t="shared" si="387"/>
        <v>0</v>
      </c>
      <c r="B1829" s="737">
        <f>A1829/'Orbit Info'!$G$10</f>
        <v>0</v>
      </c>
      <c r="C1829" s="737" t="str">
        <f t="shared" si="380"/>
        <v>Housekeeping and events only</v>
      </c>
      <c r="D1829" s="737">
        <f t="shared" si="381"/>
        <v>1</v>
      </c>
      <c r="E1829" s="737" t="str">
        <f t="shared" si="382"/>
        <v>#VALUE!</v>
      </c>
      <c r="F1829" s="737">
        <v>1.0</v>
      </c>
      <c r="G1829" s="737" t="str">
        <f t="shared" si="383"/>
        <v>#VALUE!</v>
      </c>
      <c r="H1829" s="737" t="str">
        <f>MIN($Q$11/('Orbit Info'!G$10),$Q$8*60)</f>
        <v>#VALUE!</v>
      </c>
      <c r="I1829" s="737" t="str">
        <f>IF(D1829=1,$Q$12/'Data DownlinkStorage Budget'!$M$3,0)</f>
        <v>#VALUE!</v>
      </c>
      <c r="J1829" s="737" t="str">
        <f t="shared" si="388"/>
        <v>#VALUE!</v>
      </c>
      <c r="K1829" s="11"/>
      <c r="L1829" s="737" t="str">
        <f t="shared" si="385"/>
        <v>FOUND product plus housekeeping</v>
      </c>
      <c r="M1829" s="737" t="str">
        <f>MIN($Q$18,$Q$10*60)-IF(D1829=1,$Q$17/'Data DownlinkStorage Budget'!$M$3,0)</f>
        <v>#VALUE!</v>
      </c>
      <c r="N1829" s="182"/>
      <c r="O1829" s="737" t="str">
        <f t="shared" si="389"/>
        <v>#VALUE!</v>
      </c>
      <c r="P1829" s="11"/>
      <c r="Q1829" s="11"/>
      <c r="R1829" s="11"/>
      <c r="S1829" s="11"/>
      <c r="T1829" s="11"/>
      <c r="U1829" s="11"/>
      <c r="V1829" s="11"/>
      <c r="W1829" s="11"/>
      <c r="X1829" s="11"/>
      <c r="Y1829" s="11"/>
      <c r="Z1829" s="11"/>
      <c r="AA1829" s="11"/>
    </row>
    <row r="1830" ht="15.75" customHeight="1">
      <c r="A1830" s="737">
        <f t="shared" si="387"/>
        <v>0</v>
      </c>
      <c r="B1830" s="737">
        <f>A1830/'Orbit Info'!$G$10</f>
        <v>0</v>
      </c>
      <c r="C1830" s="737" t="str">
        <f t="shared" si="380"/>
        <v>Housekeeping and events only</v>
      </c>
      <c r="D1830" s="737">
        <f t="shared" si="381"/>
        <v>1</v>
      </c>
      <c r="E1830" s="737" t="str">
        <f t="shared" si="382"/>
        <v>#VALUE!</v>
      </c>
      <c r="F1830" s="737">
        <v>1.0</v>
      </c>
      <c r="G1830" s="737" t="str">
        <f t="shared" si="383"/>
        <v>#VALUE!</v>
      </c>
      <c r="H1830" s="737" t="str">
        <f>MIN($Q$11/('Orbit Info'!G$10),$Q$8*60)</f>
        <v>#VALUE!</v>
      </c>
      <c r="I1830" s="737" t="str">
        <f>IF(D1830=1,$Q$12/'Data DownlinkStorage Budget'!$M$3,0)</f>
        <v>#VALUE!</v>
      </c>
      <c r="J1830" s="737" t="str">
        <f t="shared" si="388"/>
        <v>#VALUE!</v>
      </c>
      <c r="K1830" s="11"/>
      <c r="L1830" s="737" t="str">
        <f t="shared" si="385"/>
        <v>FOUND product plus housekeeping</v>
      </c>
      <c r="M1830" s="737" t="str">
        <f>MIN($Q$18,$Q$10*60)-IF(D1830=1,$Q$17/'Data DownlinkStorage Budget'!$M$3,0)</f>
        <v>#VALUE!</v>
      </c>
      <c r="N1830" s="182"/>
      <c r="O1830" s="737" t="str">
        <f t="shared" si="389"/>
        <v>#VALUE!</v>
      </c>
      <c r="P1830" s="11"/>
      <c r="Q1830" s="11"/>
      <c r="R1830" s="11"/>
      <c r="S1830" s="11"/>
      <c r="T1830" s="11"/>
      <c r="U1830" s="11"/>
      <c r="V1830" s="11"/>
      <c r="W1830" s="11"/>
      <c r="X1830" s="11"/>
      <c r="Y1830" s="11"/>
      <c r="Z1830" s="11"/>
      <c r="AA1830" s="11"/>
    </row>
    <row r="1831" ht="15.75" customHeight="1">
      <c r="A1831" s="737">
        <f t="shared" si="387"/>
        <v>0</v>
      </c>
      <c r="B1831" s="737">
        <f>A1831/'Orbit Info'!$G$10</f>
        <v>0</v>
      </c>
      <c r="C1831" s="737" t="str">
        <f t="shared" si="380"/>
        <v>Housekeeping and events only</v>
      </c>
      <c r="D1831" s="737">
        <f t="shared" si="381"/>
        <v>1</v>
      </c>
      <c r="E1831" s="737" t="str">
        <f t="shared" si="382"/>
        <v>#VALUE!</v>
      </c>
      <c r="F1831" s="737">
        <v>1.0</v>
      </c>
      <c r="G1831" s="737" t="str">
        <f t="shared" si="383"/>
        <v>#VALUE!</v>
      </c>
      <c r="H1831" s="737" t="str">
        <f>MIN($Q$11/('Orbit Info'!G$10),$Q$8*60)</f>
        <v>#VALUE!</v>
      </c>
      <c r="I1831" s="737" t="str">
        <f>IF(D1831=1,$Q$12/'Data DownlinkStorage Budget'!$M$3,0)</f>
        <v>#VALUE!</v>
      </c>
      <c r="J1831" s="737" t="str">
        <f t="shared" si="388"/>
        <v>#VALUE!</v>
      </c>
      <c r="K1831" s="11"/>
      <c r="L1831" s="737" t="str">
        <f t="shared" si="385"/>
        <v>FOUND product plus housekeeping</v>
      </c>
      <c r="M1831" s="737" t="str">
        <f>MIN($Q$18,$Q$10*60)-IF(D1831=1,$Q$17/'Data DownlinkStorage Budget'!$M$3,0)</f>
        <v>#VALUE!</v>
      </c>
      <c r="N1831" s="182"/>
      <c r="O1831" s="737" t="str">
        <f t="shared" si="389"/>
        <v>#VALUE!</v>
      </c>
      <c r="P1831" s="11"/>
      <c r="Q1831" s="11"/>
      <c r="R1831" s="11"/>
      <c r="S1831" s="11"/>
      <c r="T1831" s="11"/>
      <c r="U1831" s="11"/>
      <c r="V1831" s="11"/>
      <c r="W1831" s="11"/>
      <c r="X1831" s="11"/>
      <c r="Y1831" s="11"/>
      <c r="Z1831" s="11"/>
      <c r="AA1831" s="11"/>
    </row>
    <row r="1832" ht="15.75" customHeight="1">
      <c r="A1832" s="737">
        <f t="shared" si="387"/>
        <v>0</v>
      </c>
      <c r="B1832" s="737">
        <f>A1832/'Orbit Info'!$G$10</f>
        <v>0</v>
      </c>
      <c r="C1832" s="737" t="str">
        <f t="shared" si="380"/>
        <v>Housekeeping and events only</v>
      </c>
      <c r="D1832" s="737">
        <f t="shared" si="381"/>
        <v>1</v>
      </c>
      <c r="E1832" s="737" t="str">
        <f t="shared" si="382"/>
        <v>#VALUE!</v>
      </c>
      <c r="F1832" s="737">
        <v>1.0</v>
      </c>
      <c r="G1832" s="737" t="str">
        <f t="shared" si="383"/>
        <v>#VALUE!</v>
      </c>
      <c r="H1832" s="737" t="str">
        <f>MIN($Q$11/('Orbit Info'!G$10),$Q$8*60)</f>
        <v>#VALUE!</v>
      </c>
      <c r="I1832" s="737" t="str">
        <f>IF(D1832=1,$Q$12/'Data DownlinkStorage Budget'!$M$3,0)</f>
        <v>#VALUE!</v>
      </c>
      <c r="J1832" s="737" t="str">
        <f t="shared" si="388"/>
        <v>#VALUE!</v>
      </c>
      <c r="K1832" s="11"/>
      <c r="L1832" s="737" t="str">
        <f t="shared" si="385"/>
        <v>FOUND product plus housekeeping</v>
      </c>
      <c r="M1832" s="737" t="str">
        <f>MIN($Q$18,$Q$10*60)-IF(D1832=1,$Q$17/'Data DownlinkStorage Budget'!$M$3,0)</f>
        <v>#VALUE!</v>
      </c>
      <c r="N1832" s="182"/>
      <c r="O1832" s="737" t="str">
        <f t="shared" si="389"/>
        <v>#VALUE!</v>
      </c>
      <c r="P1832" s="11"/>
      <c r="Q1832" s="11"/>
      <c r="R1832" s="11"/>
      <c r="S1832" s="11"/>
      <c r="T1832" s="11"/>
      <c r="U1832" s="11"/>
      <c r="V1832" s="11"/>
      <c r="W1832" s="11"/>
      <c r="X1832" s="11"/>
      <c r="Y1832" s="11"/>
      <c r="Z1832" s="11"/>
      <c r="AA1832" s="11"/>
    </row>
    <row r="1833" ht="15.75" customHeight="1">
      <c r="A1833" s="737">
        <f t="shared" si="387"/>
        <v>0</v>
      </c>
      <c r="B1833" s="737">
        <f>A1833/'Orbit Info'!$G$10</f>
        <v>0</v>
      </c>
      <c r="C1833" s="737" t="str">
        <f t="shared" si="380"/>
        <v>Housekeeping and events only</v>
      </c>
      <c r="D1833" s="737">
        <f t="shared" si="381"/>
        <v>1</v>
      </c>
      <c r="E1833" s="737" t="str">
        <f t="shared" si="382"/>
        <v>#VALUE!</v>
      </c>
      <c r="F1833" s="737">
        <v>1.0</v>
      </c>
      <c r="G1833" s="737" t="str">
        <f t="shared" si="383"/>
        <v>#VALUE!</v>
      </c>
      <c r="H1833" s="737" t="str">
        <f>MIN($Q$11/('Orbit Info'!G$10),$Q$8*60)</f>
        <v>#VALUE!</v>
      </c>
      <c r="I1833" s="737" t="str">
        <f>IF(D1833=1,$Q$12/'Data DownlinkStorage Budget'!$M$3,0)</f>
        <v>#VALUE!</v>
      </c>
      <c r="J1833" s="737" t="str">
        <f t="shared" si="388"/>
        <v>#VALUE!</v>
      </c>
      <c r="K1833" s="11"/>
      <c r="L1833" s="737" t="str">
        <f t="shared" si="385"/>
        <v>FOUND product plus housekeeping</v>
      </c>
      <c r="M1833" s="737" t="str">
        <f>MIN($Q$18,$Q$10*60)-IF(D1833=1,$Q$17/'Data DownlinkStorage Budget'!$M$3,0)</f>
        <v>#VALUE!</v>
      </c>
      <c r="N1833" s="182"/>
      <c r="O1833" s="737" t="str">
        <f t="shared" si="389"/>
        <v>#VALUE!</v>
      </c>
      <c r="P1833" s="11"/>
      <c r="Q1833" s="11"/>
      <c r="R1833" s="11"/>
      <c r="S1833" s="11"/>
      <c r="T1833" s="11"/>
      <c r="U1833" s="11"/>
      <c r="V1833" s="11"/>
      <c r="W1833" s="11"/>
      <c r="X1833" s="11"/>
      <c r="Y1833" s="11"/>
      <c r="Z1833" s="11"/>
      <c r="AA1833" s="11"/>
    </row>
    <row r="1834" ht="15.75" customHeight="1">
      <c r="A1834" s="737">
        <f t="shared" si="387"/>
        <v>0</v>
      </c>
      <c r="B1834" s="737">
        <f>A1834/'Orbit Info'!$G$10</f>
        <v>0</v>
      </c>
      <c r="C1834" s="737" t="str">
        <f t="shared" si="380"/>
        <v>Housekeeping and events only</v>
      </c>
      <c r="D1834" s="737">
        <f t="shared" si="381"/>
        <v>1</v>
      </c>
      <c r="E1834" s="737" t="str">
        <f t="shared" si="382"/>
        <v>#VALUE!</v>
      </c>
      <c r="F1834" s="737">
        <v>1.0</v>
      </c>
      <c r="G1834" s="737" t="str">
        <f t="shared" si="383"/>
        <v>#VALUE!</v>
      </c>
      <c r="H1834" s="737" t="str">
        <f>MIN($Q$11/('Orbit Info'!G$10),$Q$8*60)</f>
        <v>#VALUE!</v>
      </c>
      <c r="I1834" s="737" t="str">
        <f>IF(D1834=1,$Q$12/'Data DownlinkStorage Budget'!$M$3,0)</f>
        <v>#VALUE!</v>
      </c>
      <c r="J1834" s="737" t="str">
        <f t="shared" si="388"/>
        <v>#VALUE!</v>
      </c>
      <c r="K1834" s="11"/>
      <c r="L1834" s="737" t="str">
        <f t="shared" si="385"/>
        <v>FOUND product plus housekeeping</v>
      </c>
      <c r="M1834" s="737" t="str">
        <f>MIN($Q$18,$Q$10*60)-IF(D1834=1,$Q$17/'Data DownlinkStorage Budget'!$M$3,0)</f>
        <v>#VALUE!</v>
      </c>
      <c r="N1834" s="182"/>
      <c r="O1834" s="737" t="str">
        <f t="shared" si="389"/>
        <v>#VALUE!</v>
      </c>
      <c r="P1834" s="11"/>
      <c r="Q1834" s="11"/>
      <c r="R1834" s="11"/>
      <c r="S1834" s="11"/>
      <c r="T1834" s="11"/>
      <c r="U1834" s="11"/>
      <c r="V1834" s="11"/>
      <c r="W1834" s="11"/>
      <c r="X1834" s="11"/>
      <c r="Y1834" s="11"/>
      <c r="Z1834" s="11"/>
      <c r="AA1834" s="11"/>
    </row>
    <row r="1835" ht="15.75" customHeight="1">
      <c r="A1835" s="737">
        <f t="shared" si="387"/>
        <v>0</v>
      </c>
      <c r="B1835" s="737">
        <f>A1835/'Orbit Info'!$G$10</f>
        <v>0</v>
      </c>
      <c r="C1835" s="737" t="str">
        <f t="shared" si="380"/>
        <v>Housekeeping and events only</v>
      </c>
      <c r="D1835" s="737">
        <f t="shared" si="381"/>
        <v>1</v>
      </c>
      <c r="E1835" s="737" t="str">
        <f t="shared" si="382"/>
        <v>#VALUE!</v>
      </c>
      <c r="F1835" s="737">
        <v>1.0</v>
      </c>
      <c r="G1835" s="737" t="str">
        <f t="shared" si="383"/>
        <v>#VALUE!</v>
      </c>
      <c r="H1835" s="737" t="str">
        <f>MIN($Q$11/('Orbit Info'!G$10),$Q$8*60)</f>
        <v>#VALUE!</v>
      </c>
      <c r="I1835" s="737" t="str">
        <f>IF(D1835=1,$Q$12/'Data DownlinkStorage Budget'!$M$3,0)</f>
        <v>#VALUE!</v>
      </c>
      <c r="J1835" s="737" t="str">
        <f t="shared" si="388"/>
        <v>#VALUE!</v>
      </c>
      <c r="K1835" s="11"/>
      <c r="L1835" s="737" t="str">
        <f t="shared" si="385"/>
        <v>FOUND product plus housekeeping</v>
      </c>
      <c r="M1835" s="737" t="str">
        <f>MIN($Q$18,$Q$10*60)-IF(D1835=1,$Q$17/'Data DownlinkStorage Budget'!$M$3,0)</f>
        <v>#VALUE!</v>
      </c>
      <c r="N1835" s="182"/>
      <c r="O1835" s="737" t="str">
        <f t="shared" si="389"/>
        <v>#VALUE!</v>
      </c>
      <c r="P1835" s="11"/>
      <c r="Q1835" s="11"/>
      <c r="R1835" s="11"/>
      <c r="S1835" s="11"/>
      <c r="T1835" s="11"/>
      <c r="U1835" s="11"/>
      <c r="V1835" s="11"/>
      <c r="W1835" s="11"/>
      <c r="X1835" s="11"/>
      <c r="Y1835" s="11"/>
      <c r="Z1835" s="11"/>
      <c r="AA1835" s="11"/>
    </row>
    <row r="1836" ht="15.75" customHeight="1">
      <c r="A1836" s="737">
        <f t="shared" si="387"/>
        <v>0</v>
      </c>
      <c r="B1836" s="737">
        <f>A1836/'Orbit Info'!$G$10</f>
        <v>0</v>
      </c>
      <c r="C1836" s="737" t="str">
        <f t="shared" si="380"/>
        <v>Housekeeping and events only</v>
      </c>
      <c r="D1836" s="737">
        <f t="shared" si="381"/>
        <v>1</v>
      </c>
      <c r="E1836" s="737" t="str">
        <f t="shared" si="382"/>
        <v>#VALUE!</v>
      </c>
      <c r="F1836" s="737">
        <v>1.0</v>
      </c>
      <c r="G1836" s="737" t="str">
        <f t="shared" si="383"/>
        <v>#VALUE!</v>
      </c>
      <c r="H1836" s="737" t="str">
        <f>MIN($Q$11/('Orbit Info'!G$10),$Q$8*60)</f>
        <v>#VALUE!</v>
      </c>
      <c r="I1836" s="737" t="str">
        <f>IF(D1836=1,$Q$12/'Data DownlinkStorage Budget'!$M$3,0)</f>
        <v>#VALUE!</v>
      </c>
      <c r="J1836" s="737" t="str">
        <f t="shared" si="388"/>
        <v>#VALUE!</v>
      </c>
      <c r="K1836" s="11"/>
      <c r="L1836" s="737" t="str">
        <f t="shared" si="385"/>
        <v>FOUND product plus housekeeping</v>
      </c>
      <c r="M1836" s="737" t="str">
        <f>MIN($Q$18,$Q$10*60)-IF(D1836=1,$Q$17/'Data DownlinkStorage Budget'!$M$3,0)</f>
        <v>#VALUE!</v>
      </c>
      <c r="N1836" s="182"/>
      <c r="O1836" s="737" t="str">
        <f t="shared" si="389"/>
        <v>#VALUE!</v>
      </c>
      <c r="P1836" s="11"/>
      <c r="Q1836" s="11"/>
      <c r="R1836" s="11"/>
      <c r="S1836" s="11"/>
      <c r="T1836" s="11"/>
      <c r="U1836" s="11"/>
      <c r="V1836" s="11"/>
      <c r="W1836" s="11"/>
      <c r="X1836" s="11"/>
      <c r="Y1836" s="11"/>
      <c r="Z1836" s="11"/>
      <c r="AA1836" s="11"/>
    </row>
    <row r="1837" ht="15.75" customHeight="1">
      <c r="A1837" s="737">
        <f t="shared" si="387"/>
        <v>0</v>
      </c>
      <c r="B1837" s="737">
        <f>A1837/'Orbit Info'!$G$10</f>
        <v>0</v>
      </c>
      <c r="C1837" s="737" t="str">
        <f t="shared" si="380"/>
        <v>Housekeeping and events only</v>
      </c>
      <c r="D1837" s="737">
        <f t="shared" si="381"/>
        <v>1</v>
      </c>
      <c r="E1837" s="737" t="str">
        <f t="shared" si="382"/>
        <v>#VALUE!</v>
      </c>
      <c r="F1837" s="737">
        <v>1.0</v>
      </c>
      <c r="G1837" s="737" t="str">
        <f t="shared" si="383"/>
        <v>#VALUE!</v>
      </c>
      <c r="H1837" s="737" t="str">
        <f>MIN($Q$11/('Orbit Info'!G$10),$Q$8*60)</f>
        <v>#VALUE!</v>
      </c>
      <c r="I1837" s="737" t="str">
        <f>IF(D1837=1,$Q$12/'Data DownlinkStorage Budget'!$M$3,0)</f>
        <v>#VALUE!</v>
      </c>
      <c r="J1837" s="737" t="str">
        <f t="shared" si="388"/>
        <v>#VALUE!</v>
      </c>
      <c r="K1837" s="11"/>
      <c r="L1837" s="737" t="str">
        <f t="shared" si="385"/>
        <v>FOUND product plus housekeeping</v>
      </c>
      <c r="M1837" s="737" t="str">
        <f>MIN($Q$18,$Q$10*60)-IF(D1837=1,$Q$17/'Data DownlinkStorage Budget'!$M$3,0)</f>
        <v>#VALUE!</v>
      </c>
      <c r="N1837" s="182"/>
      <c r="O1837" s="737" t="str">
        <f t="shared" si="389"/>
        <v>#VALUE!</v>
      </c>
      <c r="P1837" s="11"/>
      <c r="Q1837" s="11"/>
      <c r="R1837" s="11"/>
      <c r="S1837" s="11"/>
      <c r="T1837" s="11"/>
      <c r="U1837" s="11"/>
      <c r="V1837" s="11"/>
      <c r="W1837" s="11"/>
      <c r="X1837" s="11"/>
      <c r="Y1837" s="11"/>
      <c r="Z1837" s="11"/>
      <c r="AA1837" s="11"/>
    </row>
    <row r="1838" ht="15.75" customHeight="1">
      <c r="A1838" s="737">
        <f t="shared" si="387"/>
        <v>0</v>
      </c>
      <c r="B1838" s="737">
        <f>A1838/'Orbit Info'!$G$10</f>
        <v>0</v>
      </c>
      <c r="C1838" s="737" t="str">
        <f t="shared" si="380"/>
        <v>Housekeeping and events only</v>
      </c>
      <c r="D1838" s="737">
        <f t="shared" si="381"/>
        <v>1</v>
      </c>
      <c r="E1838" s="737" t="str">
        <f t="shared" si="382"/>
        <v>#VALUE!</v>
      </c>
      <c r="F1838" s="737">
        <v>1.0</v>
      </c>
      <c r="G1838" s="737" t="str">
        <f t="shared" si="383"/>
        <v>#VALUE!</v>
      </c>
      <c r="H1838" s="737" t="str">
        <f>MIN($Q$11/('Orbit Info'!G$10),$Q$8*60)</f>
        <v>#VALUE!</v>
      </c>
      <c r="I1838" s="737" t="str">
        <f>IF(D1838=1,$Q$12/'Data DownlinkStorage Budget'!$M$3,0)</f>
        <v>#VALUE!</v>
      </c>
      <c r="J1838" s="737" t="str">
        <f t="shared" si="388"/>
        <v>#VALUE!</v>
      </c>
      <c r="K1838" s="11"/>
      <c r="L1838" s="737" t="str">
        <f t="shared" si="385"/>
        <v>FOUND product plus housekeeping</v>
      </c>
      <c r="M1838" s="737" t="str">
        <f>MIN($Q$18,$Q$10*60)-IF(D1838=1,$Q$17/'Data DownlinkStorage Budget'!$M$3,0)</f>
        <v>#VALUE!</v>
      </c>
      <c r="N1838" s="182"/>
      <c r="O1838" s="737" t="str">
        <f t="shared" si="389"/>
        <v>#VALUE!</v>
      </c>
      <c r="P1838" s="11"/>
      <c r="Q1838" s="11"/>
      <c r="R1838" s="11"/>
      <c r="S1838" s="11"/>
      <c r="T1838" s="11"/>
      <c r="U1838" s="11"/>
      <c r="V1838" s="11"/>
      <c r="W1838" s="11"/>
      <c r="X1838" s="11"/>
      <c r="Y1838" s="11"/>
      <c r="Z1838" s="11"/>
      <c r="AA1838" s="11"/>
    </row>
    <row r="1839" ht="15.75" customHeight="1">
      <c r="A1839" s="737">
        <f t="shared" si="387"/>
        <v>0</v>
      </c>
      <c r="B1839" s="737">
        <f>A1839/'Orbit Info'!$G$10</f>
        <v>0</v>
      </c>
      <c r="C1839" s="737" t="str">
        <f t="shared" si="380"/>
        <v>Housekeeping and events only</v>
      </c>
      <c r="D1839" s="737">
        <f t="shared" si="381"/>
        <v>1</v>
      </c>
      <c r="E1839" s="737" t="str">
        <f t="shared" si="382"/>
        <v>#VALUE!</v>
      </c>
      <c r="F1839" s="737">
        <v>1.0</v>
      </c>
      <c r="G1839" s="737" t="str">
        <f t="shared" si="383"/>
        <v>#VALUE!</v>
      </c>
      <c r="H1839" s="737" t="str">
        <f>MIN($Q$11/('Orbit Info'!G$10),$Q$8*60)</f>
        <v>#VALUE!</v>
      </c>
      <c r="I1839" s="737" t="str">
        <f>IF(D1839=1,$Q$12/'Data DownlinkStorage Budget'!$M$3,0)</f>
        <v>#VALUE!</v>
      </c>
      <c r="J1839" s="737" t="str">
        <f t="shared" si="388"/>
        <v>#VALUE!</v>
      </c>
      <c r="K1839" s="11"/>
      <c r="L1839" s="737" t="str">
        <f t="shared" si="385"/>
        <v>FOUND product plus housekeeping</v>
      </c>
      <c r="M1839" s="737" t="str">
        <f>MIN($Q$18,$Q$10*60)-IF(D1839=1,$Q$17/'Data DownlinkStorage Budget'!$M$3,0)</f>
        <v>#VALUE!</v>
      </c>
      <c r="N1839" s="182"/>
      <c r="O1839" s="737" t="str">
        <f t="shared" si="389"/>
        <v>#VALUE!</v>
      </c>
      <c r="P1839" s="11"/>
      <c r="Q1839" s="11"/>
      <c r="R1839" s="11"/>
      <c r="S1839" s="11"/>
      <c r="T1839" s="11"/>
      <c r="U1839" s="11"/>
      <c r="V1839" s="11"/>
      <c r="W1839" s="11"/>
      <c r="X1839" s="11"/>
      <c r="Y1839" s="11"/>
      <c r="Z1839" s="11"/>
      <c r="AA1839" s="11"/>
    </row>
    <row r="1840" ht="15.75" customHeight="1">
      <c r="A1840" s="737">
        <f t="shared" si="387"/>
        <v>0</v>
      </c>
      <c r="B1840" s="737">
        <f>A1840/'Orbit Info'!$G$10</f>
        <v>0</v>
      </c>
      <c r="C1840" s="737" t="str">
        <f t="shared" si="380"/>
        <v>Housekeeping and events only</v>
      </c>
      <c r="D1840" s="737">
        <f t="shared" si="381"/>
        <v>1</v>
      </c>
      <c r="E1840" s="737" t="str">
        <f t="shared" si="382"/>
        <v>#VALUE!</v>
      </c>
      <c r="F1840" s="737">
        <v>1.0</v>
      </c>
      <c r="G1840" s="737" t="str">
        <f t="shared" si="383"/>
        <v>#VALUE!</v>
      </c>
      <c r="H1840" s="737" t="str">
        <f>MIN($Q$11/('Orbit Info'!G$10),$Q$8*60)</f>
        <v>#VALUE!</v>
      </c>
      <c r="I1840" s="737" t="str">
        <f>IF(D1840=1,$Q$12/'Data DownlinkStorage Budget'!$M$3,0)</f>
        <v>#VALUE!</v>
      </c>
      <c r="J1840" s="737" t="str">
        <f t="shared" si="388"/>
        <v>#VALUE!</v>
      </c>
      <c r="K1840" s="11"/>
      <c r="L1840" s="737" t="str">
        <f t="shared" si="385"/>
        <v>FOUND product plus housekeeping</v>
      </c>
      <c r="M1840" s="737" t="str">
        <f>MIN($Q$18,$Q$10*60)-IF(D1840=1,$Q$17/'Data DownlinkStorage Budget'!$M$3,0)</f>
        <v>#VALUE!</v>
      </c>
      <c r="N1840" s="182"/>
      <c r="O1840" s="737" t="str">
        <f t="shared" si="389"/>
        <v>#VALUE!</v>
      </c>
      <c r="P1840" s="11"/>
      <c r="Q1840" s="11"/>
      <c r="R1840" s="11"/>
      <c r="S1840" s="11"/>
      <c r="T1840" s="11"/>
      <c r="U1840" s="11"/>
      <c r="V1840" s="11"/>
      <c r="W1840" s="11"/>
      <c r="X1840" s="11"/>
      <c r="Y1840" s="11"/>
      <c r="Z1840" s="11"/>
      <c r="AA1840" s="11"/>
    </row>
    <row r="1841" ht="15.75" customHeight="1">
      <c r="A1841" s="737">
        <f t="shared" si="387"/>
        <v>0</v>
      </c>
      <c r="B1841" s="737">
        <f>A1841/'Orbit Info'!$G$10</f>
        <v>0</v>
      </c>
      <c r="C1841" s="737" t="str">
        <f t="shared" si="380"/>
        <v>Housekeeping and events only</v>
      </c>
      <c r="D1841" s="737">
        <f t="shared" si="381"/>
        <v>1</v>
      </c>
      <c r="E1841" s="737" t="str">
        <f t="shared" si="382"/>
        <v>#VALUE!</v>
      </c>
      <c r="F1841" s="737">
        <v>1.0</v>
      </c>
      <c r="G1841" s="737" t="str">
        <f t="shared" si="383"/>
        <v>#VALUE!</v>
      </c>
      <c r="H1841" s="737" t="str">
        <f>MIN($Q$11/('Orbit Info'!G$10),$Q$8*60)</f>
        <v>#VALUE!</v>
      </c>
      <c r="I1841" s="737" t="str">
        <f>IF(D1841=1,$Q$12/'Data DownlinkStorage Budget'!$M$3,0)</f>
        <v>#VALUE!</v>
      </c>
      <c r="J1841" s="737" t="str">
        <f t="shared" si="388"/>
        <v>#VALUE!</v>
      </c>
      <c r="K1841" s="11"/>
      <c r="L1841" s="737" t="str">
        <f t="shared" si="385"/>
        <v>FOUND product plus housekeeping</v>
      </c>
      <c r="M1841" s="737" t="str">
        <f>MIN($Q$18,$Q$10*60)-IF(D1841=1,$Q$17/'Data DownlinkStorage Budget'!$M$3,0)</f>
        <v>#VALUE!</v>
      </c>
      <c r="N1841" s="182"/>
      <c r="O1841" s="737" t="str">
        <f t="shared" si="389"/>
        <v>#VALUE!</v>
      </c>
      <c r="P1841" s="11"/>
      <c r="Q1841" s="11"/>
      <c r="R1841" s="11"/>
      <c r="S1841" s="11"/>
      <c r="T1841" s="11"/>
      <c r="U1841" s="11"/>
      <c r="V1841" s="11"/>
      <c r="W1841" s="11"/>
      <c r="X1841" s="11"/>
      <c r="Y1841" s="11"/>
      <c r="Z1841" s="11"/>
      <c r="AA1841" s="11"/>
    </row>
    <row r="1842" ht="15.75" customHeight="1">
      <c r="A1842" s="737">
        <f t="shared" si="387"/>
        <v>0</v>
      </c>
      <c r="B1842" s="737">
        <f>A1842/'Orbit Info'!$G$10</f>
        <v>0</v>
      </c>
      <c r="C1842" s="737" t="str">
        <f t="shared" si="380"/>
        <v>Housekeeping and events only</v>
      </c>
      <c r="D1842" s="737">
        <f t="shared" si="381"/>
        <v>1</v>
      </c>
      <c r="E1842" s="737" t="str">
        <f t="shared" si="382"/>
        <v>#VALUE!</v>
      </c>
      <c r="F1842" s="737">
        <v>1.0</v>
      </c>
      <c r="G1842" s="737" t="str">
        <f t="shared" si="383"/>
        <v>#VALUE!</v>
      </c>
      <c r="H1842" s="737" t="str">
        <f>MIN($Q$11/('Orbit Info'!G$10),$Q$8*60)</f>
        <v>#VALUE!</v>
      </c>
      <c r="I1842" s="737" t="str">
        <f>IF(D1842=1,$Q$12/'Data DownlinkStorage Budget'!$M$3,0)</f>
        <v>#VALUE!</v>
      </c>
      <c r="J1842" s="737" t="str">
        <f t="shared" si="388"/>
        <v>#VALUE!</v>
      </c>
      <c r="K1842" s="11"/>
      <c r="L1842" s="737" t="str">
        <f t="shared" si="385"/>
        <v>FOUND product plus housekeeping</v>
      </c>
      <c r="M1842" s="737" t="str">
        <f>MIN($Q$18,$Q$10*60)-IF(D1842=1,$Q$17/'Data DownlinkStorage Budget'!$M$3,0)</f>
        <v>#VALUE!</v>
      </c>
      <c r="N1842" s="182"/>
      <c r="O1842" s="737" t="str">
        <f t="shared" si="389"/>
        <v>#VALUE!</v>
      </c>
      <c r="P1842" s="11"/>
      <c r="Q1842" s="11"/>
      <c r="R1842" s="11"/>
      <c r="S1842" s="11"/>
      <c r="T1842" s="11"/>
      <c r="U1842" s="11"/>
      <c r="V1842" s="11"/>
      <c r="W1842" s="11"/>
      <c r="X1842" s="11"/>
      <c r="Y1842" s="11"/>
      <c r="Z1842" s="11"/>
      <c r="AA1842" s="11"/>
    </row>
    <row r="1843" ht="15.75" customHeight="1">
      <c r="A1843" s="737">
        <f t="shared" si="387"/>
        <v>0</v>
      </c>
      <c r="B1843" s="737">
        <f>A1843/'Orbit Info'!$G$10</f>
        <v>0</v>
      </c>
      <c r="C1843" s="737" t="str">
        <f t="shared" si="380"/>
        <v>Housekeeping and events only</v>
      </c>
      <c r="D1843" s="737">
        <f t="shared" si="381"/>
        <v>1</v>
      </c>
      <c r="E1843" s="737" t="str">
        <f t="shared" si="382"/>
        <v>#VALUE!</v>
      </c>
      <c r="F1843" s="737">
        <v>1.0</v>
      </c>
      <c r="G1843" s="737" t="str">
        <f t="shared" si="383"/>
        <v>#VALUE!</v>
      </c>
      <c r="H1843" s="737" t="str">
        <f>MIN($Q$11/('Orbit Info'!G$10),$Q$8*60)</f>
        <v>#VALUE!</v>
      </c>
      <c r="I1843" s="737" t="str">
        <f>IF(D1843=1,$Q$12/'Data DownlinkStorage Budget'!$M$3,0)</f>
        <v>#VALUE!</v>
      </c>
      <c r="J1843" s="737" t="str">
        <f t="shared" si="388"/>
        <v>#VALUE!</v>
      </c>
      <c r="K1843" s="11"/>
      <c r="L1843" s="737" t="str">
        <f t="shared" si="385"/>
        <v>FOUND product plus housekeeping</v>
      </c>
      <c r="M1843" s="737" t="str">
        <f>MIN($Q$18,$Q$10*60)-IF(D1843=1,$Q$17/'Data DownlinkStorage Budget'!$M$3,0)</f>
        <v>#VALUE!</v>
      </c>
      <c r="N1843" s="182"/>
      <c r="O1843" s="737" t="str">
        <f t="shared" si="389"/>
        <v>#VALUE!</v>
      </c>
      <c r="P1843" s="11"/>
      <c r="Q1843" s="11"/>
      <c r="R1843" s="11"/>
      <c r="S1843" s="11"/>
      <c r="T1843" s="11"/>
      <c r="U1843" s="11"/>
      <c r="V1843" s="11"/>
      <c r="W1843" s="11"/>
      <c r="X1843" s="11"/>
      <c r="Y1843" s="11"/>
      <c r="Z1843" s="11"/>
      <c r="AA1843" s="11"/>
    </row>
    <row r="1844" ht="15.75" customHeight="1">
      <c r="A1844" s="737">
        <f t="shared" si="387"/>
        <v>0</v>
      </c>
      <c r="B1844" s="737">
        <f>A1844/'Orbit Info'!$G$10</f>
        <v>0</v>
      </c>
      <c r="C1844" s="737" t="str">
        <f t="shared" si="380"/>
        <v>Housekeeping and events only</v>
      </c>
      <c r="D1844" s="737">
        <f t="shared" si="381"/>
        <v>1</v>
      </c>
      <c r="E1844" s="737" t="str">
        <f t="shared" si="382"/>
        <v>#VALUE!</v>
      </c>
      <c r="F1844" s="737">
        <v>1.0</v>
      </c>
      <c r="G1844" s="737" t="str">
        <f t="shared" si="383"/>
        <v>#VALUE!</v>
      </c>
      <c r="H1844" s="737" t="str">
        <f>MIN($Q$11/('Orbit Info'!G$10),$Q$8*60)</f>
        <v>#VALUE!</v>
      </c>
      <c r="I1844" s="737" t="str">
        <f>IF(D1844=1,$Q$12/'Data DownlinkStorage Budget'!$M$3,0)</f>
        <v>#VALUE!</v>
      </c>
      <c r="J1844" s="737" t="str">
        <f t="shared" si="388"/>
        <v>#VALUE!</v>
      </c>
      <c r="K1844" s="11"/>
      <c r="L1844" s="737" t="str">
        <f t="shared" si="385"/>
        <v>FOUND product plus housekeeping</v>
      </c>
      <c r="M1844" s="737" t="str">
        <f>MIN($Q$18,$Q$10*60)-IF(D1844=1,$Q$17/'Data DownlinkStorage Budget'!$M$3,0)</f>
        <v>#VALUE!</v>
      </c>
      <c r="N1844" s="182"/>
      <c r="O1844" s="737" t="str">
        <f t="shared" si="389"/>
        <v>#VALUE!</v>
      </c>
      <c r="P1844" s="11"/>
      <c r="Q1844" s="11"/>
      <c r="R1844" s="11"/>
      <c r="S1844" s="11"/>
      <c r="T1844" s="11"/>
      <c r="U1844" s="11"/>
      <c r="V1844" s="11"/>
      <c r="W1844" s="11"/>
      <c r="X1844" s="11"/>
      <c r="Y1844" s="11"/>
      <c r="Z1844" s="11"/>
      <c r="AA1844" s="11"/>
    </row>
    <row r="1845" ht="15.75" customHeight="1">
      <c r="A1845" s="737">
        <f t="shared" si="387"/>
        <v>0</v>
      </c>
      <c r="B1845" s="737">
        <f>A1845/'Orbit Info'!$G$10</f>
        <v>0</v>
      </c>
      <c r="C1845" s="737" t="str">
        <f t="shared" si="380"/>
        <v>Housekeeping and events only</v>
      </c>
      <c r="D1845" s="737">
        <f t="shared" si="381"/>
        <v>1</v>
      </c>
      <c r="E1845" s="737" t="str">
        <f t="shared" si="382"/>
        <v>#VALUE!</v>
      </c>
      <c r="F1845" s="737">
        <v>1.0</v>
      </c>
      <c r="G1845" s="737" t="str">
        <f t="shared" si="383"/>
        <v>#VALUE!</v>
      </c>
      <c r="H1845" s="737" t="str">
        <f>MIN($Q$11/('Orbit Info'!G$10),$Q$8*60)</f>
        <v>#VALUE!</v>
      </c>
      <c r="I1845" s="737" t="str">
        <f>IF(D1845=1,$Q$12/'Data DownlinkStorage Budget'!$M$3,0)</f>
        <v>#VALUE!</v>
      </c>
      <c r="J1845" s="737" t="str">
        <f t="shared" si="388"/>
        <v>#VALUE!</v>
      </c>
      <c r="K1845" s="11"/>
      <c r="L1845" s="737" t="str">
        <f t="shared" si="385"/>
        <v>FOUND product plus housekeeping</v>
      </c>
      <c r="M1845" s="737" t="str">
        <f>MIN($Q$18,$Q$10*60)-IF(D1845=1,$Q$17/'Data DownlinkStorage Budget'!$M$3,0)</f>
        <v>#VALUE!</v>
      </c>
      <c r="N1845" s="182"/>
      <c r="O1845" s="737" t="str">
        <f t="shared" si="389"/>
        <v>#VALUE!</v>
      </c>
      <c r="P1845" s="11"/>
      <c r="Q1845" s="11"/>
      <c r="R1845" s="11"/>
      <c r="S1845" s="11"/>
      <c r="T1845" s="11"/>
      <c r="U1845" s="11"/>
      <c r="V1845" s="11"/>
      <c r="W1845" s="11"/>
      <c r="X1845" s="11"/>
      <c r="Y1845" s="11"/>
      <c r="Z1845" s="11"/>
      <c r="AA1845" s="11"/>
    </row>
    <row r="1846" ht="15.75" customHeight="1">
      <c r="A1846" s="737">
        <f t="shared" si="387"/>
        <v>0</v>
      </c>
      <c r="B1846" s="737">
        <f>A1846/'Orbit Info'!$G$10</f>
        <v>0</v>
      </c>
      <c r="C1846" s="737" t="str">
        <f t="shared" si="380"/>
        <v>Housekeeping and events only</v>
      </c>
      <c r="D1846" s="737">
        <f t="shared" si="381"/>
        <v>1</v>
      </c>
      <c r="E1846" s="737" t="str">
        <f t="shared" si="382"/>
        <v>#VALUE!</v>
      </c>
      <c r="F1846" s="737">
        <v>1.0</v>
      </c>
      <c r="G1846" s="737" t="str">
        <f t="shared" si="383"/>
        <v>#VALUE!</v>
      </c>
      <c r="H1846" s="737" t="str">
        <f>MIN($Q$11/('Orbit Info'!G$10),$Q$8*60)</f>
        <v>#VALUE!</v>
      </c>
      <c r="I1846" s="737" t="str">
        <f>IF(D1846=1,$Q$12/'Data DownlinkStorage Budget'!$M$3,0)</f>
        <v>#VALUE!</v>
      </c>
      <c r="J1846" s="737" t="str">
        <f t="shared" si="388"/>
        <v>#VALUE!</v>
      </c>
      <c r="K1846" s="11"/>
      <c r="L1846" s="737" t="str">
        <f t="shared" si="385"/>
        <v>FOUND product plus housekeeping</v>
      </c>
      <c r="M1846" s="737" t="str">
        <f>MIN($Q$18,$Q$10*60)-IF(D1846=1,$Q$17/'Data DownlinkStorage Budget'!$M$3,0)</f>
        <v>#VALUE!</v>
      </c>
      <c r="N1846" s="182"/>
      <c r="O1846" s="737" t="str">
        <f t="shared" si="389"/>
        <v>#VALUE!</v>
      </c>
      <c r="P1846" s="11"/>
      <c r="Q1846" s="11"/>
      <c r="R1846" s="11"/>
      <c r="S1846" s="11"/>
      <c r="T1846" s="11"/>
      <c r="U1846" s="11"/>
      <c r="V1846" s="11"/>
      <c r="W1846" s="11"/>
      <c r="X1846" s="11"/>
      <c r="Y1846" s="11"/>
      <c r="Z1846" s="11"/>
      <c r="AA1846" s="11"/>
    </row>
    <row r="1847" ht="15.75" customHeight="1">
      <c r="A1847" s="737">
        <f t="shared" si="387"/>
        <v>0</v>
      </c>
      <c r="B1847" s="737">
        <f>A1847/'Orbit Info'!$G$10</f>
        <v>0</v>
      </c>
      <c r="C1847" s="737" t="str">
        <f t="shared" si="380"/>
        <v>Housekeeping and events only</v>
      </c>
      <c r="D1847" s="737">
        <f t="shared" si="381"/>
        <v>1</v>
      </c>
      <c r="E1847" s="737" t="str">
        <f t="shared" si="382"/>
        <v>#VALUE!</v>
      </c>
      <c r="F1847" s="737">
        <v>1.0</v>
      </c>
      <c r="G1847" s="737" t="str">
        <f t="shared" si="383"/>
        <v>#VALUE!</v>
      </c>
      <c r="H1847" s="737" t="str">
        <f>MIN($Q$11/('Orbit Info'!G$10),$Q$8*60)</f>
        <v>#VALUE!</v>
      </c>
      <c r="I1847" s="737" t="str">
        <f>IF(D1847=1,$Q$12/'Data DownlinkStorage Budget'!$M$3,0)</f>
        <v>#VALUE!</v>
      </c>
      <c r="J1847" s="737" t="str">
        <f t="shared" si="388"/>
        <v>#VALUE!</v>
      </c>
      <c r="K1847" s="11"/>
      <c r="L1847" s="737" t="str">
        <f t="shared" si="385"/>
        <v>FOUND product plus housekeeping</v>
      </c>
      <c r="M1847" s="737" t="str">
        <f>MIN($Q$18,$Q$10*60)-IF(D1847=1,$Q$17/'Data DownlinkStorage Budget'!$M$3,0)</f>
        <v>#VALUE!</v>
      </c>
      <c r="N1847" s="182"/>
      <c r="O1847" s="737" t="str">
        <f t="shared" si="389"/>
        <v>#VALUE!</v>
      </c>
      <c r="P1847" s="11"/>
      <c r="Q1847" s="11"/>
      <c r="R1847" s="11"/>
      <c r="S1847" s="11"/>
      <c r="T1847" s="11"/>
      <c r="U1847" s="11"/>
      <c r="V1847" s="11"/>
      <c r="W1847" s="11"/>
      <c r="X1847" s="11"/>
      <c r="Y1847" s="11"/>
      <c r="Z1847" s="11"/>
      <c r="AA1847" s="11"/>
    </row>
    <row r="1848" ht="15.75" customHeight="1">
      <c r="A1848" s="737">
        <f t="shared" si="387"/>
        <v>0</v>
      </c>
      <c r="B1848" s="737">
        <f>A1848/'Orbit Info'!$G$10</f>
        <v>0</v>
      </c>
      <c r="C1848" s="737" t="str">
        <f t="shared" si="380"/>
        <v>Housekeeping and events only</v>
      </c>
      <c r="D1848" s="737">
        <f t="shared" si="381"/>
        <v>1</v>
      </c>
      <c r="E1848" s="737" t="str">
        <f t="shared" si="382"/>
        <v>#VALUE!</v>
      </c>
      <c r="F1848" s="737">
        <v>1.0</v>
      </c>
      <c r="G1848" s="737" t="str">
        <f t="shared" si="383"/>
        <v>#VALUE!</v>
      </c>
      <c r="H1848" s="737" t="str">
        <f>MIN($Q$11/('Orbit Info'!G$10),$Q$8*60)</f>
        <v>#VALUE!</v>
      </c>
      <c r="I1848" s="737" t="str">
        <f>IF(D1848=1,$Q$12/'Data DownlinkStorage Budget'!$M$3,0)</f>
        <v>#VALUE!</v>
      </c>
      <c r="J1848" s="737" t="str">
        <f t="shared" si="388"/>
        <v>#VALUE!</v>
      </c>
      <c r="K1848" s="11"/>
      <c r="L1848" s="737" t="str">
        <f t="shared" si="385"/>
        <v>FOUND product plus housekeeping</v>
      </c>
      <c r="M1848" s="737" t="str">
        <f>MIN($Q$18,$Q$10*60)-IF(D1848=1,$Q$17/'Data DownlinkStorage Budget'!$M$3,0)</f>
        <v>#VALUE!</v>
      </c>
      <c r="N1848" s="182"/>
      <c r="O1848" s="737" t="str">
        <f t="shared" si="389"/>
        <v>#VALUE!</v>
      </c>
      <c r="P1848" s="11"/>
      <c r="Q1848" s="11"/>
      <c r="R1848" s="11"/>
      <c r="S1848" s="11"/>
      <c r="T1848" s="11"/>
      <c r="U1848" s="11"/>
      <c r="V1848" s="11"/>
      <c r="W1848" s="11"/>
      <c r="X1848" s="11"/>
      <c r="Y1848" s="11"/>
      <c r="Z1848" s="11"/>
      <c r="AA1848" s="11"/>
    </row>
    <row r="1849" ht="15.75" customHeight="1">
      <c r="A1849" s="737">
        <f t="shared" si="387"/>
        <v>0</v>
      </c>
      <c r="B1849" s="737">
        <f>A1849/'Orbit Info'!$G$10</f>
        <v>0</v>
      </c>
      <c r="C1849" s="737" t="str">
        <f t="shared" si="380"/>
        <v>Housekeeping and events only</v>
      </c>
      <c r="D1849" s="737">
        <f t="shared" si="381"/>
        <v>1</v>
      </c>
      <c r="E1849" s="737" t="str">
        <f t="shared" si="382"/>
        <v>#VALUE!</v>
      </c>
      <c r="F1849" s="737">
        <v>1.0</v>
      </c>
      <c r="G1849" s="737" t="str">
        <f t="shared" si="383"/>
        <v>#VALUE!</v>
      </c>
      <c r="H1849" s="737" t="str">
        <f>MIN($Q$11/('Orbit Info'!G$10),$Q$8*60)</f>
        <v>#VALUE!</v>
      </c>
      <c r="I1849" s="737" t="str">
        <f>IF(D1849=1,$Q$12/'Data DownlinkStorage Budget'!$M$3,0)</f>
        <v>#VALUE!</v>
      </c>
      <c r="J1849" s="737" t="str">
        <f t="shared" si="388"/>
        <v>#VALUE!</v>
      </c>
      <c r="K1849" s="11"/>
      <c r="L1849" s="737" t="str">
        <f t="shared" si="385"/>
        <v>FOUND product plus housekeeping</v>
      </c>
      <c r="M1849" s="737" t="str">
        <f>MIN($Q$18,$Q$10*60)-IF(D1849=1,$Q$17/'Data DownlinkStorage Budget'!$M$3,0)</f>
        <v>#VALUE!</v>
      </c>
      <c r="N1849" s="182"/>
      <c r="O1849" s="737" t="str">
        <f t="shared" si="389"/>
        <v>#VALUE!</v>
      </c>
      <c r="P1849" s="11"/>
      <c r="Q1849" s="11"/>
      <c r="R1849" s="11"/>
      <c r="S1849" s="11"/>
      <c r="T1849" s="11"/>
      <c r="U1849" s="11"/>
      <c r="V1849" s="11"/>
      <c r="W1849" s="11"/>
      <c r="X1849" s="11"/>
      <c r="Y1849" s="11"/>
      <c r="Z1849" s="11"/>
      <c r="AA1849" s="11"/>
    </row>
    <row r="1850" ht="15.75" customHeight="1">
      <c r="A1850" s="737">
        <f t="shared" si="387"/>
        <v>0</v>
      </c>
      <c r="B1850" s="737">
        <f>A1850/'Orbit Info'!$G$10</f>
        <v>0</v>
      </c>
      <c r="C1850" s="737" t="str">
        <f t="shared" si="380"/>
        <v>Housekeeping and events only</v>
      </c>
      <c r="D1850" s="737">
        <f t="shared" si="381"/>
        <v>1</v>
      </c>
      <c r="E1850" s="737" t="str">
        <f t="shared" si="382"/>
        <v>#VALUE!</v>
      </c>
      <c r="F1850" s="737">
        <v>1.0</v>
      </c>
      <c r="G1850" s="737" t="str">
        <f t="shared" si="383"/>
        <v>#VALUE!</v>
      </c>
      <c r="H1850" s="737" t="str">
        <f>MIN($Q$11/('Orbit Info'!G$10),$Q$8*60)</f>
        <v>#VALUE!</v>
      </c>
      <c r="I1850" s="737" t="str">
        <f>IF(D1850=1,$Q$12/'Data DownlinkStorage Budget'!$M$3,0)</f>
        <v>#VALUE!</v>
      </c>
      <c r="J1850" s="737" t="str">
        <f t="shared" si="388"/>
        <v>#VALUE!</v>
      </c>
      <c r="K1850" s="11"/>
      <c r="L1850" s="737" t="str">
        <f t="shared" si="385"/>
        <v>FOUND product plus housekeeping</v>
      </c>
      <c r="M1850" s="737" t="str">
        <f>MIN($Q$18,$Q$10*60)-IF(D1850=1,$Q$17/'Data DownlinkStorage Budget'!$M$3,0)</f>
        <v>#VALUE!</v>
      </c>
      <c r="N1850" s="182"/>
      <c r="O1850" s="737" t="str">
        <f t="shared" si="389"/>
        <v>#VALUE!</v>
      </c>
      <c r="P1850" s="11"/>
      <c r="Q1850" s="11"/>
      <c r="R1850" s="11"/>
      <c r="S1850" s="11"/>
      <c r="T1850" s="11"/>
      <c r="U1850" s="11"/>
      <c r="V1850" s="11"/>
      <c r="W1850" s="11"/>
      <c r="X1850" s="11"/>
      <c r="Y1850" s="11"/>
      <c r="Z1850" s="11"/>
      <c r="AA1850" s="11"/>
    </row>
    <row r="1851" ht="15.75" customHeight="1">
      <c r="A1851" s="737">
        <f t="shared" si="387"/>
        <v>0</v>
      </c>
      <c r="B1851" s="737">
        <f>A1851/'Orbit Info'!$G$10</f>
        <v>0</v>
      </c>
      <c r="C1851" s="737" t="str">
        <f t="shared" si="380"/>
        <v>Housekeeping and events only</v>
      </c>
      <c r="D1851" s="737">
        <f t="shared" si="381"/>
        <v>1</v>
      </c>
      <c r="E1851" s="737" t="str">
        <f t="shared" si="382"/>
        <v>#VALUE!</v>
      </c>
      <c r="F1851" s="737">
        <v>1.0</v>
      </c>
      <c r="G1851" s="737" t="str">
        <f t="shared" si="383"/>
        <v>#VALUE!</v>
      </c>
      <c r="H1851" s="737" t="str">
        <f>MIN($Q$11/('Orbit Info'!G$10),$Q$8*60)</f>
        <v>#VALUE!</v>
      </c>
      <c r="I1851" s="737" t="str">
        <f>IF(D1851=1,$Q$12/'Data DownlinkStorage Budget'!$M$3,0)</f>
        <v>#VALUE!</v>
      </c>
      <c r="J1851" s="737" t="str">
        <f t="shared" si="388"/>
        <v>#VALUE!</v>
      </c>
      <c r="K1851" s="11"/>
      <c r="L1851" s="737" t="str">
        <f t="shared" si="385"/>
        <v>FOUND product plus housekeeping</v>
      </c>
      <c r="M1851" s="737" t="str">
        <f>MIN($Q$18,$Q$10*60)-IF(D1851=1,$Q$17/'Data DownlinkStorage Budget'!$M$3,0)</f>
        <v>#VALUE!</v>
      </c>
      <c r="N1851" s="182"/>
      <c r="O1851" s="737" t="str">
        <f t="shared" si="389"/>
        <v>#VALUE!</v>
      </c>
      <c r="P1851" s="11"/>
      <c r="Q1851" s="11"/>
      <c r="R1851" s="11"/>
      <c r="S1851" s="11"/>
      <c r="T1851" s="11"/>
      <c r="U1851" s="11"/>
      <c r="V1851" s="11"/>
      <c r="W1851" s="11"/>
      <c r="X1851" s="11"/>
      <c r="Y1851" s="11"/>
      <c r="Z1851" s="11"/>
      <c r="AA1851" s="11"/>
    </row>
    <row r="1852" ht="15.75" customHeight="1">
      <c r="A1852" s="737">
        <f t="shared" si="387"/>
        <v>0</v>
      </c>
      <c r="B1852" s="737">
        <f>A1852/'Orbit Info'!$G$10</f>
        <v>0</v>
      </c>
      <c r="C1852" s="737" t="str">
        <f t="shared" si="380"/>
        <v>Housekeeping and events only</v>
      </c>
      <c r="D1852" s="737">
        <f t="shared" si="381"/>
        <v>1</v>
      </c>
      <c r="E1852" s="737" t="str">
        <f t="shared" si="382"/>
        <v>#VALUE!</v>
      </c>
      <c r="F1852" s="737">
        <v>1.0</v>
      </c>
      <c r="G1852" s="737" t="str">
        <f t="shared" si="383"/>
        <v>#VALUE!</v>
      </c>
      <c r="H1852" s="737" t="str">
        <f>MIN($Q$11/('Orbit Info'!G$10),$Q$8*60)</f>
        <v>#VALUE!</v>
      </c>
      <c r="I1852" s="737" t="str">
        <f>IF(D1852=1,$Q$12/'Data DownlinkStorage Budget'!$M$3,0)</f>
        <v>#VALUE!</v>
      </c>
      <c r="J1852" s="737" t="str">
        <f t="shared" si="388"/>
        <v>#VALUE!</v>
      </c>
      <c r="K1852" s="11"/>
      <c r="L1852" s="737" t="str">
        <f t="shared" si="385"/>
        <v>FOUND product plus housekeeping</v>
      </c>
      <c r="M1852" s="737" t="str">
        <f>MIN($Q$18,$Q$10*60)-IF(D1852=1,$Q$17/'Data DownlinkStorage Budget'!$M$3,0)</f>
        <v>#VALUE!</v>
      </c>
      <c r="N1852" s="182"/>
      <c r="O1852" s="737" t="str">
        <f t="shared" si="389"/>
        <v>#VALUE!</v>
      </c>
      <c r="P1852" s="11"/>
      <c r="Q1852" s="11"/>
      <c r="R1852" s="11"/>
      <c r="S1852" s="11"/>
      <c r="T1852" s="11"/>
      <c r="U1852" s="11"/>
      <c r="V1852" s="11"/>
      <c r="W1852" s="11"/>
      <c r="X1852" s="11"/>
      <c r="Y1852" s="11"/>
      <c r="Z1852" s="11"/>
      <c r="AA1852" s="11"/>
    </row>
    <row r="1853" ht="15.75" customHeight="1">
      <c r="A1853" s="737">
        <f t="shared" si="387"/>
        <v>0</v>
      </c>
      <c r="B1853" s="737">
        <f>A1853/'Orbit Info'!$G$10</f>
        <v>0</v>
      </c>
      <c r="C1853" s="737" t="str">
        <f t="shared" si="380"/>
        <v>Housekeeping and events only</v>
      </c>
      <c r="D1853" s="737">
        <f t="shared" si="381"/>
        <v>1</v>
      </c>
      <c r="E1853" s="737" t="str">
        <f t="shared" si="382"/>
        <v>#VALUE!</v>
      </c>
      <c r="F1853" s="737">
        <v>1.0</v>
      </c>
      <c r="G1853" s="737" t="str">
        <f t="shared" si="383"/>
        <v>#VALUE!</v>
      </c>
      <c r="H1853" s="737" t="str">
        <f>MIN($Q$11/('Orbit Info'!G$10),$Q$8*60)</f>
        <v>#VALUE!</v>
      </c>
      <c r="I1853" s="737" t="str">
        <f>IF(D1853=1,$Q$12/'Data DownlinkStorage Budget'!$M$3,0)</f>
        <v>#VALUE!</v>
      </c>
      <c r="J1853" s="737" t="str">
        <f t="shared" si="388"/>
        <v>#VALUE!</v>
      </c>
      <c r="K1853" s="11"/>
      <c r="L1853" s="737" t="str">
        <f t="shared" si="385"/>
        <v>FOUND product plus housekeeping</v>
      </c>
      <c r="M1853" s="737" t="str">
        <f>MIN($Q$18,$Q$10*60)-IF(D1853=1,$Q$17/'Data DownlinkStorage Budget'!$M$3,0)</f>
        <v>#VALUE!</v>
      </c>
      <c r="N1853" s="182"/>
      <c r="O1853" s="737" t="str">
        <f t="shared" si="389"/>
        <v>#VALUE!</v>
      </c>
      <c r="P1853" s="11"/>
      <c r="Q1853" s="11"/>
      <c r="R1853" s="11"/>
      <c r="S1853" s="11"/>
      <c r="T1853" s="11"/>
      <c r="U1853" s="11"/>
      <c r="V1853" s="11"/>
      <c r="W1853" s="11"/>
      <c r="X1853" s="11"/>
      <c r="Y1853" s="11"/>
      <c r="Z1853" s="11"/>
      <c r="AA1853" s="11"/>
    </row>
    <row r="1854" ht="15.75" customHeight="1">
      <c r="A1854" s="737">
        <f t="shared" si="387"/>
        <v>0</v>
      </c>
      <c r="B1854" s="737">
        <f>A1854/'Orbit Info'!$G$10</f>
        <v>0</v>
      </c>
      <c r="C1854" s="737" t="str">
        <f t="shared" si="380"/>
        <v>Housekeeping and events only</v>
      </c>
      <c r="D1854" s="737">
        <f t="shared" si="381"/>
        <v>1</v>
      </c>
      <c r="E1854" s="737" t="str">
        <f t="shared" si="382"/>
        <v>#VALUE!</v>
      </c>
      <c r="F1854" s="737">
        <v>1.0</v>
      </c>
      <c r="G1854" s="737" t="str">
        <f t="shared" si="383"/>
        <v>#VALUE!</v>
      </c>
      <c r="H1854" s="737" t="str">
        <f>MIN($Q$11/('Orbit Info'!G$10),$Q$8*60)</f>
        <v>#VALUE!</v>
      </c>
      <c r="I1854" s="737" t="str">
        <f>IF(D1854=1,$Q$12/'Data DownlinkStorage Budget'!$M$3,0)</f>
        <v>#VALUE!</v>
      </c>
      <c r="J1854" s="737" t="str">
        <f t="shared" si="388"/>
        <v>#VALUE!</v>
      </c>
      <c r="K1854" s="11"/>
      <c r="L1854" s="737" t="str">
        <f t="shared" si="385"/>
        <v>FOUND product plus housekeeping</v>
      </c>
      <c r="M1854" s="737" t="str">
        <f>MIN($Q$18,$Q$10*60)-IF(D1854=1,$Q$17/'Data DownlinkStorage Budget'!$M$3,0)</f>
        <v>#VALUE!</v>
      </c>
      <c r="N1854" s="182"/>
      <c r="O1854" s="737" t="str">
        <f t="shared" si="389"/>
        <v>#VALUE!</v>
      </c>
      <c r="P1854" s="11"/>
      <c r="Q1854" s="11"/>
      <c r="R1854" s="11"/>
      <c r="S1854" s="11"/>
      <c r="T1854" s="11"/>
      <c r="U1854" s="11"/>
      <c r="V1854" s="11"/>
      <c r="W1854" s="11"/>
      <c r="X1854" s="11"/>
      <c r="Y1854" s="11"/>
      <c r="Z1854" s="11"/>
      <c r="AA1854" s="11"/>
    </row>
    <row r="1855" ht="15.75" customHeight="1">
      <c r="A1855" s="737">
        <f t="shared" si="387"/>
        <v>0</v>
      </c>
      <c r="B1855" s="737">
        <f>A1855/'Orbit Info'!$G$10</f>
        <v>0</v>
      </c>
      <c r="C1855" s="737" t="str">
        <f t="shared" si="380"/>
        <v>Housekeeping and events only</v>
      </c>
      <c r="D1855" s="737">
        <f t="shared" si="381"/>
        <v>1</v>
      </c>
      <c r="E1855" s="737" t="str">
        <f t="shared" si="382"/>
        <v>#VALUE!</v>
      </c>
      <c r="F1855" s="737">
        <v>1.0</v>
      </c>
      <c r="G1855" s="737" t="str">
        <f t="shared" si="383"/>
        <v>#VALUE!</v>
      </c>
      <c r="H1855" s="737" t="str">
        <f>MIN($Q$11/('Orbit Info'!G$10),$Q$8*60)</f>
        <v>#VALUE!</v>
      </c>
      <c r="I1855" s="737" t="str">
        <f>IF(D1855=1,$Q$12/'Data DownlinkStorage Budget'!$M$3,0)</f>
        <v>#VALUE!</v>
      </c>
      <c r="J1855" s="737" t="str">
        <f t="shared" si="388"/>
        <v>#VALUE!</v>
      </c>
      <c r="K1855" s="11"/>
      <c r="L1855" s="737" t="str">
        <f t="shared" si="385"/>
        <v>FOUND product plus housekeeping</v>
      </c>
      <c r="M1855" s="737" t="str">
        <f>MIN($Q$18,$Q$10*60)-IF(D1855=1,$Q$17/'Data DownlinkStorage Budget'!$M$3,0)</f>
        <v>#VALUE!</v>
      </c>
      <c r="N1855" s="182"/>
      <c r="O1855" s="737" t="str">
        <f t="shared" si="389"/>
        <v>#VALUE!</v>
      </c>
      <c r="P1855" s="11"/>
      <c r="Q1855" s="11"/>
      <c r="R1855" s="11"/>
      <c r="S1855" s="11"/>
      <c r="T1855" s="11"/>
      <c r="U1855" s="11"/>
      <c r="V1855" s="11"/>
      <c r="W1855" s="11"/>
      <c r="X1855" s="11"/>
      <c r="Y1855" s="11"/>
      <c r="Z1855" s="11"/>
      <c r="AA1855" s="11"/>
    </row>
    <row r="1856" ht="15.75" customHeight="1">
      <c r="A1856" s="737">
        <f t="shared" si="387"/>
        <v>0</v>
      </c>
      <c r="B1856" s="737">
        <f>A1856/'Orbit Info'!$G$10</f>
        <v>0</v>
      </c>
      <c r="C1856" s="737" t="str">
        <f t="shared" si="380"/>
        <v>Housekeeping and events only</v>
      </c>
      <c r="D1856" s="737">
        <f t="shared" si="381"/>
        <v>1</v>
      </c>
      <c r="E1856" s="737" t="str">
        <f t="shared" si="382"/>
        <v>#VALUE!</v>
      </c>
      <c r="F1856" s="737">
        <v>1.0</v>
      </c>
      <c r="G1856" s="737" t="str">
        <f t="shared" si="383"/>
        <v>#VALUE!</v>
      </c>
      <c r="H1856" s="737" t="str">
        <f>MIN($Q$11/('Orbit Info'!G$10),$Q$8*60)</f>
        <v>#VALUE!</v>
      </c>
      <c r="I1856" s="737" t="str">
        <f>IF(D1856=1,$Q$12/'Data DownlinkStorage Budget'!$M$3,0)</f>
        <v>#VALUE!</v>
      </c>
      <c r="J1856" s="737" t="str">
        <f t="shared" si="388"/>
        <v>#VALUE!</v>
      </c>
      <c r="K1856" s="11"/>
      <c r="L1856" s="737" t="str">
        <f t="shared" si="385"/>
        <v>FOUND product plus housekeeping</v>
      </c>
      <c r="M1856" s="737" t="str">
        <f>MIN($Q$18,$Q$10*60)-IF(D1856=1,$Q$17/'Data DownlinkStorage Budget'!$M$3,0)</f>
        <v>#VALUE!</v>
      </c>
      <c r="N1856" s="182"/>
      <c r="O1856" s="737" t="str">
        <f t="shared" si="389"/>
        <v>#VALUE!</v>
      </c>
      <c r="P1856" s="11"/>
      <c r="Q1856" s="11"/>
      <c r="R1856" s="11"/>
      <c r="S1856" s="11"/>
      <c r="T1856" s="11"/>
      <c r="U1856" s="11"/>
      <c r="V1856" s="11"/>
      <c r="W1856" s="11"/>
      <c r="X1856" s="11"/>
      <c r="Y1856" s="11"/>
      <c r="Z1856" s="11"/>
      <c r="AA1856" s="11"/>
    </row>
    <row r="1857" ht="15.75" customHeight="1">
      <c r="A1857" s="737">
        <f t="shared" si="387"/>
        <v>0</v>
      </c>
      <c r="B1857" s="737">
        <f>A1857/'Orbit Info'!$G$10</f>
        <v>0</v>
      </c>
      <c r="C1857" s="737" t="str">
        <f t="shared" si="380"/>
        <v>Housekeeping and events only</v>
      </c>
      <c r="D1857" s="737">
        <f t="shared" si="381"/>
        <v>1</v>
      </c>
      <c r="E1857" s="737" t="str">
        <f t="shared" si="382"/>
        <v>#VALUE!</v>
      </c>
      <c r="F1857" s="737">
        <v>1.0</v>
      </c>
      <c r="G1857" s="737" t="str">
        <f t="shared" si="383"/>
        <v>#VALUE!</v>
      </c>
      <c r="H1857" s="737" t="str">
        <f>MIN($Q$11/('Orbit Info'!G$10),$Q$8*60)</f>
        <v>#VALUE!</v>
      </c>
      <c r="I1857" s="737" t="str">
        <f>IF(D1857=1,$Q$12/'Data DownlinkStorage Budget'!$M$3,0)</f>
        <v>#VALUE!</v>
      </c>
      <c r="J1857" s="737" t="str">
        <f t="shared" si="388"/>
        <v>#VALUE!</v>
      </c>
      <c r="K1857" s="11"/>
      <c r="L1857" s="737" t="str">
        <f t="shared" si="385"/>
        <v>FOUND product plus housekeeping</v>
      </c>
      <c r="M1857" s="737" t="str">
        <f>MIN($Q$18,$Q$10*60)-IF(D1857=1,$Q$17/'Data DownlinkStorage Budget'!$M$3,0)</f>
        <v>#VALUE!</v>
      </c>
      <c r="N1857" s="182"/>
      <c r="O1857" s="737" t="str">
        <f t="shared" si="389"/>
        <v>#VALUE!</v>
      </c>
      <c r="P1857" s="11"/>
      <c r="Q1857" s="11"/>
      <c r="R1857" s="11"/>
      <c r="S1857" s="11"/>
      <c r="T1857" s="11"/>
      <c r="U1857" s="11"/>
      <c r="V1857" s="11"/>
      <c r="W1857" s="11"/>
      <c r="X1857" s="11"/>
      <c r="Y1857" s="11"/>
      <c r="Z1857" s="11"/>
      <c r="AA1857" s="11"/>
    </row>
    <row r="1858" ht="15.75" customHeight="1">
      <c r="A1858" s="737">
        <f t="shared" si="387"/>
        <v>0</v>
      </c>
      <c r="B1858" s="737">
        <f>A1858/'Orbit Info'!$G$10</f>
        <v>0</v>
      </c>
      <c r="C1858" s="737" t="str">
        <f t="shared" si="380"/>
        <v>Housekeeping and events only</v>
      </c>
      <c r="D1858" s="737">
        <f t="shared" si="381"/>
        <v>1</v>
      </c>
      <c r="E1858" s="737" t="str">
        <f t="shared" si="382"/>
        <v>#VALUE!</v>
      </c>
      <c r="F1858" s="737">
        <v>1.0</v>
      </c>
      <c r="G1858" s="737" t="str">
        <f t="shared" si="383"/>
        <v>#VALUE!</v>
      </c>
      <c r="H1858" s="737" t="str">
        <f>MIN($Q$11/('Orbit Info'!G$10),$Q$8*60)</f>
        <v>#VALUE!</v>
      </c>
      <c r="I1858" s="737" t="str">
        <f>IF(D1858=1,$Q$12/'Data DownlinkStorage Budget'!$M$3,0)</f>
        <v>#VALUE!</v>
      </c>
      <c r="J1858" s="737" t="str">
        <f t="shared" si="388"/>
        <v>#VALUE!</v>
      </c>
      <c r="K1858" s="11"/>
      <c r="L1858" s="737" t="str">
        <f t="shared" si="385"/>
        <v>FOUND product plus housekeeping</v>
      </c>
      <c r="M1858" s="737" t="str">
        <f>MIN($Q$18,$Q$10*60)-IF(D1858=1,$Q$17/'Data DownlinkStorage Budget'!$M$3,0)</f>
        <v>#VALUE!</v>
      </c>
      <c r="N1858" s="182"/>
      <c r="O1858" s="737" t="str">
        <f t="shared" si="389"/>
        <v>#VALUE!</v>
      </c>
      <c r="P1858" s="11"/>
      <c r="Q1858" s="11"/>
      <c r="R1858" s="11"/>
      <c r="S1858" s="11"/>
      <c r="T1858" s="11"/>
      <c r="U1858" s="11"/>
      <c r="V1858" s="11"/>
      <c r="W1858" s="11"/>
      <c r="X1858" s="11"/>
      <c r="Y1858" s="11"/>
      <c r="Z1858" s="11"/>
      <c r="AA1858" s="11"/>
    </row>
    <row r="1859" ht="15.75" customHeight="1">
      <c r="A1859" s="737">
        <f t="shared" si="387"/>
        <v>0</v>
      </c>
      <c r="B1859" s="737">
        <f>A1859/'Orbit Info'!$G$10</f>
        <v>0</v>
      </c>
      <c r="C1859" s="737" t="str">
        <f t="shared" si="380"/>
        <v>Housekeeping and events only</v>
      </c>
      <c r="D1859" s="737">
        <f t="shared" si="381"/>
        <v>1</v>
      </c>
      <c r="E1859" s="737" t="str">
        <f t="shared" si="382"/>
        <v>#VALUE!</v>
      </c>
      <c r="F1859" s="737">
        <v>1.0</v>
      </c>
      <c r="G1859" s="737" t="str">
        <f t="shared" si="383"/>
        <v>#VALUE!</v>
      </c>
      <c r="H1859" s="737" t="str">
        <f>MIN($Q$11/('Orbit Info'!G$10),$Q$8*60)</f>
        <v>#VALUE!</v>
      </c>
      <c r="I1859" s="737" t="str">
        <f>IF(D1859=1,$Q$12/'Data DownlinkStorage Budget'!$M$3,0)</f>
        <v>#VALUE!</v>
      </c>
      <c r="J1859" s="737" t="str">
        <f t="shared" si="388"/>
        <v>#VALUE!</v>
      </c>
      <c r="K1859" s="11"/>
      <c r="L1859" s="737" t="str">
        <f t="shared" si="385"/>
        <v>FOUND product plus housekeeping</v>
      </c>
      <c r="M1859" s="737" t="str">
        <f>MIN($Q$18,$Q$10*60)-IF(D1859=1,$Q$17/'Data DownlinkStorage Budget'!$M$3,0)</f>
        <v>#VALUE!</v>
      </c>
      <c r="N1859" s="182"/>
      <c r="O1859" s="737" t="str">
        <f t="shared" si="389"/>
        <v>#VALUE!</v>
      </c>
      <c r="P1859" s="11"/>
      <c r="Q1859" s="11"/>
      <c r="R1859" s="11"/>
      <c r="S1859" s="11"/>
      <c r="T1859" s="11"/>
      <c r="U1859" s="11"/>
      <c r="V1859" s="11"/>
      <c r="W1859" s="11"/>
      <c r="X1859" s="11"/>
      <c r="Y1859" s="11"/>
      <c r="Z1859" s="11"/>
      <c r="AA1859" s="11"/>
    </row>
    <row r="1860" ht="15.75" customHeight="1">
      <c r="A1860" s="737">
        <f t="shared" si="387"/>
        <v>0</v>
      </c>
      <c r="B1860" s="737">
        <f>A1860/'Orbit Info'!$G$10</f>
        <v>0</v>
      </c>
      <c r="C1860" s="737" t="str">
        <f t="shared" si="380"/>
        <v>Housekeeping and events only</v>
      </c>
      <c r="D1860" s="737">
        <f t="shared" si="381"/>
        <v>1</v>
      </c>
      <c r="E1860" s="737" t="str">
        <f t="shared" si="382"/>
        <v>#VALUE!</v>
      </c>
      <c r="F1860" s="737">
        <v>1.0</v>
      </c>
      <c r="G1860" s="737" t="str">
        <f t="shared" si="383"/>
        <v>#VALUE!</v>
      </c>
      <c r="H1860" s="737" t="str">
        <f>MIN($Q$11/('Orbit Info'!G$10),$Q$8*60)</f>
        <v>#VALUE!</v>
      </c>
      <c r="I1860" s="737" t="str">
        <f>IF(D1860=1,$Q$12/'Data DownlinkStorage Budget'!$M$3,0)</f>
        <v>#VALUE!</v>
      </c>
      <c r="J1860" s="737" t="str">
        <f t="shared" si="388"/>
        <v>#VALUE!</v>
      </c>
      <c r="K1860" s="11"/>
      <c r="L1860" s="737" t="str">
        <f t="shared" si="385"/>
        <v>FOUND product plus housekeeping</v>
      </c>
      <c r="M1860" s="737" t="str">
        <f>MIN($Q$18,$Q$10*60)-IF(D1860=1,$Q$17/'Data DownlinkStorage Budget'!$M$3,0)</f>
        <v>#VALUE!</v>
      </c>
      <c r="N1860" s="182"/>
      <c r="O1860" s="737" t="str">
        <f t="shared" si="389"/>
        <v>#VALUE!</v>
      </c>
      <c r="P1860" s="11"/>
      <c r="Q1860" s="11"/>
      <c r="R1860" s="11"/>
      <c r="S1860" s="11"/>
      <c r="T1860" s="11"/>
      <c r="U1860" s="11"/>
      <c r="V1860" s="11"/>
      <c r="W1860" s="11"/>
      <c r="X1860" s="11"/>
      <c r="Y1860" s="11"/>
      <c r="Z1860" s="11"/>
      <c r="AA1860" s="11"/>
    </row>
    <row r="1861" ht="15.75" customHeight="1">
      <c r="A1861" s="737">
        <f t="shared" si="387"/>
        <v>0</v>
      </c>
      <c r="B1861" s="737">
        <f>A1861/'Orbit Info'!$G$10</f>
        <v>0</v>
      </c>
      <c r="C1861" s="737" t="str">
        <f t="shared" si="380"/>
        <v>Housekeeping and events only</v>
      </c>
      <c r="D1861" s="737">
        <f t="shared" si="381"/>
        <v>1</v>
      </c>
      <c r="E1861" s="737" t="str">
        <f t="shared" si="382"/>
        <v>#VALUE!</v>
      </c>
      <c r="F1861" s="737">
        <v>1.0</v>
      </c>
      <c r="G1861" s="737" t="str">
        <f t="shared" si="383"/>
        <v>#VALUE!</v>
      </c>
      <c r="H1861" s="737" t="str">
        <f>MIN($Q$11/('Orbit Info'!G$10),$Q$8*60)</f>
        <v>#VALUE!</v>
      </c>
      <c r="I1861" s="737" t="str">
        <f>IF(D1861=1,$Q$12/'Data DownlinkStorage Budget'!$M$3,0)</f>
        <v>#VALUE!</v>
      </c>
      <c r="J1861" s="737" t="str">
        <f t="shared" si="388"/>
        <v>#VALUE!</v>
      </c>
      <c r="K1861" s="11"/>
      <c r="L1861" s="737" t="str">
        <f t="shared" si="385"/>
        <v>FOUND product plus housekeeping</v>
      </c>
      <c r="M1861" s="737" t="str">
        <f>MIN($Q$18,$Q$10*60)-IF(D1861=1,$Q$17/'Data DownlinkStorage Budget'!$M$3,0)</f>
        <v>#VALUE!</v>
      </c>
      <c r="N1861" s="182"/>
      <c r="O1861" s="737" t="str">
        <f t="shared" si="389"/>
        <v>#VALUE!</v>
      </c>
      <c r="P1861" s="11"/>
      <c r="Q1861" s="11"/>
      <c r="R1861" s="11"/>
      <c r="S1861" s="11"/>
      <c r="T1861" s="11"/>
      <c r="U1861" s="11"/>
      <c r="V1861" s="11"/>
      <c r="W1861" s="11"/>
      <c r="X1861" s="11"/>
      <c r="Y1861" s="11"/>
      <c r="Z1861" s="11"/>
      <c r="AA1861" s="11"/>
    </row>
    <row r="1862" ht="15.75" customHeight="1">
      <c r="A1862" s="737">
        <f t="shared" si="387"/>
        <v>0</v>
      </c>
      <c r="B1862" s="737">
        <f>A1862/'Orbit Info'!$G$10</f>
        <v>0</v>
      </c>
      <c r="C1862" s="737" t="str">
        <f t="shared" si="380"/>
        <v>Housekeeping and events only</v>
      </c>
      <c r="D1862" s="737">
        <f t="shared" si="381"/>
        <v>1</v>
      </c>
      <c r="E1862" s="737" t="str">
        <f t="shared" si="382"/>
        <v>#VALUE!</v>
      </c>
      <c r="F1862" s="737">
        <v>1.0</v>
      </c>
      <c r="G1862" s="737" t="str">
        <f t="shared" si="383"/>
        <v>#VALUE!</v>
      </c>
      <c r="H1862" s="737" t="str">
        <f>MIN($Q$11/('Orbit Info'!G$10),$Q$8*60)</f>
        <v>#VALUE!</v>
      </c>
      <c r="I1862" s="737" t="str">
        <f>IF(D1862=1,$Q$12/'Data DownlinkStorage Budget'!$M$3,0)</f>
        <v>#VALUE!</v>
      </c>
      <c r="J1862" s="737" t="str">
        <f t="shared" si="388"/>
        <v>#VALUE!</v>
      </c>
      <c r="K1862" s="11"/>
      <c r="L1862" s="737" t="str">
        <f t="shared" si="385"/>
        <v>FOUND product plus housekeeping</v>
      </c>
      <c r="M1862" s="737" t="str">
        <f>MIN($Q$18,$Q$10*60)-IF(D1862=1,$Q$17/'Data DownlinkStorage Budget'!$M$3,0)</f>
        <v>#VALUE!</v>
      </c>
      <c r="N1862" s="182"/>
      <c r="O1862" s="737" t="str">
        <f t="shared" si="389"/>
        <v>#VALUE!</v>
      </c>
      <c r="P1862" s="11"/>
      <c r="Q1862" s="11"/>
      <c r="R1862" s="11"/>
      <c r="S1862" s="11"/>
      <c r="T1862" s="11"/>
      <c r="U1862" s="11"/>
      <c r="V1862" s="11"/>
      <c r="W1862" s="11"/>
      <c r="X1862" s="11"/>
      <c r="Y1862" s="11"/>
      <c r="Z1862" s="11"/>
      <c r="AA1862" s="11"/>
    </row>
    <row r="1863" ht="15.75" customHeight="1">
      <c r="A1863" s="737">
        <f t="shared" si="387"/>
        <v>0</v>
      </c>
      <c r="B1863" s="737">
        <f>A1863/'Orbit Info'!$G$10</f>
        <v>0</v>
      </c>
      <c r="C1863" s="737" t="str">
        <f t="shared" si="380"/>
        <v>Housekeeping and events only</v>
      </c>
      <c r="D1863" s="737">
        <f t="shared" si="381"/>
        <v>1</v>
      </c>
      <c r="E1863" s="737" t="str">
        <f t="shared" si="382"/>
        <v>#VALUE!</v>
      </c>
      <c r="F1863" s="737">
        <v>1.0</v>
      </c>
      <c r="G1863" s="737" t="str">
        <f t="shared" si="383"/>
        <v>#VALUE!</v>
      </c>
      <c r="H1863" s="737" t="str">
        <f>MIN($Q$11/('Orbit Info'!G$10),$Q$8*60)</f>
        <v>#VALUE!</v>
      </c>
      <c r="I1863" s="737" t="str">
        <f>IF(D1863=1,$Q$12/'Data DownlinkStorage Budget'!$M$3,0)</f>
        <v>#VALUE!</v>
      </c>
      <c r="J1863" s="737" t="str">
        <f t="shared" si="388"/>
        <v>#VALUE!</v>
      </c>
      <c r="K1863" s="11"/>
      <c r="L1863" s="737" t="str">
        <f t="shared" si="385"/>
        <v>FOUND product plus housekeeping</v>
      </c>
      <c r="M1863" s="737" t="str">
        <f>MIN($Q$18,$Q$10*60)-IF(D1863=1,$Q$17/'Data DownlinkStorage Budget'!$M$3,0)</f>
        <v>#VALUE!</v>
      </c>
      <c r="N1863" s="182"/>
      <c r="O1863" s="737" t="str">
        <f t="shared" si="389"/>
        <v>#VALUE!</v>
      </c>
      <c r="P1863" s="11"/>
      <c r="Q1863" s="11"/>
      <c r="R1863" s="11"/>
      <c r="S1863" s="11"/>
      <c r="T1863" s="11"/>
      <c r="U1863" s="11"/>
      <c r="V1863" s="11"/>
      <c r="W1863" s="11"/>
      <c r="X1863" s="11"/>
      <c r="Y1863" s="11"/>
      <c r="Z1863" s="11"/>
      <c r="AA1863" s="11"/>
    </row>
    <row r="1864" ht="15.75" customHeight="1">
      <c r="A1864" s="737">
        <f t="shared" si="387"/>
        <v>0</v>
      </c>
      <c r="B1864" s="737">
        <f>A1864/'Orbit Info'!$G$10</f>
        <v>0</v>
      </c>
      <c r="C1864" s="737" t="str">
        <f t="shared" si="380"/>
        <v>Housekeeping and events only</v>
      </c>
      <c r="D1864" s="737">
        <f t="shared" si="381"/>
        <v>1</v>
      </c>
      <c r="E1864" s="737" t="str">
        <f t="shared" si="382"/>
        <v>#VALUE!</v>
      </c>
      <c r="F1864" s="737">
        <v>1.0</v>
      </c>
      <c r="G1864" s="737" t="str">
        <f t="shared" si="383"/>
        <v>#VALUE!</v>
      </c>
      <c r="H1864" s="737" t="str">
        <f>MIN($Q$11/('Orbit Info'!G$10),$Q$8*60)</f>
        <v>#VALUE!</v>
      </c>
      <c r="I1864" s="737" t="str">
        <f>IF(D1864=1,$Q$12/'Data DownlinkStorage Budget'!$M$3,0)</f>
        <v>#VALUE!</v>
      </c>
      <c r="J1864" s="737" t="str">
        <f t="shared" si="388"/>
        <v>#VALUE!</v>
      </c>
      <c r="K1864" s="11"/>
      <c r="L1864" s="737" t="str">
        <f t="shared" si="385"/>
        <v>FOUND product plus housekeeping</v>
      </c>
      <c r="M1864" s="737" t="str">
        <f>MIN($Q$18,$Q$10*60)-IF(D1864=1,$Q$17/'Data DownlinkStorage Budget'!$M$3,0)</f>
        <v>#VALUE!</v>
      </c>
      <c r="N1864" s="182"/>
      <c r="O1864" s="737" t="str">
        <f t="shared" si="389"/>
        <v>#VALUE!</v>
      </c>
      <c r="P1864" s="11"/>
      <c r="Q1864" s="11"/>
      <c r="R1864" s="11"/>
      <c r="S1864" s="11"/>
      <c r="T1864" s="11"/>
      <c r="U1864" s="11"/>
      <c r="V1864" s="11"/>
      <c r="W1864" s="11"/>
      <c r="X1864" s="11"/>
      <c r="Y1864" s="11"/>
      <c r="Z1864" s="11"/>
      <c r="AA1864" s="11"/>
    </row>
    <row r="1865" ht="15.75" customHeight="1">
      <c r="A1865" s="737">
        <f t="shared" si="387"/>
        <v>0</v>
      </c>
      <c r="B1865" s="737">
        <f>A1865/'Orbit Info'!$G$10</f>
        <v>0</v>
      </c>
      <c r="C1865" s="737" t="str">
        <f t="shared" si="380"/>
        <v>Housekeeping and events only</v>
      </c>
      <c r="D1865" s="737">
        <f t="shared" si="381"/>
        <v>1</v>
      </c>
      <c r="E1865" s="737" t="str">
        <f t="shared" si="382"/>
        <v>#VALUE!</v>
      </c>
      <c r="F1865" s="737">
        <v>1.0</v>
      </c>
      <c r="G1865" s="737" t="str">
        <f t="shared" si="383"/>
        <v>#VALUE!</v>
      </c>
      <c r="H1865" s="737" t="str">
        <f>MIN($Q$11/('Orbit Info'!G$10),$Q$8*60)</f>
        <v>#VALUE!</v>
      </c>
      <c r="I1865" s="737" t="str">
        <f>IF(D1865=1,$Q$12/'Data DownlinkStorage Budget'!$M$3,0)</f>
        <v>#VALUE!</v>
      </c>
      <c r="J1865" s="737" t="str">
        <f t="shared" si="388"/>
        <v>#VALUE!</v>
      </c>
      <c r="K1865" s="11"/>
      <c r="L1865" s="737" t="str">
        <f t="shared" si="385"/>
        <v>FOUND product plus housekeeping</v>
      </c>
      <c r="M1865" s="737" t="str">
        <f>MIN($Q$18,$Q$10*60)-IF(D1865=1,$Q$17/'Data DownlinkStorage Budget'!$M$3,0)</f>
        <v>#VALUE!</v>
      </c>
      <c r="N1865" s="182"/>
      <c r="O1865" s="737" t="str">
        <f t="shared" si="389"/>
        <v>#VALUE!</v>
      </c>
      <c r="P1865" s="11"/>
      <c r="Q1865" s="11"/>
      <c r="R1865" s="11"/>
      <c r="S1865" s="11"/>
      <c r="T1865" s="11"/>
      <c r="U1865" s="11"/>
      <c r="V1865" s="11"/>
      <c r="W1865" s="11"/>
      <c r="X1865" s="11"/>
      <c r="Y1865" s="11"/>
      <c r="Z1865" s="11"/>
      <c r="AA1865" s="11"/>
    </row>
    <row r="1866" ht="15.75" customHeight="1">
      <c r="A1866" s="737">
        <f t="shared" si="387"/>
        <v>0</v>
      </c>
      <c r="B1866" s="737">
        <f>A1866/'Orbit Info'!$G$10</f>
        <v>0</v>
      </c>
      <c r="C1866" s="737" t="str">
        <f t="shared" si="380"/>
        <v>Housekeeping and events only</v>
      </c>
      <c r="D1866" s="737">
        <f t="shared" si="381"/>
        <v>1</v>
      </c>
      <c r="E1866" s="737" t="str">
        <f t="shared" si="382"/>
        <v>#VALUE!</v>
      </c>
      <c r="F1866" s="737">
        <v>1.0</v>
      </c>
      <c r="G1866" s="737" t="str">
        <f t="shared" si="383"/>
        <v>#VALUE!</v>
      </c>
      <c r="H1866" s="737" t="str">
        <f>MIN($Q$11/('Orbit Info'!G$10),$Q$8*60)</f>
        <v>#VALUE!</v>
      </c>
      <c r="I1866" s="737" t="str">
        <f>IF(D1866=1,$Q$12/'Data DownlinkStorage Budget'!$M$3,0)</f>
        <v>#VALUE!</v>
      </c>
      <c r="J1866" s="737" t="str">
        <f t="shared" si="388"/>
        <v>#VALUE!</v>
      </c>
      <c r="K1866" s="11"/>
      <c r="L1866" s="737" t="str">
        <f t="shared" si="385"/>
        <v>FOUND product plus housekeeping</v>
      </c>
      <c r="M1866" s="737" t="str">
        <f>MIN($Q$18,$Q$10*60)-IF(D1866=1,$Q$17/'Data DownlinkStorage Budget'!$M$3,0)</f>
        <v>#VALUE!</v>
      </c>
      <c r="N1866" s="182"/>
      <c r="O1866" s="737" t="str">
        <f t="shared" si="389"/>
        <v>#VALUE!</v>
      </c>
      <c r="P1866" s="11"/>
      <c r="Q1866" s="11"/>
      <c r="R1866" s="11"/>
      <c r="S1866" s="11"/>
      <c r="T1866" s="11"/>
      <c r="U1866" s="11"/>
      <c r="V1866" s="11"/>
      <c r="W1866" s="11"/>
      <c r="X1866" s="11"/>
      <c r="Y1866" s="11"/>
      <c r="Z1866" s="11"/>
      <c r="AA1866" s="11"/>
    </row>
    <row r="1867" ht="15.75" customHeight="1">
      <c r="A1867" s="737">
        <f t="shared" si="387"/>
        <v>0</v>
      </c>
      <c r="B1867" s="737">
        <f>A1867/'Orbit Info'!$G$10</f>
        <v>0</v>
      </c>
      <c r="C1867" s="737" t="str">
        <f t="shared" si="380"/>
        <v>Housekeeping and events only</v>
      </c>
      <c r="D1867" s="737">
        <f t="shared" si="381"/>
        <v>1</v>
      </c>
      <c r="E1867" s="737" t="str">
        <f t="shared" si="382"/>
        <v>#VALUE!</v>
      </c>
      <c r="F1867" s="737">
        <v>1.0</v>
      </c>
      <c r="G1867" s="737" t="str">
        <f t="shared" si="383"/>
        <v>#VALUE!</v>
      </c>
      <c r="H1867" s="737" t="str">
        <f>MIN($Q$11/('Orbit Info'!G$10),$Q$8*60)</f>
        <v>#VALUE!</v>
      </c>
      <c r="I1867" s="737" t="str">
        <f>IF(D1867=1,$Q$12/'Data DownlinkStorage Budget'!$M$3,0)</f>
        <v>#VALUE!</v>
      </c>
      <c r="J1867" s="737" t="str">
        <f t="shared" si="388"/>
        <v>#VALUE!</v>
      </c>
      <c r="K1867" s="11"/>
      <c r="L1867" s="737" t="str">
        <f t="shared" si="385"/>
        <v>FOUND product plus housekeeping</v>
      </c>
      <c r="M1867" s="737" t="str">
        <f>MIN($Q$18,$Q$10*60)-IF(D1867=1,$Q$17/'Data DownlinkStorage Budget'!$M$3,0)</f>
        <v>#VALUE!</v>
      </c>
      <c r="N1867" s="182"/>
      <c r="O1867" s="737" t="str">
        <f t="shared" si="389"/>
        <v>#VALUE!</v>
      </c>
      <c r="P1867" s="11"/>
      <c r="Q1867" s="11"/>
      <c r="R1867" s="11"/>
      <c r="S1867" s="11"/>
      <c r="T1867" s="11"/>
      <c r="U1867" s="11"/>
      <c r="V1867" s="11"/>
      <c r="W1867" s="11"/>
      <c r="X1867" s="11"/>
      <c r="Y1867" s="11"/>
      <c r="Z1867" s="11"/>
      <c r="AA1867" s="11"/>
    </row>
    <row r="1868" ht="15.75" customHeight="1">
      <c r="A1868" s="737">
        <f t="shared" si="387"/>
        <v>0</v>
      </c>
      <c r="B1868" s="737">
        <f>A1868/'Orbit Info'!$G$10</f>
        <v>0</v>
      </c>
      <c r="C1868" s="737" t="str">
        <f t="shared" si="380"/>
        <v>Housekeeping and events only</v>
      </c>
      <c r="D1868" s="737">
        <f t="shared" si="381"/>
        <v>1</v>
      </c>
      <c r="E1868" s="737" t="str">
        <f t="shared" si="382"/>
        <v>#VALUE!</v>
      </c>
      <c r="F1868" s="737">
        <v>1.0</v>
      </c>
      <c r="G1868" s="737" t="str">
        <f t="shared" si="383"/>
        <v>#VALUE!</v>
      </c>
      <c r="H1868" s="737" t="str">
        <f>MIN($Q$11/('Orbit Info'!G$10),$Q$8*60)</f>
        <v>#VALUE!</v>
      </c>
      <c r="I1868" s="737" t="str">
        <f>IF(D1868=1,$Q$12/'Data DownlinkStorage Budget'!$M$3,0)</f>
        <v>#VALUE!</v>
      </c>
      <c r="J1868" s="737" t="str">
        <f t="shared" si="388"/>
        <v>#VALUE!</v>
      </c>
      <c r="K1868" s="11"/>
      <c r="L1868" s="737" t="str">
        <f t="shared" si="385"/>
        <v>FOUND product plus housekeeping</v>
      </c>
      <c r="M1868" s="737" t="str">
        <f>MIN($Q$18,$Q$10*60)-IF(D1868=1,$Q$17/'Data DownlinkStorage Budget'!$M$3,0)</f>
        <v>#VALUE!</v>
      </c>
      <c r="N1868" s="182"/>
      <c r="O1868" s="737" t="str">
        <f t="shared" si="389"/>
        <v>#VALUE!</v>
      </c>
      <c r="P1868" s="11"/>
      <c r="Q1868" s="11"/>
      <c r="R1868" s="11"/>
      <c r="S1868" s="11"/>
      <c r="T1868" s="11"/>
      <c r="U1868" s="11"/>
      <c r="V1868" s="11"/>
      <c r="W1868" s="11"/>
      <c r="X1868" s="11"/>
      <c r="Y1868" s="11"/>
      <c r="Z1868" s="11"/>
      <c r="AA1868" s="11"/>
    </row>
    <row r="1869" ht="15.75" customHeight="1">
      <c r="A1869" s="737">
        <f t="shared" si="387"/>
        <v>0</v>
      </c>
      <c r="B1869" s="737">
        <f>A1869/'Orbit Info'!$G$10</f>
        <v>0</v>
      </c>
      <c r="C1869" s="737" t="str">
        <f t="shared" si="380"/>
        <v>Housekeeping and events only</v>
      </c>
      <c r="D1869" s="737">
        <f t="shared" si="381"/>
        <v>1</v>
      </c>
      <c r="E1869" s="737" t="str">
        <f t="shared" si="382"/>
        <v>#VALUE!</v>
      </c>
      <c r="F1869" s="737">
        <v>1.0</v>
      </c>
      <c r="G1869" s="737" t="str">
        <f t="shared" si="383"/>
        <v>#VALUE!</v>
      </c>
      <c r="H1869" s="737" t="str">
        <f>MIN($Q$11/('Orbit Info'!G$10),$Q$8*60)</f>
        <v>#VALUE!</v>
      </c>
      <c r="I1869" s="737" t="str">
        <f>IF(D1869=1,$Q$12/'Data DownlinkStorage Budget'!$M$3,0)</f>
        <v>#VALUE!</v>
      </c>
      <c r="J1869" s="737" t="str">
        <f t="shared" si="388"/>
        <v>#VALUE!</v>
      </c>
      <c r="K1869" s="11"/>
      <c r="L1869" s="737" t="str">
        <f t="shared" si="385"/>
        <v>FOUND product plus housekeeping</v>
      </c>
      <c r="M1869" s="737" t="str">
        <f>MIN($Q$18,$Q$10*60)-IF(D1869=1,$Q$17/'Data DownlinkStorage Budget'!$M$3,0)</f>
        <v>#VALUE!</v>
      </c>
      <c r="N1869" s="182"/>
      <c r="O1869" s="737" t="str">
        <f t="shared" si="389"/>
        <v>#VALUE!</v>
      </c>
      <c r="P1869" s="11"/>
      <c r="Q1869" s="11"/>
      <c r="R1869" s="11"/>
      <c r="S1869" s="11"/>
      <c r="T1869" s="11"/>
      <c r="U1869" s="11"/>
      <c r="V1869" s="11"/>
      <c r="W1869" s="11"/>
      <c r="X1869" s="11"/>
      <c r="Y1869" s="11"/>
      <c r="Z1869" s="11"/>
      <c r="AA1869" s="11"/>
    </row>
    <row r="1870" ht="15.75" customHeight="1">
      <c r="A1870" s="737">
        <f t="shared" si="387"/>
        <v>0</v>
      </c>
      <c r="B1870" s="737">
        <f>A1870/'Orbit Info'!$G$10</f>
        <v>0</v>
      </c>
      <c r="C1870" s="737" t="str">
        <f t="shared" si="380"/>
        <v>Housekeeping and events only</v>
      </c>
      <c r="D1870" s="737">
        <f t="shared" si="381"/>
        <v>1</v>
      </c>
      <c r="E1870" s="737" t="str">
        <f t="shared" si="382"/>
        <v>#VALUE!</v>
      </c>
      <c r="F1870" s="737">
        <v>1.0</v>
      </c>
      <c r="G1870" s="737" t="str">
        <f t="shared" si="383"/>
        <v>#VALUE!</v>
      </c>
      <c r="H1870" s="737" t="str">
        <f>MIN($Q$11/('Orbit Info'!G$10),$Q$8*60)</f>
        <v>#VALUE!</v>
      </c>
      <c r="I1870" s="737" t="str">
        <f>IF(D1870=1,$Q$12/'Data DownlinkStorage Budget'!$M$3,0)</f>
        <v>#VALUE!</v>
      </c>
      <c r="J1870" s="737" t="str">
        <f t="shared" si="388"/>
        <v>#VALUE!</v>
      </c>
      <c r="K1870" s="11"/>
      <c r="L1870" s="737" t="str">
        <f t="shared" si="385"/>
        <v>FOUND product plus housekeeping</v>
      </c>
      <c r="M1870" s="737" t="str">
        <f>MIN($Q$18,$Q$10*60)-IF(D1870=1,$Q$17/'Data DownlinkStorage Budget'!$M$3,0)</f>
        <v>#VALUE!</v>
      </c>
      <c r="N1870" s="182"/>
      <c r="O1870" s="737" t="str">
        <f t="shared" si="389"/>
        <v>#VALUE!</v>
      </c>
      <c r="P1870" s="11"/>
      <c r="Q1870" s="11"/>
      <c r="R1870" s="11"/>
      <c r="S1870" s="11"/>
      <c r="T1870" s="11"/>
      <c r="U1870" s="11"/>
      <c r="V1870" s="11"/>
      <c r="W1870" s="11"/>
      <c r="X1870" s="11"/>
      <c r="Y1870" s="11"/>
      <c r="Z1870" s="11"/>
      <c r="AA1870" s="11"/>
    </row>
    <row r="1871" ht="15.75" customHeight="1">
      <c r="A1871" s="737">
        <f t="shared" si="387"/>
        <v>0</v>
      </c>
      <c r="B1871" s="737">
        <f>A1871/'Orbit Info'!$G$10</f>
        <v>0</v>
      </c>
      <c r="C1871" s="737" t="str">
        <f t="shared" si="380"/>
        <v>Housekeeping and events only</v>
      </c>
      <c r="D1871" s="737">
        <f t="shared" si="381"/>
        <v>1</v>
      </c>
      <c r="E1871" s="737" t="str">
        <f t="shared" si="382"/>
        <v>#VALUE!</v>
      </c>
      <c r="F1871" s="737">
        <v>1.0</v>
      </c>
      <c r="G1871" s="737" t="str">
        <f t="shared" si="383"/>
        <v>#VALUE!</v>
      </c>
      <c r="H1871" s="737" t="str">
        <f>MIN($Q$11/('Orbit Info'!G$10),$Q$8*60)</f>
        <v>#VALUE!</v>
      </c>
      <c r="I1871" s="737" t="str">
        <f>IF(D1871=1,$Q$12/'Data DownlinkStorage Budget'!$M$3,0)</f>
        <v>#VALUE!</v>
      </c>
      <c r="J1871" s="737" t="str">
        <f t="shared" si="388"/>
        <v>#VALUE!</v>
      </c>
      <c r="K1871" s="11"/>
      <c r="L1871" s="737" t="str">
        <f t="shared" si="385"/>
        <v>FOUND product plus housekeeping</v>
      </c>
      <c r="M1871" s="737" t="str">
        <f>MIN($Q$18,$Q$10*60)-IF(D1871=1,$Q$17/'Data DownlinkStorage Budget'!$M$3,0)</f>
        <v>#VALUE!</v>
      </c>
      <c r="N1871" s="182"/>
      <c r="O1871" s="737" t="str">
        <f t="shared" si="389"/>
        <v>#VALUE!</v>
      </c>
      <c r="P1871" s="11"/>
      <c r="Q1871" s="11"/>
      <c r="R1871" s="11"/>
      <c r="S1871" s="11"/>
      <c r="T1871" s="11"/>
      <c r="U1871" s="11"/>
      <c r="V1871" s="11"/>
      <c r="W1871" s="11"/>
      <c r="X1871" s="11"/>
      <c r="Y1871" s="11"/>
      <c r="Z1871" s="11"/>
      <c r="AA1871" s="11"/>
    </row>
    <row r="1872" ht="15.75" customHeight="1">
      <c r="A1872" s="737">
        <f t="shared" si="387"/>
        <v>0</v>
      </c>
      <c r="B1872" s="737">
        <f>A1872/'Orbit Info'!$G$10</f>
        <v>0</v>
      </c>
      <c r="C1872" s="737" t="str">
        <f t="shared" si="380"/>
        <v>Housekeeping and events only</v>
      </c>
      <c r="D1872" s="737">
        <f t="shared" si="381"/>
        <v>1</v>
      </c>
      <c r="E1872" s="737" t="str">
        <f t="shared" si="382"/>
        <v>#VALUE!</v>
      </c>
      <c r="F1872" s="737">
        <v>1.0</v>
      </c>
      <c r="G1872" s="737" t="str">
        <f t="shared" si="383"/>
        <v>#VALUE!</v>
      </c>
      <c r="H1872" s="737" t="str">
        <f>MIN($Q$11/('Orbit Info'!G$10),$Q$8*60)</f>
        <v>#VALUE!</v>
      </c>
      <c r="I1872" s="737" t="str">
        <f>IF(D1872=1,$Q$12/'Data DownlinkStorage Budget'!$M$3,0)</f>
        <v>#VALUE!</v>
      </c>
      <c r="J1872" s="737" t="str">
        <f t="shared" si="388"/>
        <v>#VALUE!</v>
      </c>
      <c r="K1872" s="11"/>
      <c r="L1872" s="737" t="str">
        <f t="shared" si="385"/>
        <v>FOUND product plus housekeeping</v>
      </c>
      <c r="M1872" s="737" t="str">
        <f>MIN($Q$18,$Q$10*60)-IF(D1872=1,$Q$17/'Data DownlinkStorage Budget'!$M$3,0)</f>
        <v>#VALUE!</v>
      </c>
      <c r="N1872" s="182"/>
      <c r="O1872" s="737" t="str">
        <f t="shared" si="389"/>
        <v>#VALUE!</v>
      </c>
      <c r="P1872" s="11"/>
      <c r="Q1872" s="11"/>
      <c r="R1872" s="11"/>
      <c r="S1872" s="11"/>
      <c r="T1872" s="11"/>
      <c r="U1872" s="11"/>
      <c r="V1872" s="11"/>
      <c r="W1872" s="11"/>
      <c r="X1872" s="11"/>
      <c r="Y1872" s="11"/>
      <c r="Z1872" s="11"/>
      <c r="AA1872" s="11"/>
    </row>
    <row r="1873" ht="15.75" customHeight="1">
      <c r="A1873" s="737">
        <f t="shared" si="387"/>
        <v>0</v>
      </c>
      <c r="B1873" s="737">
        <f>A1873/'Orbit Info'!$G$10</f>
        <v>0</v>
      </c>
      <c r="C1873" s="737" t="str">
        <f t="shared" si="380"/>
        <v>Housekeeping and events only</v>
      </c>
      <c r="D1873" s="737">
        <f t="shared" si="381"/>
        <v>1</v>
      </c>
      <c r="E1873" s="737" t="str">
        <f t="shared" si="382"/>
        <v>#VALUE!</v>
      </c>
      <c r="F1873" s="737">
        <v>1.0</v>
      </c>
      <c r="G1873" s="737" t="str">
        <f t="shared" si="383"/>
        <v>#VALUE!</v>
      </c>
      <c r="H1873" s="737" t="str">
        <f>MIN($Q$11/('Orbit Info'!G$10),$Q$8*60)</f>
        <v>#VALUE!</v>
      </c>
      <c r="I1873" s="737" t="str">
        <f>IF(D1873=1,$Q$12/'Data DownlinkStorage Budget'!$M$3,0)</f>
        <v>#VALUE!</v>
      </c>
      <c r="J1873" s="737" t="str">
        <f t="shared" si="388"/>
        <v>#VALUE!</v>
      </c>
      <c r="K1873" s="11"/>
      <c r="L1873" s="737" t="str">
        <f t="shared" si="385"/>
        <v>FOUND product plus housekeeping</v>
      </c>
      <c r="M1873" s="737" t="str">
        <f>MIN($Q$18,$Q$10*60)-IF(D1873=1,$Q$17/'Data DownlinkStorage Budget'!$M$3,0)</f>
        <v>#VALUE!</v>
      </c>
      <c r="N1873" s="182"/>
      <c r="O1873" s="737" t="str">
        <f t="shared" si="389"/>
        <v>#VALUE!</v>
      </c>
      <c r="P1873" s="11"/>
      <c r="Q1873" s="11"/>
      <c r="R1873" s="11"/>
      <c r="S1873" s="11"/>
      <c r="T1873" s="11"/>
      <c r="U1873" s="11"/>
      <c r="V1873" s="11"/>
      <c r="W1873" s="11"/>
      <c r="X1873" s="11"/>
      <c r="Y1873" s="11"/>
      <c r="Z1873" s="11"/>
      <c r="AA1873" s="11"/>
    </row>
    <row r="1874" ht="15.75" customHeight="1">
      <c r="A1874" s="737">
        <f t="shared" si="387"/>
        <v>0</v>
      </c>
      <c r="B1874" s="737">
        <f>A1874/'Orbit Info'!$G$10</f>
        <v>0</v>
      </c>
      <c r="C1874" s="737" t="str">
        <f t="shared" si="380"/>
        <v>Housekeeping and events only</v>
      </c>
      <c r="D1874" s="737">
        <f t="shared" si="381"/>
        <v>1</v>
      </c>
      <c r="E1874" s="737" t="str">
        <f t="shared" si="382"/>
        <v>#VALUE!</v>
      </c>
      <c r="F1874" s="737">
        <v>1.0</v>
      </c>
      <c r="G1874" s="737" t="str">
        <f t="shared" si="383"/>
        <v>#VALUE!</v>
      </c>
      <c r="H1874" s="737" t="str">
        <f>MIN($Q$11/('Orbit Info'!G$10),$Q$8*60)</f>
        <v>#VALUE!</v>
      </c>
      <c r="I1874" s="737" t="str">
        <f>IF(D1874=1,$Q$12/'Data DownlinkStorage Budget'!$M$3,0)</f>
        <v>#VALUE!</v>
      </c>
      <c r="J1874" s="737" t="str">
        <f t="shared" si="388"/>
        <v>#VALUE!</v>
      </c>
      <c r="K1874" s="11"/>
      <c r="L1874" s="737" t="str">
        <f t="shared" si="385"/>
        <v>FOUND product plus housekeeping</v>
      </c>
      <c r="M1874" s="737" t="str">
        <f>MIN($Q$18,$Q$10*60)-IF(D1874=1,$Q$17/'Data DownlinkStorage Budget'!$M$3,0)</f>
        <v>#VALUE!</v>
      </c>
      <c r="N1874" s="182"/>
      <c r="O1874" s="737" t="str">
        <f t="shared" si="389"/>
        <v>#VALUE!</v>
      </c>
      <c r="P1874" s="11"/>
      <c r="Q1874" s="11"/>
      <c r="R1874" s="11"/>
      <c r="S1874" s="11"/>
      <c r="T1874" s="11"/>
      <c r="U1874" s="11"/>
      <c r="V1874" s="11"/>
      <c r="W1874" s="11"/>
      <c r="X1874" s="11"/>
      <c r="Y1874" s="11"/>
      <c r="Z1874" s="11"/>
      <c r="AA1874" s="11"/>
    </row>
    <row r="1875" ht="15.75" customHeight="1">
      <c r="A1875" s="737">
        <f t="shared" si="387"/>
        <v>0</v>
      </c>
      <c r="B1875" s="737">
        <f>A1875/'Orbit Info'!$G$10</f>
        <v>0</v>
      </c>
      <c r="C1875" s="737" t="str">
        <f t="shared" si="380"/>
        <v>Housekeeping and events only</v>
      </c>
      <c r="D1875" s="737">
        <f t="shared" si="381"/>
        <v>1</v>
      </c>
      <c r="E1875" s="737" t="str">
        <f t="shared" si="382"/>
        <v>#VALUE!</v>
      </c>
      <c r="F1875" s="737">
        <v>1.0</v>
      </c>
      <c r="G1875" s="737" t="str">
        <f t="shared" si="383"/>
        <v>#VALUE!</v>
      </c>
      <c r="H1875" s="737" t="str">
        <f>MIN($Q$11/('Orbit Info'!G$10),$Q$8*60)</f>
        <v>#VALUE!</v>
      </c>
      <c r="I1875" s="737" t="str">
        <f>IF(D1875=1,$Q$12/'Data DownlinkStorage Budget'!$M$3,0)</f>
        <v>#VALUE!</v>
      </c>
      <c r="J1875" s="737" t="str">
        <f t="shared" si="388"/>
        <v>#VALUE!</v>
      </c>
      <c r="K1875" s="11"/>
      <c r="L1875" s="737" t="str">
        <f t="shared" si="385"/>
        <v>FOUND product plus housekeeping</v>
      </c>
      <c r="M1875" s="737" t="str">
        <f>MIN($Q$18,$Q$10*60)-IF(D1875=1,$Q$17/'Data DownlinkStorage Budget'!$M$3,0)</f>
        <v>#VALUE!</v>
      </c>
      <c r="N1875" s="182"/>
      <c r="O1875" s="737" t="str">
        <f t="shared" si="389"/>
        <v>#VALUE!</v>
      </c>
      <c r="P1875" s="11"/>
      <c r="Q1875" s="11"/>
      <c r="R1875" s="11"/>
      <c r="S1875" s="11"/>
      <c r="T1875" s="11"/>
      <c r="U1875" s="11"/>
      <c r="V1875" s="11"/>
      <c r="W1875" s="11"/>
      <c r="X1875" s="11"/>
      <c r="Y1875" s="11"/>
      <c r="Z1875" s="11"/>
      <c r="AA1875" s="11"/>
    </row>
    <row r="1876" ht="15.75" customHeight="1">
      <c r="A1876" s="737">
        <f t="shared" si="387"/>
        <v>0</v>
      </c>
      <c r="B1876" s="737">
        <f>A1876/'Orbit Info'!$G$10</f>
        <v>0</v>
      </c>
      <c r="C1876" s="737" t="str">
        <f t="shared" si="380"/>
        <v>Housekeeping and events only</v>
      </c>
      <c r="D1876" s="737">
        <f t="shared" si="381"/>
        <v>1</v>
      </c>
      <c r="E1876" s="737" t="str">
        <f t="shared" si="382"/>
        <v>#VALUE!</v>
      </c>
      <c r="F1876" s="737">
        <v>1.0</v>
      </c>
      <c r="G1876" s="737" t="str">
        <f t="shared" si="383"/>
        <v>#VALUE!</v>
      </c>
      <c r="H1876" s="737" t="str">
        <f>MIN($Q$11/('Orbit Info'!G$10),$Q$8*60)</f>
        <v>#VALUE!</v>
      </c>
      <c r="I1876" s="737" t="str">
        <f>IF(D1876=1,$Q$12/'Data DownlinkStorage Budget'!$M$3,0)</f>
        <v>#VALUE!</v>
      </c>
      <c r="J1876" s="737" t="str">
        <f t="shared" si="388"/>
        <v>#VALUE!</v>
      </c>
      <c r="K1876" s="11"/>
      <c r="L1876" s="737" t="str">
        <f t="shared" si="385"/>
        <v>FOUND product plus housekeeping</v>
      </c>
      <c r="M1876" s="737" t="str">
        <f>MIN($Q$18,$Q$10*60)-IF(D1876=1,$Q$17/'Data DownlinkStorage Budget'!$M$3,0)</f>
        <v>#VALUE!</v>
      </c>
      <c r="N1876" s="182"/>
      <c r="O1876" s="737" t="str">
        <f t="shared" si="389"/>
        <v>#VALUE!</v>
      </c>
      <c r="P1876" s="11"/>
      <c r="Q1876" s="11"/>
      <c r="R1876" s="11"/>
      <c r="S1876" s="11"/>
      <c r="T1876" s="11"/>
      <c r="U1876" s="11"/>
      <c r="V1876" s="11"/>
      <c r="W1876" s="11"/>
      <c r="X1876" s="11"/>
      <c r="Y1876" s="11"/>
      <c r="Z1876" s="11"/>
      <c r="AA1876" s="11"/>
    </row>
    <row r="1877" ht="15.75" customHeight="1">
      <c r="A1877" s="737">
        <f t="shared" si="387"/>
        <v>0</v>
      </c>
      <c r="B1877" s="737">
        <f>A1877/'Orbit Info'!$G$10</f>
        <v>0</v>
      </c>
      <c r="C1877" s="737" t="str">
        <f t="shared" si="380"/>
        <v>Housekeeping and events only</v>
      </c>
      <c r="D1877" s="737">
        <f t="shared" si="381"/>
        <v>1</v>
      </c>
      <c r="E1877" s="737" t="str">
        <f t="shared" si="382"/>
        <v>#VALUE!</v>
      </c>
      <c r="F1877" s="737">
        <v>1.0</v>
      </c>
      <c r="G1877" s="737" t="str">
        <f t="shared" si="383"/>
        <v>#VALUE!</v>
      </c>
      <c r="H1877" s="737" t="str">
        <f>MIN($Q$11/('Orbit Info'!G$10),$Q$8*60)</f>
        <v>#VALUE!</v>
      </c>
      <c r="I1877" s="737" t="str">
        <f>IF(D1877=1,$Q$12/'Data DownlinkStorage Budget'!$M$3,0)</f>
        <v>#VALUE!</v>
      </c>
      <c r="J1877" s="737" t="str">
        <f t="shared" si="388"/>
        <v>#VALUE!</v>
      </c>
      <c r="K1877" s="11"/>
      <c r="L1877" s="737" t="str">
        <f t="shared" si="385"/>
        <v>FOUND product plus housekeeping</v>
      </c>
      <c r="M1877" s="737" t="str">
        <f>MIN($Q$18,$Q$10*60)-IF(D1877=1,$Q$17/'Data DownlinkStorage Budget'!$M$3,0)</f>
        <v>#VALUE!</v>
      </c>
      <c r="N1877" s="182"/>
      <c r="O1877" s="737" t="str">
        <f t="shared" si="389"/>
        <v>#VALUE!</v>
      </c>
      <c r="P1877" s="11"/>
      <c r="Q1877" s="11"/>
      <c r="R1877" s="11"/>
      <c r="S1877" s="11"/>
      <c r="T1877" s="11"/>
      <c r="U1877" s="11"/>
      <c r="V1877" s="11"/>
      <c r="W1877" s="11"/>
      <c r="X1877" s="11"/>
      <c r="Y1877" s="11"/>
      <c r="Z1877" s="11"/>
      <c r="AA1877" s="11"/>
    </row>
    <row r="1878" ht="15.75" customHeight="1">
      <c r="A1878" s="737">
        <f t="shared" si="387"/>
        <v>0</v>
      </c>
      <c r="B1878" s="737">
        <f>A1878/'Orbit Info'!$G$10</f>
        <v>0</v>
      </c>
      <c r="C1878" s="737" t="str">
        <f t="shared" si="380"/>
        <v>Housekeeping and events only</v>
      </c>
      <c r="D1878" s="737">
        <f t="shared" si="381"/>
        <v>1</v>
      </c>
      <c r="E1878" s="737" t="str">
        <f t="shared" si="382"/>
        <v>#VALUE!</v>
      </c>
      <c r="F1878" s="737">
        <v>1.0</v>
      </c>
      <c r="G1878" s="737" t="str">
        <f t="shared" si="383"/>
        <v>#VALUE!</v>
      </c>
      <c r="H1878" s="737" t="str">
        <f>MIN($Q$11/('Orbit Info'!G$10),$Q$8*60)</f>
        <v>#VALUE!</v>
      </c>
      <c r="I1878" s="737" t="str">
        <f>IF(D1878=1,$Q$12/'Data DownlinkStorage Budget'!$M$3,0)</f>
        <v>#VALUE!</v>
      </c>
      <c r="J1878" s="737" t="str">
        <f t="shared" si="388"/>
        <v>#VALUE!</v>
      </c>
      <c r="K1878" s="11"/>
      <c r="L1878" s="737" t="str">
        <f t="shared" si="385"/>
        <v>FOUND product plus housekeeping</v>
      </c>
      <c r="M1878" s="737" t="str">
        <f>MIN($Q$18,$Q$10*60)-IF(D1878=1,$Q$17/'Data DownlinkStorage Budget'!$M$3,0)</f>
        <v>#VALUE!</v>
      </c>
      <c r="N1878" s="182"/>
      <c r="O1878" s="737" t="str">
        <f t="shared" si="389"/>
        <v>#VALUE!</v>
      </c>
      <c r="P1878" s="11"/>
      <c r="Q1878" s="11"/>
      <c r="R1878" s="11"/>
      <c r="S1878" s="11"/>
      <c r="T1878" s="11"/>
      <c r="U1878" s="11"/>
      <c r="V1878" s="11"/>
      <c r="W1878" s="11"/>
      <c r="X1878" s="11"/>
      <c r="Y1878" s="11"/>
      <c r="Z1878" s="11"/>
      <c r="AA1878" s="11"/>
    </row>
    <row r="1879" ht="15.75" customHeight="1">
      <c r="A1879" s="737">
        <f t="shared" si="387"/>
        <v>0</v>
      </c>
      <c r="B1879" s="737">
        <f>A1879/'Orbit Info'!$G$10</f>
        <v>0</v>
      </c>
      <c r="C1879" s="737" t="str">
        <f t="shared" si="380"/>
        <v>Housekeeping and events only</v>
      </c>
      <c r="D1879" s="737">
        <f t="shared" si="381"/>
        <v>1</v>
      </c>
      <c r="E1879" s="737" t="str">
        <f t="shared" si="382"/>
        <v>#VALUE!</v>
      </c>
      <c r="F1879" s="737">
        <v>1.0</v>
      </c>
      <c r="G1879" s="737" t="str">
        <f t="shared" si="383"/>
        <v>#VALUE!</v>
      </c>
      <c r="H1879" s="737" t="str">
        <f>MIN($Q$11/('Orbit Info'!G$10),$Q$8*60)</f>
        <v>#VALUE!</v>
      </c>
      <c r="I1879" s="737" t="str">
        <f>IF(D1879=1,$Q$12/'Data DownlinkStorage Budget'!$M$3,0)</f>
        <v>#VALUE!</v>
      </c>
      <c r="J1879" s="737" t="str">
        <f t="shared" si="388"/>
        <v>#VALUE!</v>
      </c>
      <c r="K1879" s="11"/>
      <c r="L1879" s="737" t="str">
        <f t="shared" si="385"/>
        <v>FOUND product plus housekeeping</v>
      </c>
      <c r="M1879" s="737" t="str">
        <f>MIN($Q$18,$Q$10*60)-IF(D1879=1,$Q$17/'Data DownlinkStorage Budget'!$M$3,0)</f>
        <v>#VALUE!</v>
      </c>
      <c r="N1879" s="182"/>
      <c r="O1879" s="737" t="str">
        <f t="shared" si="389"/>
        <v>#VALUE!</v>
      </c>
      <c r="P1879" s="11"/>
      <c r="Q1879" s="11"/>
      <c r="R1879" s="11"/>
      <c r="S1879" s="11"/>
      <c r="T1879" s="11"/>
      <c r="U1879" s="11"/>
      <c r="V1879" s="11"/>
      <c r="W1879" s="11"/>
      <c r="X1879" s="11"/>
      <c r="Y1879" s="11"/>
      <c r="Z1879" s="11"/>
      <c r="AA1879" s="11"/>
    </row>
    <row r="1880" ht="15.75" customHeight="1">
      <c r="A1880" s="737">
        <f t="shared" si="387"/>
        <v>0</v>
      </c>
      <c r="B1880" s="737">
        <f>A1880/'Orbit Info'!$G$10</f>
        <v>0</v>
      </c>
      <c r="C1880" s="737" t="str">
        <f t="shared" si="380"/>
        <v>Housekeeping and events only</v>
      </c>
      <c r="D1880" s="737">
        <f t="shared" si="381"/>
        <v>1</v>
      </c>
      <c r="E1880" s="737" t="str">
        <f t="shared" si="382"/>
        <v>#VALUE!</v>
      </c>
      <c r="F1880" s="737">
        <v>1.0</v>
      </c>
      <c r="G1880" s="737" t="str">
        <f t="shared" si="383"/>
        <v>#VALUE!</v>
      </c>
      <c r="H1880" s="737" t="str">
        <f>MIN($Q$11/('Orbit Info'!G$10),$Q$8*60)</f>
        <v>#VALUE!</v>
      </c>
      <c r="I1880" s="737" t="str">
        <f>IF(D1880=1,$Q$12/'Data DownlinkStorage Budget'!$M$3,0)</f>
        <v>#VALUE!</v>
      </c>
      <c r="J1880" s="737" t="str">
        <f t="shared" si="388"/>
        <v>#VALUE!</v>
      </c>
      <c r="K1880" s="11"/>
      <c r="L1880" s="737" t="str">
        <f t="shared" si="385"/>
        <v>FOUND product plus housekeeping</v>
      </c>
      <c r="M1880" s="737" t="str">
        <f>MIN($Q$18,$Q$10*60)-IF(D1880=1,$Q$17/'Data DownlinkStorage Budget'!$M$3,0)</f>
        <v>#VALUE!</v>
      </c>
      <c r="N1880" s="182"/>
      <c r="O1880" s="737" t="str">
        <f t="shared" si="389"/>
        <v>#VALUE!</v>
      </c>
      <c r="P1880" s="11"/>
      <c r="Q1880" s="11"/>
      <c r="R1880" s="11"/>
      <c r="S1880" s="11"/>
      <c r="T1880" s="11"/>
      <c r="U1880" s="11"/>
      <c r="V1880" s="11"/>
      <c r="W1880" s="11"/>
      <c r="X1880" s="11"/>
      <c r="Y1880" s="11"/>
      <c r="Z1880" s="11"/>
      <c r="AA1880" s="11"/>
    </row>
    <row r="1881" ht="15.75" customHeight="1">
      <c r="A1881" s="737">
        <f t="shared" si="387"/>
        <v>0</v>
      </c>
      <c r="B1881" s="737">
        <f>A1881/'Orbit Info'!$G$10</f>
        <v>0</v>
      </c>
      <c r="C1881" s="737" t="str">
        <f t="shared" si="380"/>
        <v>Housekeeping and events only</v>
      </c>
      <c r="D1881" s="737">
        <f t="shared" si="381"/>
        <v>1</v>
      </c>
      <c r="E1881" s="737" t="str">
        <f t="shared" si="382"/>
        <v>#VALUE!</v>
      </c>
      <c r="F1881" s="737">
        <v>1.0</v>
      </c>
      <c r="G1881" s="737" t="str">
        <f t="shared" si="383"/>
        <v>#VALUE!</v>
      </c>
      <c r="H1881" s="737" t="str">
        <f>MIN($Q$11/('Orbit Info'!G$10),$Q$8*60)</f>
        <v>#VALUE!</v>
      </c>
      <c r="I1881" s="737" t="str">
        <f>IF(D1881=1,$Q$12/'Data DownlinkStorage Budget'!$M$3,0)</f>
        <v>#VALUE!</v>
      </c>
      <c r="J1881" s="737" t="str">
        <f t="shared" si="388"/>
        <v>#VALUE!</v>
      </c>
      <c r="K1881" s="11"/>
      <c r="L1881" s="737" t="str">
        <f t="shared" si="385"/>
        <v>FOUND product plus housekeeping</v>
      </c>
      <c r="M1881" s="737" t="str">
        <f>MIN($Q$18,$Q$10*60)-IF(D1881=1,$Q$17/'Data DownlinkStorage Budget'!$M$3,0)</f>
        <v>#VALUE!</v>
      </c>
      <c r="N1881" s="182"/>
      <c r="O1881" s="737" t="str">
        <f t="shared" si="389"/>
        <v>#VALUE!</v>
      </c>
      <c r="P1881" s="11"/>
      <c r="Q1881" s="11"/>
      <c r="R1881" s="11"/>
      <c r="S1881" s="11"/>
      <c r="T1881" s="11"/>
      <c r="U1881" s="11"/>
      <c r="V1881" s="11"/>
      <c r="W1881" s="11"/>
      <c r="X1881" s="11"/>
      <c r="Y1881" s="11"/>
      <c r="Z1881" s="11"/>
      <c r="AA1881" s="11"/>
    </row>
    <row r="1882" ht="15.75" customHeight="1">
      <c r="A1882" s="737">
        <f t="shared" si="387"/>
        <v>0</v>
      </c>
      <c r="B1882" s="737">
        <f>A1882/'Orbit Info'!$G$10</f>
        <v>0</v>
      </c>
      <c r="C1882" s="737" t="str">
        <f t="shared" si="380"/>
        <v>Housekeeping and events only</v>
      </c>
      <c r="D1882" s="737">
        <f t="shared" si="381"/>
        <v>1</v>
      </c>
      <c r="E1882" s="737" t="str">
        <f t="shared" si="382"/>
        <v>#VALUE!</v>
      </c>
      <c r="F1882" s="737">
        <v>1.0</v>
      </c>
      <c r="G1882" s="737" t="str">
        <f t="shared" si="383"/>
        <v>#VALUE!</v>
      </c>
      <c r="H1882" s="737" t="str">
        <f>MIN($Q$11/('Orbit Info'!G$10),$Q$8*60)</f>
        <v>#VALUE!</v>
      </c>
      <c r="I1882" s="737" t="str">
        <f>IF(D1882=1,$Q$12/'Data DownlinkStorage Budget'!$M$3,0)</f>
        <v>#VALUE!</v>
      </c>
      <c r="J1882" s="737" t="str">
        <f t="shared" si="388"/>
        <v>#VALUE!</v>
      </c>
      <c r="K1882" s="11"/>
      <c r="L1882" s="737" t="str">
        <f t="shared" si="385"/>
        <v>FOUND product plus housekeeping</v>
      </c>
      <c r="M1882" s="737" t="str">
        <f>MIN($Q$18,$Q$10*60)-IF(D1882=1,$Q$17/'Data DownlinkStorage Budget'!$M$3,0)</f>
        <v>#VALUE!</v>
      </c>
      <c r="N1882" s="182"/>
      <c r="O1882" s="737" t="str">
        <f t="shared" si="389"/>
        <v>#VALUE!</v>
      </c>
      <c r="P1882" s="11"/>
      <c r="Q1882" s="11"/>
      <c r="R1882" s="11"/>
      <c r="S1882" s="11"/>
      <c r="T1882" s="11"/>
      <c r="U1882" s="11"/>
      <c r="V1882" s="11"/>
      <c r="W1882" s="11"/>
      <c r="X1882" s="11"/>
      <c r="Y1882" s="11"/>
      <c r="Z1882" s="11"/>
      <c r="AA1882" s="11"/>
    </row>
    <row r="1883" ht="15.75" customHeight="1">
      <c r="A1883" s="737">
        <f t="shared" si="387"/>
        <v>0</v>
      </c>
      <c r="B1883" s="737">
        <f>A1883/'Orbit Info'!$G$10</f>
        <v>0</v>
      </c>
      <c r="C1883" s="737" t="str">
        <f t="shared" si="380"/>
        <v>Housekeeping and events only</v>
      </c>
      <c r="D1883" s="737">
        <f t="shared" si="381"/>
        <v>1</v>
      </c>
      <c r="E1883" s="737" t="str">
        <f t="shared" si="382"/>
        <v>#VALUE!</v>
      </c>
      <c r="F1883" s="737">
        <v>1.0</v>
      </c>
      <c r="G1883" s="737" t="str">
        <f t="shared" si="383"/>
        <v>#VALUE!</v>
      </c>
      <c r="H1883" s="737" t="str">
        <f>MIN($Q$11/('Orbit Info'!G$10),$Q$8*60)</f>
        <v>#VALUE!</v>
      </c>
      <c r="I1883" s="737" t="str">
        <f>IF(D1883=1,$Q$12/'Data DownlinkStorage Budget'!$M$3,0)</f>
        <v>#VALUE!</v>
      </c>
      <c r="J1883" s="737" t="str">
        <f t="shared" si="388"/>
        <v>#VALUE!</v>
      </c>
      <c r="K1883" s="11"/>
      <c r="L1883" s="737" t="str">
        <f t="shared" si="385"/>
        <v>FOUND product plus housekeeping</v>
      </c>
      <c r="M1883" s="737" t="str">
        <f>MIN($Q$18,$Q$10*60)-IF(D1883=1,$Q$17/'Data DownlinkStorage Budget'!$M$3,0)</f>
        <v>#VALUE!</v>
      </c>
      <c r="N1883" s="182"/>
      <c r="O1883" s="737" t="str">
        <f t="shared" si="389"/>
        <v>#VALUE!</v>
      </c>
      <c r="P1883" s="11"/>
      <c r="Q1883" s="11"/>
      <c r="R1883" s="11"/>
      <c r="S1883" s="11"/>
      <c r="T1883" s="11"/>
      <c r="U1883" s="11"/>
      <c r="V1883" s="11"/>
      <c r="W1883" s="11"/>
      <c r="X1883" s="11"/>
      <c r="Y1883" s="11"/>
      <c r="Z1883" s="11"/>
      <c r="AA1883" s="11"/>
    </row>
    <row r="1884" ht="15.75" customHeight="1">
      <c r="A1884" s="737">
        <f t="shared" si="387"/>
        <v>0</v>
      </c>
      <c r="B1884" s="737">
        <f>A1884/'Orbit Info'!$G$10</f>
        <v>0</v>
      </c>
      <c r="C1884" s="737" t="str">
        <f t="shared" si="380"/>
        <v>Housekeeping and events only</v>
      </c>
      <c r="D1884" s="737">
        <f t="shared" si="381"/>
        <v>1</v>
      </c>
      <c r="E1884" s="737" t="str">
        <f t="shared" si="382"/>
        <v>#VALUE!</v>
      </c>
      <c r="F1884" s="737">
        <v>1.0</v>
      </c>
      <c r="G1884" s="737" t="str">
        <f t="shared" si="383"/>
        <v>#VALUE!</v>
      </c>
      <c r="H1884" s="737" t="str">
        <f>MIN($Q$11/('Orbit Info'!G$10),$Q$8*60)</f>
        <v>#VALUE!</v>
      </c>
      <c r="I1884" s="737" t="str">
        <f>IF(D1884=1,$Q$12/'Data DownlinkStorage Budget'!$M$3,0)</f>
        <v>#VALUE!</v>
      </c>
      <c r="J1884" s="737" t="str">
        <f t="shared" si="388"/>
        <v>#VALUE!</v>
      </c>
      <c r="K1884" s="11"/>
      <c r="L1884" s="737" t="str">
        <f t="shared" si="385"/>
        <v>FOUND product plus housekeeping</v>
      </c>
      <c r="M1884" s="737" t="str">
        <f>MIN($Q$18,$Q$10*60)-IF(D1884=1,$Q$17/'Data DownlinkStorage Budget'!$M$3,0)</f>
        <v>#VALUE!</v>
      </c>
      <c r="N1884" s="182"/>
      <c r="O1884" s="737" t="str">
        <f t="shared" si="389"/>
        <v>#VALUE!</v>
      </c>
      <c r="P1884" s="11"/>
      <c r="Q1884" s="11"/>
      <c r="R1884" s="11"/>
      <c r="S1884" s="11"/>
      <c r="T1884" s="11"/>
      <c r="U1884" s="11"/>
      <c r="V1884" s="11"/>
      <c r="W1884" s="11"/>
      <c r="X1884" s="11"/>
      <c r="Y1884" s="11"/>
      <c r="Z1884" s="11"/>
      <c r="AA1884" s="11"/>
    </row>
  </sheetData>
  <mergeCells count="9">
    <mergeCell ref="A18:H18"/>
    <mergeCell ref="A20:H20"/>
    <mergeCell ref="A1:H1"/>
    <mergeCell ref="A2:H2"/>
    <mergeCell ref="A4:C4"/>
    <mergeCell ref="E4:H4"/>
    <mergeCell ref="J4:M4"/>
    <mergeCell ref="O4:Q4"/>
    <mergeCell ref="J12:M12"/>
  </mergeCells>
  <printOptions/>
  <pageMargins bottom="0.75" footer="0.0" header="0.0" left="0.7" right="0.7" top="0.75"/>
  <pageSetup orientation="portrait"/>
  <drawing r:id="rId2"/>
  <legacy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outlineLevelRow="1"/>
  <cols>
    <col customWidth="1" min="1" max="1" width="31.13"/>
    <col customWidth="1" min="2" max="2" width="41.75"/>
    <col customWidth="1" min="3" max="3" width="20.13"/>
    <col customWidth="1" min="5" max="5" width="17.38"/>
    <col customWidth="1" min="6" max="6" width="17.25"/>
    <col customWidth="1" min="7" max="7" width="21.38"/>
    <col customWidth="1" min="8" max="8" width="19.38"/>
    <col customWidth="1" min="10" max="10" width="51.75"/>
  </cols>
  <sheetData>
    <row r="1">
      <c r="A1" s="186" t="s">
        <v>204</v>
      </c>
      <c r="B1" s="61"/>
      <c r="C1" s="61"/>
      <c r="D1" s="61"/>
      <c r="E1" s="61"/>
      <c r="F1" s="61"/>
      <c r="G1" s="61"/>
      <c r="H1" s="61"/>
      <c r="I1" s="61"/>
      <c r="J1" s="62"/>
      <c r="K1" s="189"/>
      <c r="L1" s="189"/>
      <c r="M1" s="189"/>
      <c r="N1" s="189"/>
      <c r="O1" s="189"/>
      <c r="P1" s="189"/>
      <c r="Q1" s="189"/>
      <c r="R1" s="189"/>
      <c r="S1" s="189"/>
      <c r="T1" s="189"/>
      <c r="U1" s="189"/>
      <c r="V1" s="189"/>
      <c r="W1" s="189"/>
      <c r="X1" s="189"/>
      <c r="Y1" s="189"/>
      <c r="Z1" s="189"/>
      <c r="AA1" s="192"/>
      <c r="AB1" s="192"/>
      <c r="AC1" s="192"/>
      <c r="AD1" s="192"/>
    </row>
    <row r="2">
      <c r="A2" s="193"/>
      <c r="B2" s="61"/>
      <c r="C2" s="61"/>
      <c r="D2" s="61"/>
      <c r="E2" s="61"/>
      <c r="F2" s="61"/>
      <c r="G2" s="61"/>
      <c r="H2" s="61"/>
      <c r="I2" s="61"/>
      <c r="J2" s="62"/>
      <c r="K2" s="189"/>
      <c r="L2" s="189"/>
      <c r="M2" s="189"/>
      <c r="N2" s="189"/>
      <c r="O2" s="189"/>
      <c r="P2" s="189"/>
      <c r="Q2" s="189"/>
      <c r="R2" s="189"/>
      <c r="S2" s="189"/>
      <c r="T2" s="189"/>
      <c r="U2" s="189"/>
      <c r="V2" s="189"/>
      <c r="W2" s="189"/>
      <c r="X2" s="189"/>
      <c r="Y2" s="189"/>
      <c r="Z2" s="189"/>
    </row>
    <row r="3">
      <c r="A3" s="196" t="s">
        <v>222</v>
      </c>
      <c r="B3" s="61"/>
      <c r="C3" s="61"/>
      <c r="D3" s="61"/>
      <c r="E3" s="61"/>
      <c r="F3" s="61"/>
      <c r="G3" s="61"/>
      <c r="H3" s="61"/>
      <c r="I3" s="61"/>
      <c r="J3" s="62"/>
      <c r="K3" s="189"/>
      <c r="L3" s="189"/>
      <c r="M3" s="189"/>
      <c r="N3" s="189"/>
      <c r="O3" s="189"/>
      <c r="P3" s="189"/>
      <c r="Q3" s="189"/>
      <c r="R3" s="189"/>
      <c r="S3" s="189"/>
      <c r="T3" s="189"/>
      <c r="U3" s="189"/>
      <c r="V3" s="189"/>
      <c r="W3" s="189"/>
      <c r="X3" s="189"/>
      <c r="Y3" s="189"/>
      <c r="Z3" s="189"/>
      <c r="AA3" s="192"/>
      <c r="AB3" s="192"/>
      <c r="AC3" s="192"/>
      <c r="AD3" s="192"/>
    </row>
    <row r="4">
      <c r="A4" s="198" t="s">
        <v>223</v>
      </c>
      <c r="B4" s="198" t="s">
        <v>226</v>
      </c>
      <c r="C4" s="198" t="s">
        <v>227</v>
      </c>
      <c r="D4" s="198" t="s">
        <v>228</v>
      </c>
      <c r="E4" s="198" t="s">
        <v>229</v>
      </c>
      <c r="F4" s="198" t="s">
        <v>230</v>
      </c>
      <c r="G4" s="198" t="s">
        <v>231</v>
      </c>
      <c r="H4" s="203" t="s">
        <v>232</v>
      </c>
      <c r="I4" s="198" t="s">
        <v>237</v>
      </c>
      <c r="J4" s="203" t="s">
        <v>238</v>
      </c>
      <c r="K4" s="189"/>
      <c r="L4" s="189"/>
      <c r="M4" s="189"/>
      <c r="N4" s="189"/>
      <c r="O4" s="189"/>
      <c r="P4" s="189"/>
      <c r="Q4" s="189"/>
      <c r="R4" s="189"/>
      <c r="S4" s="189"/>
      <c r="T4" s="189"/>
      <c r="U4" s="189"/>
      <c r="V4" s="189"/>
      <c r="W4" s="189"/>
      <c r="X4" s="189"/>
      <c r="Y4" s="189"/>
      <c r="Z4" s="189"/>
      <c r="AA4" s="192"/>
      <c r="AB4" s="192"/>
      <c r="AC4" s="192"/>
      <c r="AD4" s="192"/>
    </row>
    <row r="5">
      <c r="A5" s="199" t="s">
        <v>40</v>
      </c>
      <c r="B5" s="199" t="s">
        <v>239</v>
      </c>
      <c r="C5" s="199" t="s">
        <v>240</v>
      </c>
      <c r="D5" s="199" t="s">
        <v>241</v>
      </c>
      <c r="E5" s="205">
        <v>4096.0</v>
      </c>
      <c r="F5" s="207">
        <v>0.016666666666666666</v>
      </c>
      <c r="G5" s="208">
        <f t="shared" ref="G5:G23" si="1">E5*F5</f>
        <v>68.26666667</v>
      </c>
      <c r="H5" s="205">
        <v>5.0E7</v>
      </c>
      <c r="I5" s="211">
        <f t="shared" ref="I5:I23" si="2">IF(H5&gt;0,G5*8/H5,0)</f>
        <v>0.00001092266667</v>
      </c>
      <c r="J5" s="213" t="s">
        <v>255</v>
      </c>
      <c r="K5" s="189"/>
      <c r="L5" s="189"/>
      <c r="M5" s="189"/>
      <c r="N5" s="189"/>
      <c r="O5" s="189"/>
      <c r="P5" s="189"/>
      <c r="Q5" s="189"/>
      <c r="R5" s="189"/>
      <c r="S5" s="189"/>
      <c r="T5" s="189"/>
      <c r="U5" s="189"/>
      <c r="V5" s="189"/>
      <c r="W5" s="189"/>
      <c r="X5" s="189"/>
      <c r="Y5" s="189"/>
      <c r="Z5" s="189"/>
      <c r="AA5" s="192"/>
      <c r="AB5" s="192"/>
      <c r="AC5" s="192"/>
      <c r="AD5" s="192"/>
    </row>
    <row r="6">
      <c r="A6" s="199" t="s">
        <v>40</v>
      </c>
      <c r="B6" s="199" t="s">
        <v>258</v>
      </c>
      <c r="C6" s="199" t="s">
        <v>240</v>
      </c>
      <c r="D6" s="199" t="s">
        <v>241</v>
      </c>
      <c r="E6" s="205">
        <v>1024.0</v>
      </c>
      <c r="F6" s="207">
        <v>0.05</v>
      </c>
      <c r="G6" s="208">
        <f t="shared" si="1"/>
        <v>51.2</v>
      </c>
      <c r="H6" s="205">
        <v>5.0E7</v>
      </c>
      <c r="I6" s="211">
        <f t="shared" si="2"/>
        <v>0.000008192</v>
      </c>
      <c r="J6" s="213" t="s">
        <v>260</v>
      </c>
      <c r="K6" s="189"/>
      <c r="L6" s="189"/>
      <c r="M6" s="189"/>
      <c r="N6" s="189"/>
      <c r="O6" s="189"/>
      <c r="P6" s="189"/>
      <c r="Q6" s="189"/>
      <c r="R6" s="189"/>
      <c r="S6" s="189"/>
      <c r="T6" s="189"/>
      <c r="U6" s="189"/>
      <c r="V6" s="189"/>
      <c r="W6" s="189"/>
      <c r="X6" s="189"/>
      <c r="Y6" s="189"/>
      <c r="Z6" s="189"/>
      <c r="AA6" s="192"/>
      <c r="AB6" s="192"/>
      <c r="AC6" s="192"/>
      <c r="AD6" s="192"/>
    </row>
    <row r="7">
      <c r="A7" s="199" t="s">
        <v>40</v>
      </c>
      <c r="B7" s="199" t="s">
        <v>262</v>
      </c>
      <c r="C7" s="199" t="s">
        <v>240</v>
      </c>
      <c r="D7" s="199" t="s">
        <v>241</v>
      </c>
      <c r="E7" s="205">
        <f>2064*1544*10/8</f>
        <v>3983520</v>
      </c>
      <c r="F7" s="207">
        <f>4/86400</f>
        <v>0.0000462962963</v>
      </c>
      <c r="G7" s="208">
        <f t="shared" si="1"/>
        <v>184.4222222</v>
      </c>
      <c r="H7" s="205">
        <v>5.0E7</v>
      </c>
      <c r="I7" s="211">
        <f t="shared" si="2"/>
        <v>0.00002950755556</v>
      </c>
      <c r="J7" s="199" t="s">
        <v>270</v>
      </c>
      <c r="K7" s="189"/>
      <c r="L7" s="189"/>
      <c r="M7" s="189"/>
      <c r="N7" s="189"/>
      <c r="O7" s="189"/>
      <c r="P7" s="189"/>
      <c r="Q7" s="189"/>
      <c r="R7" s="189"/>
      <c r="S7" s="189"/>
      <c r="T7" s="189"/>
      <c r="U7" s="189"/>
      <c r="V7" s="189"/>
      <c r="W7" s="189"/>
      <c r="X7" s="189"/>
      <c r="Y7" s="189"/>
      <c r="Z7" s="189"/>
      <c r="AA7" s="192"/>
      <c r="AB7" s="192"/>
      <c r="AC7" s="192"/>
      <c r="AD7" s="192"/>
    </row>
    <row r="8">
      <c r="A8" s="199" t="s">
        <v>40</v>
      </c>
      <c r="B8" s="199" t="s">
        <v>274</v>
      </c>
      <c r="C8" s="199" t="s">
        <v>276</v>
      </c>
      <c r="D8" s="199" t="s">
        <v>278</v>
      </c>
      <c r="E8" s="205">
        <v>18.0</v>
      </c>
      <c r="F8" s="207">
        <v>5.0</v>
      </c>
      <c r="G8" s="208">
        <f t="shared" si="1"/>
        <v>90</v>
      </c>
      <c r="H8" s="205">
        <v>2.0E7</v>
      </c>
      <c r="I8" s="211">
        <f t="shared" si="2"/>
        <v>0.000036</v>
      </c>
      <c r="J8" s="199" t="s">
        <v>279</v>
      </c>
      <c r="K8" s="189"/>
      <c r="L8" s="189"/>
      <c r="M8" s="189"/>
      <c r="N8" s="189"/>
      <c r="O8" s="189"/>
      <c r="P8" s="189"/>
      <c r="Q8" s="189"/>
      <c r="R8" s="189"/>
      <c r="S8" s="189"/>
      <c r="T8" s="189"/>
      <c r="U8" s="189"/>
      <c r="V8" s="189"/>
      <c r="W8" s="189"/>
      <c r="X8" s="189"/>
      <c r="Y8" s="189"/>
      <c r="Z8" s="189"/>
      <c r="AA8" s="192"/>
      <c r="AB8" s="192"/>
      <c r="AC8" s="192"/>
      <c r="AD8" s="192"/>
    </row>
    <row r="9">
      <c r="A9" s="199" t="s">
        <v>280</v>
      </c>
      <c r="B9" s="199" t="s">
        <v>281</v>
      </c>
      <c r="C9" s="199" t="s">
        <v>276</v>
      </c>
      <c r="D9" s="199" t="s">
        <v>278</v>
      </c>
      <c r="E9" s="205">
        <v>32.0</v>
      </c>
      <c r="F9" s="207">
        <v>0.1</v>
      </c>
      <c r="G9" s="208">
        <f t="shared" si="1"/>
        <v>3.2</v>
      </c>
      <c r="H9" s="205">
        <v>2.0E7</v>
      </c>
      <c r="I9" s="211">
        <f t="shared" si="2"/>
        <v>0.00000128</v>
      </c>
      <c r="J9" s="213" t="s">
        <v>284</v>
      </c>
      <c r="K9" s="189"/>
      <c r="L9" s="189"/>
      <c r="M9" s="189"/>
      <c r="N9" s="189"/>
      <c r="O9" s="189"/>
      <c r="P9" s="189"/>
      <c r="Q9" s="189"/>
      <c r="R9" s="189"/>
      <c r="S9" s="189"/>
      <c r="T9" s="189"/>
      <c r="U9" s="189"/>
      <c r="V9" s="189"/>
      <c r="W9" s="189"/>
      <c r="X9" s="189"/>
      <c r="Y9" s="189"/>
      <c r="Z9" s="189"/>
      <c r="AA9" s="192"/>
      <c r="AB9" s="192"/>
      <c r="AC9" s="192"/>
      <c r="AD9" s="192"/>
    </row>
    <row r="10">
      <c r="A10" s="199" t="s">
        <v>40</v>
      </c>
      <c r="B10" s="199" t="s">
        <v>286</v>
      </c>
      <c r="C10" s="199" t="s">
        <v>240</v>
      </c>
      <c r="D10" s="199" t="s">
        <v>241</v>
      </c>
      <c r="E10" s="205">
        <f>2064*1544*10/8</f>
        <v>3983520</v>
      </c>
      <c r="F10" s="207">
        <f>4/86400</f>
        <v>0.0000462962963</v>
      </c>
      <c r="G10" s="208">
        <f t="shared" si="1"/>
        <v>184.4222222</v>
      </c>
      <c r="H10" s="205">
        <v>5.0E7</v>
      </c>
      <c r="I10" s="211">
        <f t="shared" si="2"/>
        <v>0.00002950755556</v>
      </c>
      <c r="J10" s="213" t="s">
        <v>293</v>
      </c>
      <c r="K10" s="189"/>
      <c r="L10" s="189"/>
      <c r="M10" s="189"/>
      <c r="N10" s="189"/>
      <c r="O10" s="189"/>
      <c r="P10" s="189"/>
      <c r="Q10" s="189"/>
      <c r="R10" s="189"/>
      <c r="S10" s="189"/>
      <c r="T10" s="189"/>
      <c r="U10" s="189"/>
      <c r="V10" s="189"/>
      <c r="W10" s="189"/>
      <c r="X10" s="189"/>
      <c r="Y10" s="189"/>
      <c r="Z10" s="189"/>
      <c r="AA10" s="192"/>
      <c r="AB10" s="192"/>
      <c r="AC10" s="192"/>
      <c r="AD10" s="192"/>
    </row>
    <row r="11">
      <c r="A11" s="199" t="s">
        <v>40</v>
      </c>
      <c r="B11" s="199" t="s">
        <v>296</v>
      </c>
      <c r="C11" s="199" t="s">
        <v>240</v>
      </c>
      <c r="D11" s="199" t="s">
        <v>241</v>
      </c>
      <c r="E11" s="205">
        <v>4096.0</v>
      </c>
      <c r="F11" s="207">
        <v>0.016666666666666666</v>
      </c>
      <c r="G11" s="208">
        <f t="shared" si="1"/>
        <v>68.26666667</v>
      </c>
      <c r="H11" s="205">
        <v>5.0E7</v>
      </c>
      <c r="I11" s="211">
        <f t="shared" si="2"/>
        <v>0.00001092266667</v>
      </c>
      <c r="J11" s="199" t="s">
        <v>301</v>
      </c>
      <c r="K11" s="189"/>
      <c r="L11" s="189"/>
      <c r="M11" s="189"/>
      <c r="N11" s="189"/>
      <c r="O11" s="189"/>
      <c r="P11" s="189"/>
      <c r="Q11" s="189"/>
      <c r="R11" s="189"/>
      <c r="S11" s="189"/>
      <c r="T11" s="189"/>
      <c r="U11" s="189"/>
      <c r="V11" s="189"/>
      <c r="W11" s="189"/>
      <c r="X11" s="189"/>
      <c r="Y11" s="189"/>
      <c r="Z11" s="189"/>
      <c r="AA11" s="192"/>
      <c r="AB11" s="192"/>
      <c r="AC11" s="192"/>
      <c r="AD11" s="192"/>
    </row>
    <row r="12">
      <c r="A12" s="199" t="s">
        <v>303</v>
      </c>
      <c r="B12" s="199" t="s">
        <v>304</v>
      </c>
      <c r="C12" s="199" t="s">
        <v>305</v>
      </c>
      <c r="D12" s="199" t="s">
        <v>306</v>
      </c>
      <c r="E12" s="205">
        <v>2.0</v>
      </c>
      <c r="F12" s="207">
        <v>0.016666666666666666</v>
      </c>
      <c r="G12" s="208">
        <f t="shared" si="1"/>
        <v>0.03333333333</v>
      </c>
      <c r="H12" s="205">
        <v>400000.0</v>
      </c>
      <c r="I12" s="211">
        <f t="shared" si="2"/>
        <v>0.0000006666666667</v>
      </c>
      <c r="J12" s="199" t="s">
        <v>308</v>
      </c>
      <c r="K12" s="189"/>
      <c r="L12" s="189"/>
      <c r="M12" s="189"/>
      <c r="N12" s="189"/>
      <c r="O12" s="189"/>
      <c r="P12" s="189"/>
      <c r="Q12" s="189"/>
      <c r="R12" s="189"/>
      <c r="S12" s="189"/>
      <c r="T12" s="189"/>
      <c r="U12" s="189"/>
      <c r="V12" s="189"/>
      <c r="W12" s="189"/>
      <c r="X12" s="189"/>
      <c r="Y12" s="189"/>
      <c r="Z12" s="189"/>
      <c r="AA12" s="192"/>
      <c r="AB12" s="192"/>
      <c r="AC12" s="192"/>
      <c r="AD12" s="192"/>
    </row>
    <row r="13">
      <c r="A13" s="199" t="s">
        <v>303</v>
      </c>
      <c r="B13" s="199" t="s">
        <v>311</v>
      </c>
      <c r="C13" s="199" t="s">
        <v>312</v>
      </c>
      <c r="D13" s="199" t="s">
        <v>312</v>
      </c>
      <c r="E13" s="205">
        <v>0.0</v>
      </c>
      <c r="F13" s="207">
        <v>0.05555555555555555</v>
      </c>
      <c r="G13" s="208">
        <f t="shared" si="1"/>
        <v>0</v>
      </c>
      <c r="H13" s="205">
        <v>0.0</v>
      </c>
      <c r="I13" s="211">
        <f t="shared" si="2"/>
        <v>0</v>
      </c>
      <c r="J13" s="199" t="s">
        <v>314</v>
      </c>
      <c r="K13" s="189"/>
      <c r="L13" s="189"/>
      <c r="M13" s="189"/>
      <c r="N13" s="189"/>
      <c r="O13" s="189"/>
      <c r="P13" s="189"/>
      <c r="Q13" s="189"/>
      <c r="R13" s="189"/>
      <c r="S13" s="189"/>
      <c r="T13" s="189"/>
      <c r="U13" s="189"/>
      <c r="V13" s="189"/>
      <c r="W13" s="189"/>
      <c r="X13" s="189"/>
      <c r="Y13" s="189"/>
      <c r="Z13" s="189"/>
      <c r="AA13" s="192"/>
      <c r="AB13" s="192"/>
      <c r="AC13" s="192"/>
      <c r="AD13" s="192"/>
    </row>
    <row r="14">
      <c r="A14" s="199" t="s">
        <v>303</v>
      </c>
      <c r="B14" s="199" t="s">
        <v>316</v>
      </c>
      <c r="C14" s="199" t="s">
        <v>317</v>
      </c>
      <c r="D14" s="199" t="s">
        <v>319</v>
      </c>
      <c r="E14" s="205">
        <v>42.0</v>
      </c>
      <c r="F14" s="207">
        <v>0.05555555555555555</v>
      </c>
      <c r="G14" s="208">
        <f t="shared" si="1"/>
        <v>2.333333333</v>
      </c>
      <c r="H14" s="205">
        <v>9600.0</v>
      </c>
      <c r="I14" s="211">
        <f t="shared" si="2"/>
        <v>0.001944444444</v>
      </c>
      <c r="J14" s="199" t="s">
        <v>321</v>
      </c>
      <c r="K14" s="189"/>
      <c r="L14" s="189"/>
      <c r="M14" s="189"/>
      <c r="N14" s="189"/>
      <c r="O14" s="189"/>
      <c r="P14" s="189"/>
      <c r="Q14" s="189"/>
      <c r="R14" s="189"/>
      <c r="S14" s="189"/>
      <c r="T14" s="189"/>
      <c r="U14" s="189"/>
      <c r="V14" s="189"/>
      <c r="W14" s="189"/>
      <c r="X14" s="189"/>
      <c r="Y14" s="189"/>
      <c r="Z14" s="189"/>
      <c r="AA14" s="192"/>
      <c r="AB14" s="192"/>
      <c r="AC14" s="192"/>
      <c r="AD14" s="192"/>
    </row>
    <row r="15">
      <c r="A15" s="199" t="s">
        <v>303</v>
      </c>
      <c r="B15" s="199" t="s">
        <v>322</v>
      </c>
      <c r="C15" s="199" t="s">
        <v>317</v>
      </c>
      <c r="D15" s="199" t="s">
        <v>323</v>
      </c>
      <c r="E15" s="205">
        <v>48.0</v>
      </c>
      <c r="F15" s="207">
        <v>0.05555555555555555</v>
      </c>
      <c r="G15" s="208">
        <f t="shared" si="1"/>
        <v>2.666666667</v>
      </c>
      <c r="H15" s="205">
        <v>921600.0</v>
      </c>
      <c r="I15" s="211">
        <f t="shared" si="2"/>
        <v>0.00002314814815</v>
      </c>
      <c r="J15" s="199" t="s">
        <v>324</v>
      </c>
      <c r="K15" s="189"/>
      <c r="L15" s="189"/>
      <c r="M15" s="189"/>
      <c r="N15" s="189"/>
      <c r="O15" s="189"/>
      <c r="P15" s="189"/>
      <c r="Q15" s="189"/>
      <c r="R15" s="189"/>
      <c r="S15" s="189"/>
      <c r="T15" s="189"/>
      <c r="U15" s="189"/>
      <c r="V15" s="189"/>
      <c r="W15" s="189"/>
      <c r="X15" s="189"/>
      <c r="Y15" s="189"/>
      <c r="Z15" s="189"/>
      <c r="AA15" s="192"/>
      <c r="AB15" s="192"/>
      <c r="AC15" s="192"/>
      <c r="AD15" s="192"/>
    </row>
    <row r="16">
      <c r="A16" s="199" t="s">
        <v>75</v>
      </c>
      <c r="B16" s="199" t="s">
        <v>333</v>
      </c>
      <c r="C16" s="199" t="s">
        <v>305</v>
      </c>
      <c r="D16" s="199" t="s">
        <v>306</v>
      </c>
      <c r="E16" s="205">
        <v>6.0</v>
      </c>
      <c r="F16" s="207">
        <v>0.016666666666666666</v>
      </c>
      <c r="G16" s="208">
        <f t="shared" si="1"/>
        <v>0.1</v>
      </c>
      <c r="H16" s="205">
        <v>400000.0</v>
      </c>
      <c r="I16" s="211">
        <f t="shared" si="2"/>
        <v>0.000002</v>
      </c>
      <c r="J16" s="199" t="s">
        <v>335</v>
      </c>
      <c r="K16" s="189"/>
      <c r="L16" s="189"/>
      <c r="M16" s="189"/>
      <c r="N16" s="189"/>
      <c r="O16" s="189"/>
      <c r="P16" s="189"/>
      <c r="Q16" s="189"/>
      <c r="R16" s="189"/>
      <c r="S16" s="189"/>
      <c r="T16" s="189"/>
      <c r="U16" s="189"/>
      <c r="V16" s="189"/>
      <c r="W16" s="189"/>
      <c r="X16" s="189"/>
      <c r="Y16" s="189"/>
      <c r="Z16" s="189"/>
      <c r="AA16" s="192"/>
      <c r="AB16" s="192"/>
      <c r="AC16" s="192"/>
      <c r="AD16" s="192"/>
    </row>
    <row r="17">
      <c r="A17" s="199" t="s">
        <v>75</v>
      </c>
      <c r="B17" s="199" t="s">
        <v>336</v>
      </c>
      <c r="C17" s="199" t="s">
        <v>312</v>
      </c>
      <c r="D17" s="199" t="s">
        <v>312</v>
      </c>
      <c r="E17" s="205">
        <v>0.0</v>
      </c>
      <c r="F17" s="207">
        <v>0.0</v>
      </c>
      <c r="G17" s="208">
        <f t="shared" si="1"/>
        <v>0</v>
      </c>
      <c r="H17" s="205">
        <v>0.0</v>
      </c>
      <c r="I17" s="211">
        <f t="shared" si="2"/>
        <v>0</v>
      </c>
      <c r="J17" s="199" t="s">
        <v>337</v>
      </c>
      <c r="K17" s="189"/>
      <c r="L17" s="189"/>
      <c r="M17" s="189"/>
      <c r="N17" s="189"/>
      <c r="O17" s="189"/>
      <c r="P17" s="189"/>
      <c r="Q17" s="189"/>
      <c r="R17" s="189"/>
      <c r="S17" s="189"/>
      <c r="T17" s="189"/>
      <c r="U17" s="189"/>
      <c r="V17" s="189"/>
      <c r="W17" s="189"/>
      <c r="X17" s="189"/>
      <c r="Y17" s="189"/>
      <c r="Z17" s="189"/>
      <c r="AA17" s="192"/>
      <c r="AB17" s="192"/>
      <c r="AC17" s="192"/>
      <c r="AD17" s="192"/>
    </row>
    <row r="18">
      <c r="A18" s="199" t="s">
        <v>75</v>
      </c>
      <c r="B18" s="199" t="s">
        <v>338</v>
      </c>
      <c r="C18" s="199" t="s">
        <v>312</v>
      </c>
      <c r="D18" s="199" t="s">
        <v>312</v>
      </c>
      <c r="E18" s="205">
        <v>0.0</v>
      </c>
      <c r="F18" s="207">
        <v>1.0</v>
      </c>
      <c r="G18" s="208">
        <f t="shared" si="1"/>
        <v>0</v>
      </c>
      <c r="H18" s="205">
        <v>0.0</v>
      </c>
      <c r="I18" s="211">
        <f t="shared" si="2"/>
        <v>0</v>
      </c>
      <c r="J18" s="199" t="s">
        <v>339</v>
      </c>
      <c r="K18" s="189"/>
      <c r="L18" s="189"/>
      <c r="M18" s="189"/>
      <c r="N18" s="189"/>
      <c r="O18" s="189"/>
      <c r="P18" s="189"/>
      <c r="Q18" s="189"/>
      <c r="R18" s="189"/>
      <c r="S18" s="189"/>
      <c r="T18" s="189"/>
      <c r="U18" s="189"/>
      <c r="V18" s="189"/>
      <c r="W18" s="189"/>
      <c r="X18" s="189"/>
      <c r="Y18" s="189"/>
      <c r="Z18" s="189"/>
      <c r="AA18" s="192"/>
      <c r="AB18" s="192"/>
      <c r="AC18" s="192"/>
      <c r="AD18" s="192"/>
    </row>
    <row r="19">
      <c r="A19" s="199" t="s">
        <v>75</v>
      </c>
      <c r="B19" s="199" t="s">
        <v>340</v>
      </c>
      <c r="C19" s="199" t="s">
        <v>305</v>
      </c>
      <c r="D19" s="199" t="s">
        <v>306</v>
      </c>
      <c r="E19" s="205">
        <v>4.0</v>
      </c>
      <c r="F19" s="207">
        <v>0.016666666666666666</v>
      </c>
      <c r="G19" s="208">
        <f t="shared" si="1"/>
        <v>0.06666666667</v>
      </c>
      <c r="H19" s="205">
        <v>400000.0</v>
      </c>
      <c r="I19" s="211">
        <f t="shared" si="2"/>
        <v>0.000001333333333</v>
      </c>
      <c r="J19" s="199" t="s">
        <v>341</v>
      </c>
      <c r="K19" s="189"/>
      <c r="L19" s="189"/>
      <c r="M19" s="189"/>
      <c r="N19" s="189"/>
      <c r="O19" s="189"/>
      <c r="P19" s="189"/>
      <c r="Q19" s="189"/>
      <c r="R19" s="189"/>
      <c r="S19" s="189"/>
      <c r="T19" s="189"/>
      <c r="U19" s="189"/>
      <c r="V19" s="189"/>
      <c r="W19" s="189"/>
      <c r="X19" s="189"/>
      <c r="Y19" s="189"/>
      <c r="Z19" s="189"/>
      <c r="AA19" s="192"/>
      <c r="AB19" s="192"/>
      <c r="AC19" s="192"/>
      <c r="AD19" s="192"/>
    </row>
    <row r="20">
      <c r="A20" s="199" t="s">
        <v>342</v>
      </c>
      <c r="B20" s="199" t="s">
        <v>343</v>
      </c>
      <c r="C20" s="199" t="s">
        <v>317</v>
      </c>
      <c r="D20" s="199" t="s">
        <v>344</v>
      </c>
      <c r="E20" s="205">
        <v>0.0</v>
      </c>
      <c r="F20" s="207">
        <v>0.0</v>
      </c>
      <c r="G20" s="208">
        <f t="shared" si="1"/>
        <v>0</v>
      </c>
      <c r="H20" s="205">
        <v>230400.0</v>
      </c>
      <c r="I20" s="211">
        <f t="shared" si="2"/>
        <v>0</v>
      </c>
      <c r="J20" s="199" t="s">
        <v>345</v>
      </c>
      <c r="K20" s="189"/>
      <c r="L20" s="189"/>
      <c r="M20" s="189"/>
      <c r="N20" s="189"/>
      <c r="O20" s="189"/>
      <c r="P20" s="189"/>
      <c r="Q20" s="189"/>
      <c r="R20" s="189"/>
      <c r="S20" s="189"/>
      <c r="T20" s="189"/>
      <c r="U20" s="189"/>
      <c r="V20" s="189"/>
      <c r="W20" s="189"/>
      <c r="X20" s="189"/>
      <c r="Y20" s="189"/>
      <c r="Z20" s="189"/>
      <c r="AA20" s="192"/>
      <c r="AB20" s="192"/>
      <c r="AC20" s="192"/>
      <c r="AD20" s="192"/>
    </row>
    <row r="21" ht="15.75" customHeight="1">
      <c r="A21" s="199" t="s">
        <v>87</v>
      </c>
      <c r="B21" s="199" t="s">
        <v>346</v>
      </c>
      <c r="C21" s="199" t="s">
        <v>347</v>
      </c>
      <c r="D21" s="199" t="s">
        <v>348</v>
      </c>
      <c r="E21" s="205">
        <v>0.0</v>
      </c>
      <c r="F21" s="207">
        <v>5.0</v>
      </c>
      <c r="G21" s="208">
        <f t="shared" si="1"/>
        <v>0</v>
      </c>
      <c r="H21" s="205">
        <v>0.0</v>
      </c>
      <c r="I21" s="211">
        <f t="shared" si="2"/>
        <v>0</v>
      </c>
      <c r="J21" s="199" t="s">
        <v>349</v>
      </c>
      <c r="K21" s="189"/>
      <c r="L21" s="189"/>
      <c r="M21" s="189"/>
      <c r="N21" s="189"/>
      <c r="O21" s="189"/>
      <c r="P21" s="189"/>
      <c r="Q21" s="189"/>
      <c r="R21" s="189"/>
      <c r="S21" s="189"/>
      <c r="T21" s="189"/>
      <c r="U21" s="189"/>
      <c r="V21" s="189"/>
      <c r="W21" s="189"/>
      <c r="X21" s="189"/>
      <c r="Y21" s="189"/>
      <c r="Z21" s="189"/>
      <c r="AA21" s="192"/>
      <c r="AB21" s="192"/>
      <c r="AC21" s="192"/>
      <c r="AD21" s="192"/>
    </row>
    <row r="22" ht="15.75" customHeight="1">
      <c r="A22" s="199" t="s">
        <v>87</v>
      </c>
      <c r="B22" s="199" t="s">
        <v>350</v>
      </c>
      <c r="C22" s="199" t="s">
        <v>347</v>
      </c>
      <c r="D22" s="199" t="s">
        <v>348</v>
      </c>
      <c r="E22" s="205">
        <v>0.0</v>
      </c>
      <c r="F22" s="207">
        <v>5.0</v>
      </c>
      <c r="G22" s="208">
        <f t="shared" si="1"/>
        <v>0</v>
      </c>
      <c r="H22" s="205">
        <v>0.0</v>
      </c>
      <c r="I22" s="211">
        <f t="shared" si="2"/>
        <v>0</v>
      </c>
      <c r="J22" s="199" t="s">
        <v>349</v>
      </c>
      <c r="K22" s="189"/>
      <c r="L22" s="189"/>
      <c r="M22" s="189"/>
      <c r="N22" s="189"/>
      <c r="O22" s="189"/>
      <c r="P22" s="189"/>
      <c r="Q22" s="189"/>
      <c r="R22" s="189"/>
      <c r="S22" s="189"/>
      <c r="T22" s="189"/>
      <c r="U22" s="189"/>
      <c r="V22" s="189"/>
      <c r="W22" s="189"/>
      <c r="X22" s="189"/>
      <c r="Y22" s="189"/>
      <c r="Z22" s="189"/>
      <c r="AA22" s="192"/>
      <c r="AB22" s="192"/>
      <c r="AC22" s="192"/>
      <c r="AD22" s="192"/>
    </row>
    <row r="23" ht="15.75" customHeight="1">
      <c r="A23" s="199" t="s">
        <v>40</v>
      </c>
      <c r="B23" s="199" t="s">
        <v>351</v>
      </c>
      <c r="C23" s="199" t="s">
        <v>317</v>
      </c>
      <c r="D23" s="199" t="s">
        <v>352</v>
      </c>
      <c r="E23" s="205">
        <v>40.0</v>
      </c>
      <c r="F23" s="207">
        <v>5.0</v>
      </c>
      <c r="G23" s="208">
        <f t="shared" si="1"/>
        <v>200</v>
      </c>
      <c r="H23" s="205">
        <v>115200.0</v>
      </c>
      <c r="I23" s="211">
        <f t="shared" si="2"/>
        <v>0.01388888889</v>
      </c>
      <c r="J23" s="199" t="s">
        <v>353</v>
      </c>
      <c r="K23" s="189"/>
      <c r="L23" s="189"/>
      <c r="M23" s="189"/>
      <c r="N23" s="189"/>
      <c r="O23" s="189"/>
      <c r="P23" s="189"/>
      <c r="Q23" s="189"/>
      <c r="R23" s="189"/>
      <c r="S23" s="189"/>
      <c r="T23" s="189"/>
      <c r="U23" s="189"/>
      <c r="V23" s="189"/>
      <c r="W23" s="189"/>
      <c r="X23" s="189"/>
      <c r="Y23" s="189"/>
      <c r="Z23" s="189"/>
      <c r="AA23" s="192"/>
      <c r="AB23" s="192"/>
      <c r="AC23" s="192"/>
      <c r="AD23" s="192"/>
    </row>
    <row r="24" ht="15.75" customHeight="1">
      <c r="A24" s="237" t="s">
        <v>354</v>
      </c>
      <c r="B24" s="61"/>
      <c r="C24" s="61"/>
      <c r="D24" s="61"/>
      <c r="E24" s="61"/>
      <c r="F24" s="61"/>
      <c r="G24" s="61"/>
      <c r="H24" s="61"/>
      <c r="I24" s="61"/>
      <c r="J24" s="62"/>
      <c r="K24" s="189"/>
      <c r="L24" s="189"/>
      <c r="M24" s="189"/>
      <c r="N24" s="189"/>
      <c r="O24" s="189"/>
      <c r="P24" s="189"/>
      <c r="Q24" s="189"/>
      <c r="R24" s="189"/>
      <c r="S24" s="189"/>
      <c r="T24" s="189"/>
      <c r="U24" s="189"/>
      <c r="V24" s="189"/>
      <c r="W24" s="189"/>
      <c r="X24" s="189"/>
      <c r="Y24" s="189"/>
      <c r="Z24" s="189"/>
      <c r="AA24" s="192"/>
      <c r="AB24" s="192"/>
      <c r="AC24" s="192"/>
      <c r="AD24" s="192"/>
    </row>
    <row r="25" ht="15.75" customHeight="1">
      <c r="A25" s="189"/>
      <c r="B25" s="189"/>
      <c r="C25" s="189"/>
      <c r="D25" s="189"/>
      <c r="E25" s="189"/>
      <c r="F25" s="189"/>
      <c r="G25" s="189"/>
      <c r="H25" s="189"/>
      <c r="I25" s="189"/>
      <c r="J25" s="189"/>
      <c r="K25" s="189"/>
      <c r="L25" s="189"/>
      <c r="M25" s="189"/>
      <c r="N25" s="189"/>
      <c r="O25" s="189"/>
      <c r="P25" s="189"/>
      <c r="Q25" s="189"/>
      <c r="R25" s="189"/>
      <c r="S25" s="189"/>
      <c r="T25" s="189"/>
      <c r="U25" s="189"/>
      <c r="V25" s="189"/>
      <c r="W25" s="189"/>
      <c r="X25" s="189"/>
      <c r="Y25" s="189"/>
      <c r="Z25" s="189"/>
      <c r="AA25" s="192"/>
      <c r="AB25" s="192"/>
      <c r="AC25" s="192"/>
      <c r="AD25" s="192"/>
    </row>
    <row r="26" ht="15.75" customHeight="1">
      <c r="A26" s="196" t="s">
        <v>355</v>
      </c>
      <c r="B26" s="61"/>
      <c r="C26" s="61"/>
      <c r="D26" s="61"/>
      <c r="E26" s="61"/>
      <c r="F26" s="61"/>
      <c r="G26" s="61"/>
      <c r="H26" s="61"/>
      <c r="I26" s="61"/>
      <c r="J26" s="62"/>
      <c r="K26" s="189"/>
      <c r="L26" s="189"/>
      <c r="M26" s="189"/>
      <c r="N26" s="189"/>
      <c r="O26" s="189"/>
      <c r="P26" s="189"/>
      <c r="Q26" s="189"/>
      <c r="R26" s="189"/>
      <c r="S26" s="189"/>
      <c r="T26" s="189"/>
      <c r="U26" s="189"/>
      <c r="V26" s="189"/>
      <c r="W26" s="189"/>
      <c r="X26" s="189"/>
      <c r="Y26" s="189"/>
      <c r="Z26" s="189"/>
      <c r="AA26" s="192"/>
      <c r="AB26" s="192"/>
      <c r="AC26" s="192"/>
      <c r="AD26" s="192"/>
    </row>
    <row r="27" ht="15.75" customHeight="1">
      <c r="A27" s="198" t="s">
        <v>356</v>
      </c>
      <c r="B27" s="198" t="s">
        <v>357</v>
      </c>
      <c r="C27" s="198" t="s">
        <v>358</v>
      </c>
      <c r="D27" s="198" t="s">
        <v>359</v>
      </c>
      <c r="E27" s="198" t="s">
        <v>360</v>
      </c>
      <c r="F27" s="198" t="s">
        <v>361</v>
      </c>
      <c r="G27" s="198" t="s">
        <v>362</v>
      </c>
      <c r="H27" s="239"/>
      <c r="I27" s="239"/>
      <c r="J27" s="198" t="s">
        <v>238</v>
      </c>
      <c r="K27" s="189"/>
      <c r="L27" s="189"/>
      <c r="M27" s="189"/>
      <c r="N27" s="189"/>
      <c r="O27" s="189"/>
      <c r="P27" s="189"/>
      <c r="Q27" s="189"/>
      <c r="R27" s="189"/>
      <c r="S27" s="189"/>
      <c r="T27" s="189"/>
      <c r="U27" s="189"/>
      <c r="V27" s="189"/>
      <c r="W27" s="189"/>
      <c r="X27" s="189"/>
      <c r="Y27" s="189"/>
      <c r="Z27" s="189"/>
      <c r="AA27" s="192"/>
      <c r="AB27" s="192"/>
      <c r="AC27" s="192"/>
      <c r="AD27" s="192"/>
    </row>
    <row r="28" ht="15.75" customHeight="1">
      <c r="A28" s="199" t="s">
        <v>363</v>
      </c>
      <c r="B28" s="241"/>
      <c r="C28" s="205">
        <v>1.0E9</v>
      </c>
      <c r="D28" s="199" t="s">
        <v>365</v>
      </c>
      <c r="E28" s="241"/>
      <c r="F28" s="241"/>
      <c r="G28" s="241"/>
      <c r="H28" s="241"/>
      <c r="I28" s="241"/>
      <c r="J28" s="241"/>
      <c r="K28" s="189"/>
      <c r="L28" s="189"/>
      <c r="M28" s="189"/>
      <c r="N28" s="189"/>
      <c r="O28" s="189"/>
      <c r="P28" s="189"/>
      <c r="Q28" s="189"/>
      <c r="R28" s="189"/>
      <c r="S28" s="189"/>
      <c r="T28" s="189"/>
      <c r="U28" s="189"/>
      <c r="V28" s="189"/>
      <c r="W28" s="189"/>
      <c r="X28" s="189"/>
      <c r="Y28" s="189"/>
      <c r="Z28" s="189"/>
      <c r="AA28" s="192"/>
      <c r="AB28" s="192"/>
      <c r="AC28" s="192"/>
      <c r="AD28" s="192"/>
    </row>
    <row r="29" ht="15.75" customHeight="1">
      <c r="A29" s="199" t="s">
        <v>366</v>
      </c>
      <c r="B29" s="199" t="s">
        <v>367</v>
      </c>
      <c r="C29" s="205">
        <v>3000.0</v>
      </c>
      <c r="D29" s="207">
        <v>5.0</v>
      </c>
      <c r="E29" s="242">
        <f t="shared" ref="E29:E52" si="3">C29*D29</f>
        <v>15000</v>
      </c>
      <c r="F29" s="208">
        <f t="shared" ref="F29:F52" si="4">C29/$C$28*1000</f>
        <v>0.003</v>
      </c>
      <c r="G29" s="211">
        <f t="shared" ref="G29:G52" si="5">E29/$C$28</f>
        <v>0.000015</v>
      </c>
      <c r="H29" s="241"/>
      <c r="I29" s="241"/>
      <c r="J29" s="199" t="s">
        <v>369</v>
      </c>
      <c r="K29" s="189"/>
      <c r="L29" s="189"/>
      <c r="M29" s="189"/>
      <c r="N29" s="189"/>
      <c r="O29" s="189"/>
      <c r="P29" s="189"/>
      <c r="Q29" s="189"/>
      <c r="R29" s="189"/>
      <c r="S29" s="189"/>
      <c r="T29" s="189"/>
      <c r="U29" s="189"/>
      <c r="V29" s="189"/>
      <c r="W29" s="189"/>
      <c r="X29" s="189"/>
      <c r="Y29" s="189"/>
      <c r="Z29" s="189"/>
      <c r="AA29" s="192"/>
      <c r="AB29" s="192"/>
      <c r="AC29" s="192"/>
      <c r="AD29" s="192"/>
    </row>
    <row r="30" ht="15.75" customHeight="1">
      <c r="A30" s="199" t="s">
        <v>370</v>
      </c>
      <c r="B30" s="199" t="s">
        <v>367</v>
      </c>
      <c r="C30" s="205">
        <v>2000.0</v>
      </c>
      <c r="D30" s="207">
        <v>5.0</v>
      </c>
      <c r="E30" s="242">
        <f t="shared" si="3"/>
        <v>10000</v>
      </c>
      <c r="F30" s="208">
        <f t="shared" si="4"/>
        <v>0.002</v>
      </c>
      <c r="G30" s="211">
        <f t="shared" si="5"/>
        <v>0.00001</v>
      </c>
      <c r="H30" s="241"/>
      <c r="I30" s="241"/>
      <c r="J30" s="199" t="s">
        <v>372</v>
      </c>
      <c r="K30" s="189"/>
      <c r="L30" s="189"/>
      <c r="M30" s="189"/>
      <c r="N30" s="189"/>
      <c r="O30" s="189"/>
      <c r="P30" s="189"/>
      <c r="Q30" s="189"/>
      <c r="R30" s="189"/>
      <c r="S30" s="189"/>
      <c r="T30" s="189"/>
      <c r="U30" s="189"/>
      <c r="V30" s="189"/>
      <c r="W30" s="189"/>
      <c r="X30" s="189"/>
      <c r="Y30" s="189"/>
      <c r="Z30" s="189"/>
      <c r="AA30" s="192"/>
      <c r="AB30" s="192"/>
      <c r="AC30" s="192"/>
      <c r="AD30" s="192"/>
    </row>
    <row r="31" ht="15.75" customHeight="1">
      <c r="A31" s="199" t="s">
        <v>373</v>
      </c>
      <c r="B31" s="199" t="s">
        <v>374</v>
      </c>
      <c r="C31" s="205">
        <v>3000.0</v>
      </c>
      <c r="D31" s="207">
        <v>0.1</v>
      </c>
      <c r="E31" s="242">
        <f t="shared" si="3"/>
        <v>300</v>
      </c>
      <c r="F31" s="208">
        <f t="shared" si="4"/>
        <v>0.003</v>
      </c>
      <c r="G31" s="211">
        <f t="shared" si="5"/>
        <v>0.0000003</v>
      </c>
      <c r="H31" s="241"/>
      <c r="I31" s="241"/>
      <c r="J31" s="199" t="s">
        <v>375</v>
      </c>
      <c r="K31" s="189"/>
      <c r="L31" s="189"/>
      <c r="M31" s="189"/>
      <c r="N31" s="189"/>
      <c r="O31" s="189"/>
      <c r="P31" s="189"/>
      <c r="Q31" s="189"/>
      <c r="R31" s="189"/>
      <c r="S31" s="189"/>
      <c r="T31" s="189"/>
      <c r="U31" s="189"/>
      <c r="V31" s="189"/>
      <c r="W31" s="189"/>
      <c r="X31" s="189"/>
      <c r="Y31" s="189"/>
      <c r="Z31" s="189"/>
      <c r="AA31" s="192"/>
      <c r="AB31" s="192"/>
      <c r="AC31" s="192"/>
      <c r="AD31" s="192"/>
    </row>
    <row r="32" ht="15.75" customHeight="1">
      <c r="A32" s="199" t="s">
        <v>376</v>
      </c>
      <c r="B32" s="199" t="s">
        <v>367</v>
      </c>
      <c r="C32" s="205">
        <v>5000.0</v>
      </c>
      <c r="D32" s="207">
        <v>5.0</v>
      </c>
      <c r="E32" s="242">
        <f t="shared" si="3"/>
        <v>25000</v>
      </c>
      <c r="F32" s="208">
        <f t="shared" si="4"/>
        <v>0.005</v>
      </c>
      <c r="G32" s="211">
        <f t="shared" si="5"/>
        <v>0.000025</v>
      </c>
      <c r="H32" s="241"/>
      <c r="I32" s="241"/>
      <c r="J32" s="199" t="s">
        <v>377</v>
      </c>
      <c r="K32" s="189"/>
      <c r="L32" s="189"/>
      <c r="M32" s="189"/>
      <c r="N32" s="189"/>
      <c r="O32" s="189"/>
      <c r="P32" s="189"/>
      <c r="Q32" s="189"/>
      <c r="R32" s="189"/>
      <c r="S32" s="189"/>
      <c r="T32" s="189"/>
      <c r="U32" s="189"/>
      <c r="V32" s="189"/>
      <c r="W32" s="189"/>
      <c r="X32" s="189"/>
      <c r="Y32" s="189"/>
      <c r="Z32" s="189"/>
      <c r="AA32" s="192"/>
      <c r="AB32" s="192"/>
      <c r="AC32" s="192"/>
      <c r="AD32" s="192"/>
    </row>
    <row r="33" ht="15.75" customHeight="1">
      <c r="A33" s="199" t="s">
        <v>378</v>
      </c>
      <c r="B33" s="199" t="s">
        <v>367</v>
      </c>
      <c r="C33" s="205">
        <v>3000.0</v>
      </c>
      <c r="D33" s="207">
        <v>5.0</v>
      </c>
      <c r="E33" s="242">
        <f t="shared" si="3"/>
        <v>15000</v>
      </c>
      <c r="F33" s="208">
        <f t="shared" si="4"/>
        <v>0.003</v>
      </c>
      <c r="G33" s="211">
        <f t="shared" si="5"/>
        <v>0.000015</v>
      </c>
      <c r="H33" s="241"/>
      <c r="I33" s="241"/>
      <c r="J33" s="199" t="s">
        <v>379</v>
      </c>
      <c r="K33" s="189"/>
      <c r="L33" s="189"/>
      <c r="M33" s="189"/>
      <c r="N33" s="189"/>
      <c r="O33" s="189"/>
      <c r="P33" s="189"/>
      <c r="Q33" s="189"/>
      <c r="R33" s="189"/>
      <c r="S33" s="189"/>
      <c r="T33" s="189"/>
      <c r="U33" s="189"/>
      <c r="V33" s="189"/>
      <c r="W33" s="189"/>
      <c r="X33" s="189"/>
      <c r="Y33" s="189"/>
      <c r="Z33" s="189"/>
      <c r="AA33" s="192"/>
      <c r="AB33" s="192"/>
      <c r="AC33" s="192"/>
      <c r="AD33" s="192"/>
    </row>
    <row r="34" ht="15.75" customHeight="1">
      <c r="A34" s="199" t="s">
        <v>380</v>
      </c>
      <c r="B34" s="199" t="s">
        <v>374</v>
      </c>
      <c r="C34" s="205">
        <v>2000.0</v>
      </c>
      <c r="D34" s="207">
        <v>0.1</v>
      </c>
      <c r="E34" s="242">
        <f t="shared" si="3"/>
        <v>200</v>
      </c>
      <c r="F34" s="208">
        <f t="shared" si="4"/>
        <v>0.002</v>
      </c>
      <c r="G34" s="211">
        <f t="shared" si="5"/>
        <v>0.0000002</v>
      </c>
      <c r="H34" s="241"/>
      <c r="I34" s="241"/>
      <c r="J34" s="199" t="s">
        <v>381</v>
      </c>
      <c r="K34" s="189"/>
      <c r="L34" s="189"/>
      <c r="M34" s="189"/>
      <c r="N34" s="189"/>
      <c r="O34" s="189"/>
      <c r="P34" s="189"/>
      <c r="Q34" s="189"/>
      <c r="R34" s="189"/>
      <c r="S34" s="189"/>
      <c r="T34" s="189"/>
      <c r="U34" s="189"/>
      <c r="V34" s="189"/>
      <c r="W34" s="189"/>
      <c r="X34" s="189"/>
      <c r="Y34" s="189"/>
      <c r="Z34" s="189"/>
      <c r="AA34" s="192"/>
      <c r="AB34" s="192"/>
      <c r="AC34" s="192"/>
      <c r="AD34" s="192"/>
    </row>
    <row r="35" ht="15.75" customHeight="1">
      <c r="A35" s="199" t="s">
        <v>382</v>
      </c>
      <c r="B35" s="199" t="s">
        <v>383</v>
      </c>
      <c r="C35" s="205">
        <v>3000.0</v>
      </c>
      <c r="D35" s="207">
        <v>0.05</v>
      </c>
      <c r="E35" s="242">
        <f t="shared" si="3"/>
        <v>150</v>
      </c>
      <c r="F35" s="208">
        <f t="shared" si="4"/>
        <v>0.003</v>
      </c>
      <c r="G35" s="211">
        <f t="shared" si="5"/>
        <v>0.00000015</v>
      </c>
      <c r="H35" s="241"/>
      <c r="I35" s="241"/>
      <c r="J35" s="199" t="s">
        <v>384</v>
      </c>
      <c r="K35" s="189"/>
      <c r="L35" s="189"/>
      <c r="M35" s="189"/>
      <c r="N35" s="189"/>
      <c r="O35" s="189"/>
      <c r="P35" s="189"/>
      <c r="Q35" s="189"/>
      <c r="R35" s="189"/>
      <c r="S35" s="189"/>
      <c r="T35" s="189"/>
      <c r="U35" s="189"/>
      <c r="V35" s="189"/>
      <c r="W35" s="189"/>
      <c r="X35" s="189"/>
      <c r="Y35" s="189"/>
      <c r="Z35" s="189"/>
      <c r="AA35" s="192"/>
      <c r="AB35" s="192"/>
      <c r="AC35" s="192"/>
      <c r="AD35" s="192"/>
    </row>
    <row r="36" ht="15.75" customHeight="1">
      <c r="A36" s="199" t="s">
        <v>385</v>
      </c>
      <c r="B36" s="199" t="s">
        <v>383</v>
      </c>
      <c r="C36" s="205">
        <v>5000.0</v>
      </c>
      <c r="D36" s="207">
        <v>0.05</v>
      </c>
      <c r="E36" s="242">
        <f t="shared" si="3"/>
        <v>250</v>
      </c>
      <c r="F36" s="208">
        <f t="shared" si="4"/>
        <v>0.005</v>
      </c>
      <c r="G36" s="211">
        <f t="shared" si="5"/>
        <v>0.00000025</v>
      </c>
      <c r="H36" s="241"/>
      <c r="I36" s="241"/>
      <c r="J36" s="199" t="s">
        <v>386</v>
      </c>
      <c r="K36" s="189"/>
      <c r="L36" s="189"/>
      <c r="M36" s="189"/>
      <c r="N36" s="189"/>
      <c r="O36" s="189"/>
      <c r="P36" s="189"/>
      <c r="Q36" s="189"/>
      <c r="R36" s="189"/>
      <c r="S36" s="189"/>
      <c r="T36" s="189"/>
      <c r="U36" s="189"/>
      <c r="V36" s="189"/>
      <c r="W36" s="189"/>
      <c r="X36" s="189"/>
      <c r="Y36" s="189"/>
      <c r="Z36" s="189"/>
      <c r="AA36" s="192"/>
      <c r="AB36" s="192"/>
      <c r="AC36" s="192"/>
      <c r="AD36" s="192"/>
    </row>
    <row r="37" ht="15.75" customHeight="1">
      <c r="A37" s="199" t="s">
        <v>387</v>
      </c>
      <c r="B37" s="199" t="s">
        <v>388</v>
      </c>
      <c r="C37" s="205">
        <v>3000.0</v>
      </c>
      <c r="D37" s="207">
        <v>0.01</v>
      </c>
      <c r="E37" s="242">
        <f t="shared" si="3"/>
        <v>30</v>
      </c>
      <c r="F37" s="208">
        <f t="shared" si="4"/>
        <v>0.003</v>
      </c>
      <c r="G37" s="211">
        <f t="shared" si="5"/>
        <v>0.00000003</v>
      </c>
      <c r="H37" s="241"/>
      <c r="I37" s="241"/>
      <c r="J37" s="199" t="s">
        <v>389</v>
      </c>
      <c r="K37" s="189"/>
      <c r="L37" s="189"/>
      <c r="M37" s="189"/>
      <c r="N37" s="189"/>
      <c r="O37" s="189"/>
      <c r="P37" s="189"/>
      <c r="Q37" s="189"/>
      <c r="R37" s="189"/>
      <c r="S37" s="189"/>
      <c r="T37" s="189"/>
      <c r="U37" s="189"/>
      <c r="V37" s="189"/>
      <c r="W37" s="189"/>
      <c r="X37" s="189"/>
      <c r="Y37" s="189"/>
      <c r="Z37" s="189"/>
      <c r="AA37" s="192"/>
      <c r="AB37" s="192"/>
      <c r="AC37" s="192"/>
      <c r="AD37" s="192"/>
    </row>
    <row r="38" ht="15.75" customHeight="1">
      <c r="A38" s="199" t="s">
        <v>390</v>
      </c>
      <c r="B38" s="199" t="s">
        <v>391</v>
      </c>
      <c r="C38" s="205">
        <v>1000.0</v>
      </c>
      <c r="D38" s="207">
        <v>1.0</v>
      </c>
      <c r="E38" s="242">
        <f t="shared" si="3"/>
        <v>1000</v>
      </c>
      <c r="F38" s="208">
        <f t="shared" si="4"/>
        <v>0.001</v>
      </c>
      <c r="G38" s="211">
        <f t="shared" si="5"/>
        <v>0.000001</v>
      </c>
      <c r="H38" s="241"/>
      <c r="I38" s="241"/>
      <c r="J38" s="199" t="s">
        <v>392</v>
      </c>
      <c r="K38" s="189"/>
      <c r="L38" s="189"/>
      <c r="M38" s="189"/>
      <c r="N38" s="189"/>
      <c r="O38" s="189"/>
      <c r="P38" s="189"/>
      <c r="Q38" s="189"/>
      <c r="R38" s="189"/>
      <c r="S38" s="189"/>
      <c r="T38" s="189"/>
      <c r="U38" s="189"/>
      <c r="V38" s="189"/>
      <c r="W38" s="189"/>
      <c r="X38" s="189"/>
      <c r="Y38" s="189"/>
      <c r="Z38" s="189"/>
      <c r="AA38" s="192"/>
      <c r="AB38" s="192"/>
      <c r="AC38" s="192"/>
      <c r="AD38" s="192"/>
    </row>
    <row r="39" ht="15.75" customHeight="1">
      <c r="A39" s="199" t="s">
        <v>393</v>
      </c>
      <c r="B39" s="199" t="s">
        <v>394</v>
      </c>
      <c r="C39" s="205">
        <v>8000.0</v>
      </c>
      <c r="D39" s="207">
        <v>0.05555555555555555</v>
      </c>
      <c r="E39" s="242">
        <f t="shared" si="3"/>
        <v>444.4444444</v>
      </c>
      <c r="F39" s="208">
        <f t="shared" si="4"/>
        <v>0.008</v>
      </c>
      <c r="G39" s="211">
        <f t="shared" si="5"/>
        <v>0.0000004444444444</v>
      </c>
      <c r="H39" s="241"/>
      <c r="I39" s="241"/>
      <c r="J39" s="199" t="s">
        <v>395</v>
      </c>
      <c r="K39" s="189"/>
      <c r="L39" s="189"/>
      <c r="M39" s="189"/>
      <c r="N39" s="189"/>
      <c r="O39" s="189"/>
      <c r="P39" s="189"/>
      <c r="Q39" s="189"/>
      <c r="R39" s="189"/>
      <c r="S39" s="189"/>
      <c r="T39" s="189"/>
      <c r="U39" s="189"/>
      <c r="V39" s="189"/>
      <c r="W39" s="189"/>
      <c r="X39" s="189"/>
      <c r="Y39" s="189"/>
      <c r="Z39" s="189"/>
      <c r="AA39" s="192"/>
      <c r="AB39" s="192"/>
      <c r="AC39" s="192"/>
      <c r="AD39" s="192"/>
    </row>
    <row r="40" ht="15.75" customHeight="1">
      <c r="A40" s="199" t="s">
        <v>396</v>
      </c>
      <c r="B40" s="199" t="s">
        <v>394</v>
      </c>
      <c r="C40" s="205">
        <v>10000.0</v>
      </c>
      <c r="D40" s="207">
        <v>0.05555555555555555</v>
      </c>
      <c r="E40" s="242">
        <f t="shared" si="3"/>
        <v>555.5555556</v>
      </c>
      <c r="F40" s="208">
        <f t="shared" si="4"/>
        <v>0.01</v>
      </c>
      <c r="G40" s="211">
        <f t="shared" si="5"/>
        <v>0.0000005555555556</v>
      </c>
      <c r="H40" s="241"/>
      <c r="I40" s="241"/>
      <c r="J40" s="199" t="s">
        <v>397</v>
      </c>
      <c r="K40" s="189"/>
      <c r="L40" s="189"/>
      <c r="M40" s="189"/>
      <c r="N40" s="189"/>
      <c r="O40" s="189"/>
      <c r="P40" s="189"/>
      <c r="Q40" s="189"/>
      <c r="R40" s="189"/>
      <c r="S40" s="189"/>
      <c r="T40" s="189"/>
      <c r="U40" s="189"/>
      <c r="V40" s="189"/>
      <c r="W40" s="189"/>
      <c r="X40" s="189"/>
      <c r="Y40" s="189"/>
      <c r="Z40" s="189"/>
      <c r="AA40" s="192"/>
      <c r="AB40" s="192"/>
      <c r="AC40" s="192"/>
      <c r="AD40" s="192"/>
    </row>
    <row r="41" ht="15.75" customHeight="1">
      <c r="A41" s="199" t="s">
        <v>398</v>
      </c>
      <c r="B41" s="199" t="s">
        <v>394</v>
      </c>
      <c r="C41" s="205">
        <v>150000.0</v>
      </c>
      <c r="D41" s="207">
        <v>0.05555555555555555</v>
      </c>
      <c r="E41" s="242">
        <f t="shared" si="3"/>
        <v>8333.333333</v>
      </c>
      <c r="F41" s="208">
        <f t="shared" si="4"/>
        <v>0.15</v>
      </c>
      <c r="G41" s="211">
        <f t="shared" si="5"/>
        <v>0.000008333333333</v>
      </c>
      <c r="H41" s="241"/>
      <c r="I41" s="241"/>
      <c r="J41" s="199" t="s">
        <v>399</v>
      </c>
      <c r="K41" s="189"/>
      <c r="L41" s="189"/>
      <c r="M41" s="189"/>
      <c r="N41" s="189"/>
      <c r="O41" s="189"/>
      <c r="P41" s="189"/>
      <c r="Q41" s="189"/>
      <c r="R41" s="189"/>
      <c r="S41" s="189"/>
      <c r="T41" s="189"/>
      <c r="U41" s="189"/>
      <c r="V41" s="189"/>
      <c r="W41" s="189"/>
      <c r="X41" s="189"/>
      <c r="Y41" s="189"/>
      <c r="Z41" s="189"/>
      <c r="AA41" s="192"/>
      <c r="AB41" s="192"/>
      <c r="AC41" s="192"/>
      <c r="AD41" s="192"/>
    </row>
    <row r="42" ht="15.75" customHeight="1">
      <c r="A42" s="199" t="s">
        <v>400</v>
      </c>
      <c r="B42" s="199" t="s">
        <v>394</v>
      </c>
      <c r="C42" s="205">
        <v>5000.0</v>
      </c>
      <c r="D42" s="207">
        <v>0.05555555555555555</v>
      </c>
      <c r="E42" s="242">
        <f t="shared" si="3"/>
        <v>277.7777778</v>
      </c>
      <c r="F42" s="208">
        <f t="shared" si="4"/>
        <v>0.005</v>
      </c>
      <c r="G42" s="211">
        <f t="shared" si="5"/>
        <v>0.0000002777777778</v>
      </c>
      <c r="H42" s="241"/>
      <c r="I42" s="241"/>
      <c r="J42" s="199" t="s">
        <v>401</v>
      </c>
      <c r="K42" s="189"/>
      <c r="L42" s="189"/>
      <c r="M42" s="189"/>
      <c r="N42" s="189"/>
      <c r="O42" s="189"/>
      <c r="P42" s="189"/>
      <c r="Q42" s="189"/>
      <c r="R42" s="189"/>
      <c r="S42" s="189"/>
      <c r="T42" s="189"/>
      <c r="U42" s="189"/>
      <c r="V42" s="189"/>
      <c r="W42" s="189"/>
      <c r="X42" s="189"/>
      <c r="Y42" s="189"/>
      <c r="Z42" s="189"/>
      <c r="AA42" s="192"/>
      <c r="AB42" s="192"/>
      <c r="AC42" s="192"/>
      <c r="AD42" s="192"/>
    </row>
    <row r="43" ht="15.75" customHeight="1">
      <c r="A43" s="199" t="s">
        <v>402</v>
      </c>
      <c r="B43" s="199" t="s">
        <v>403</v>
      </c>
      <c r="C43" s="205">
        <v>8000.0</v>
      </c>
      <c r="D43" s="207">
        <v>0.05</v>
      </c>
      <c r="E43" s="242">
        <f t="shared" si="3"/>
        <v>400</v>
      </c>
      <c r="F43" s="208">
        <f t="shared" si="4"/>
        <v>0.008</v>
      </c>
      <c r="G43" s="211">
        <f t="shared" si="5"/>
        <v>0.0000004</v>
      </c>
      <c r="H43" s="241"/>
      <c r="I43" s="241"/>
      <c r="J43" s="199" t="s">
        <v>404</v>
      </c>
      <c r="K43" s="189"/>
      <c r="L43" s="189"/>
      <c r="M43" s="189"/>
      <c r="N43" s="189"/>
      <c r="O43" s="189"/>
      <c r="P43" s="189"/>
      <c r="Q43" s="189"/>
      <c r="R43" s="189"/>
      <c r="S43" s="189"/>
      <c r="T43" s="189"/>
      <c r="U43" s="189"/>
      <c r="V43" s="189"/>
      <c r="W43" s="189"/>
      <c r="X43" s="189"/>
      <c r="Y43" s="189"/>
      <c r="Z43" s="189"/>
      <c r="AA43" s="192"/>
      <c r="AB43" s="192"/>
      <c r="AC43" s="192"/>
      <c r="AD43" s="192"/>
    </row>
    <row r="44" ht="15.75" customHeight="1">
      <c r="A44" s="199" t="s">
        <v>405</v>
      </c>
      <c r="B44" s="199" t="s">
        <v>383</v>
      </c>
      <c r="C44" s="205">
        <v>8000.0</v>
      </c>
      <c r="D44" s="207">
        <v>0.05</v>
      </c>
      <c r="E44" s="242">
        <f t="shared" si="3"/>
        <v>400</v>
      </c>
      <c r="F44" s="208">
        <f t="shared" si="4"/>
        <v>0.008</v>
      </c>
      <c r="G44" s="211">
        <f t="shared" si="5"/>
        <v>0.0000004</v>
      </c>
      <c r="H44" s="241"/>
      <c r="I44" s="241"/>
      <c r="J44" s="199" t="s">
        <v>406</v>
      </c>
      <c r="K44" s="189"/>
      <c r="L44" s="189"/>
      <c r="M44" s="189"/>
      <c r="N44" s="189"/>
      <c r="O44" s="189"/>
      <c r="P44" s="189"/>
      <c r="Q44" s="189"/>
      <c r="R44" s="189"/>
      <c r="S44" s="189"/>
      <c r="T44" s="189"/>
      <c r="U44" s="189"/>
      <c r="V44" s="189"/>
      <c r="W44" s="189"/>
      <c r="X44" s="189"/>
      <c r="Y44" s="189"/>
      <c r="Z44" s="189"/>
      <c r="AA44" s="192"/>
      <c r="AB44" s="192"/>
      <c r="AC44" s="192"/>
      <c r="AD44" s="192"/>
    </row>
    <row r="45" ht="15.75" customHeight="1">
      <c r="A45" s="199" t="s">
        <v>407</v>
      </c>
      <c r="B45" s="199" t="s">
        <v>383</v>
      </c>
      <c r="C45" s="205">
        <v>5000.0</v>
      </c>
      <c r="D45" s="207">
        <v>0.05</v>
      </c>
      <c r="E45" s="242">
        <f t="shared" si="3"/>
        <v>250</v>
      </c>
      <c r="F45" s="208">
        <f t="shared" si="4"/>
        <v>0.005</v>
      </c>
      <c r="G45" s="211">
        <f t="shared" si="5"/>
        <v>0.00000025</v>
      </c>
      <c r="H45" s="241"/>
      <c r="I45" s="241"/>
      <c r="J45" s="199" t="s">
        <v>408</v>
      </c>
      <c r="K45" s="189"/>
      <c r="L45" s="189"/>
      <c r="M45" s="189"/>
      <c r="N45" s="189"/>
      <c r="O45" s="189"/>
      <c r="P45" s="189"/>
      <c r="Q45" s="189"/>
      <c r="R45" s="189"/>
      <c r="S45" s="189"/>
      <c r="T45" s="189"/>
      <c r="U45" s="189"/>
      <c r="V45" s="189"/>
      <c r="W45" s="189"/>
      <c r="X45" s="189"/>
      <c r="Y45" s="189"/>
      <c r="Z45" s="189"/>
      <c r="AA45" s="192"/>
      <c r="AB45" s="192"/>
      <c r="AC45" s="192"/>
      <c r="AD45" s="192"/>
    </row>
    <row r="46" ht="15.75" customHeight="1">
      <c r="A46" s="199" t="s">
        <v>409</v>
      </c>
      <c r="B46" s="199" t="s">
        <v>383</v>
      </c>
      <c r="C46" s="205">
        <v>5000.0</v>
      </c>
      <c r="D46" s="207">
        <v>0.05</v>
      </c>
      <c r="E46" s="242">
        <f t="shared" si="3"/>
        <v>250</v>
      </c>
      <c r="F46" s="208">
        <f t="shared" si="4"/>
        <v>0.005</v>
      </c>
      <c r="G46" s="211">
        <f t="shared" si="5"/>
        <v>0.00000025</v>
      </c>
      <c r="H46" s="241"/>
      <c r="I46" s="241"/>
      <c r="J46" s="199" t="s">
        <v>410</v>
      </c>
      <c r="K46" s="189"/>
      <c r="L46" s="189"/>
      <c r="M46" s="189"/>
      <c r="N46" s="189"/>
      <c r="O46" s="189"/>
      <c r="P46" s="189"/>
      <c r="Q46" s="189"/>
      <c r="R46" s="189"/>
      <c r="S46" s="189"/>
      <c r="T46" s="189"/>
      <c r="U46" s="189"/>
      <c r="V46" s="189"/>
      <c r="W46" s="189"/>
      <c r="X46" s="189"/>
      <c r="Y46" s="189"/>
      <c r="Z46" s="189"/>
      <c r="AA46" s="192"/>
      <c r="AB46" s="192"/>
      <c r="AC46" s="192"/>
      <c r="AD46" s="192"/>
    </row>
    <row r="47" ht="15.75" customHeight="1">
      <c r="A47" s="199" t="s">
        <v>411</v>
      </c>
      <c r="B47" s="199" t="s">
        <v>412</v>
      </c>
      <c r="C47" s="205">
        <v>3000.0</v>
      </c>
      <c r="D47" s="207">
        <v>0.016666666666666666</v>
      </c>
      <c r="E47" s="242">
        <f t="shared" si="3"/>
        <v>50</v>
      </c>
      <c r="F47" s="208">
        <f t="shared" si="4"/>
        <v>0.003</v>
      </c>
      <c r="G47" s="211">
        <f t="shared" si="5"/>
        <v>0.00000005</v>
      </c>
      <c r="H47" s="241"/>
      <c r="I47" s="241"/>
      <c r="J47" s="199" t="s">
        <v>413</v>
      </c>
      <c r="K47" s="189"/>
      <c r="L47" s="189"/>
      <c r="M47" s="189"/>
      <c r="N47" s="189"/>
      <c r="O47" s="189"/>
      <c r="P47" s="189"/>
      <c r="Q47" s="189"/>
      <c r="R47" s="189"/>
      <c r="S47" s="189"/>
      <c r="T47" s="189"/>
      <c r="U47" s="189"/>
      <c r="V47" s="189"/>
      <c r="W47" s="189"/>
      <c r="X47" s="189"/>
      <c r="Y47" s="189"/>
      <c r="Z47" s="189"/>
      <c r="AA47" s="192"/>
      <c r="AB47" s="192"/>
      <c r="AC47" s="192"/>
      <c r="AD47" s="192"/>
    </row>
    <row r="48" ht="15.75" customHeight="1">
      <c r="A48" s="199" t="s">
        <v>414</v>
      </c>
      <c r="B48" s="199" t="s">
        <v>394</v>
      </c>
      <c r="C48" s="205">
        <v>10000.0</v>
      </c>
      <c r="D48" s="207">
        <v>0.05555555555555555</v>
      </c>
      <c r="E48" s="242">
        <f t="shared" si="3"/>
        <v>555.5555556</v>
      </c>
      <c r="F48" s="208">
        <f t="shared" si="4"/>
        <v>0.01</v>
      </c>
      <c r="G48" s="211">
        <f t="shared" si="5"/>
        <v>0.0000005555555556</v>
      </c>
      <c r="H48" s="241"/>
      <c r="I48" s="241"/>
      <c r="J48" s="199" t="s">
        <v>415</v>
      </c>
      <c r="K48" s="189"/>
      <c r="L48" s="189"/>
      <c r="M48" s="189"/>
      <c r="N48" s="189"/>
      <c r="O48" s="189"/>
      <c r="P48" s="189"/>
      <c r="Q48" s="189"/>
      <c r="R48" s="189"/>
      <c r="S48" s="189"/>
      <c r="T48" s="189"/>
      <c r="U48" s="189"/>
      <c r="V48" s="189"/>
      <c r="W48" s="189"/>
      <c r="X48" s="189"/>
      <c r="Y48" s="189"/>
      <c r="Z48" s="189"/>
      <c r="AA48" s="192"/>
      <c r="AB48" s="192"/>
      <c r="AC48" s="192"/>
      <c r="AD48" s="192"/>
    </row>
    <row r="49" ht="15.75" customHeight="1">
      <c r="A49" s="199" t="s">
        <v>416</v>
      </c>
      <c r="B49" s="199" t="s">
        <v>403</v>
      </c>
      <c r="C49" s="205">
        <v>10000.0</v>
      </c>
      <c r="D49" s="207">
        <v>0.05</v>
      </c>
      <c r="E49" s="242">
        <f t="shared" si="3"/>
        <v>500</v>
      </c>
      <c r="F49" s="208">
        <f t="shared" si="4"/>
        <v>0.01</v>
      </c>
      <c r="G49" s="211">
        <f t="shared" si="5"/>
        <v>0.0000005</v>
      </c>
      <c r="H49" s="241"/>
      <c r="I49" s="241"/>
      <c r="J49" s="199" t="s">
        <v>417</v>
      </c>
      <c r="K49" s="189"/>
      <c r="L49" s="189"/>
      <c r="M49" s="189"/>
      <c r="N49" s="189"/>
      <c r="O49" s="189"/>
      <c r="P49" s="189"/>
      <c r="Q49" s="189"/>
      <c r="R49" s="189"/>
      <c r="S49" s="189"/>
      <c r="T49" s="189"/>
      <c r="U49" s="189"/>
      <c r="V49" s="189"/>
      <c r="W49" s="189"/>
      <c r="X49" s="189"/>
      <c r="Y49" s="189"/>
      <c r="Z49" s="189"/>
      <c r="AA49" s="192"/>
      <c r="AB49" s="192"/>
      <c r="AC49" s="192"/>
      <c r="AD49" s="192"/>
    </row>
    <row r="50" ht="15.75" customHeight="1">
      <c r="A50" s="199" t="s">
        <v>418</v>
      </c>
      <c r="B50" s="199" t="s">
        <v>403</v>
      </c>
      <c r="C50" s="205">
        <v>5000.0</v>
      </c>
      <c r="D50" s="207">
        <v>0.05</v>
      </c>
      <c r="E50" s="242">
        <f t="shared" si="3"/>
        <v>250</v>
      </c>
      <c r="F50" s="208">
        <f t="shared" si="4"/>
        <v>0.005</v>
      </c>
      <c r="G50" s="211">
        <f t="shared" si="5"/>
        <v>0.00000025</v>
      </c>
      <c r="H50" s="241"/>
      <c r="I50" s="241"/>
      <c r="J50" s="199" t="s">
        <v>419</v>
      </c>
      <c r="K50" s="189"/>
      <c r="L50" s="189"/>
      <c r="M50" s="189"/>
      <c r="N50" s="189"/>
      <c r="O50" s="189"/>
      <c r="P50" s="189"/>
      <c r="Q50" s="189"/>
      <c r="R50" s="189"/>
      <c r="S50" s="189"/>
      <c r="T50" s="189"/>
      <c r="U50" s="189"/>
      <c r="V50" s="189"/>
      <c r="W50" s="189"/>
      <c r="X50" s="189"/>
      <c r="Y50" s="189"/>
      <c r="Z50" s="189"/>
      <c r="AA50" s="192"/>
      <c r="AB50" s="192"/>
      <c r="AC50" s="192"/>
      <c r="AD50" s="192"/>
    </row>
    <row r="51" ht="15.75" customHeight="1">
      <c r="A51" s="199" t="s">
        <v>420</v>
      </c>
      <c r="B51" s="199" t="s">
        <v>421</v>
      </c>
      <c r="C51" s="205">
        <v>5.0E7</v>
      </c>
      <c r="D51" s="207">
        <v>1.0</v>
      </c>
      <c r="E51" s="242">
        <f t="shared" si="3"/>
        <v>50000000</v>
      </c>
      <c r="F51" s="208">
        <f t="shared" si="4"/>
        <v>50</v>
      </c>
      <c r="G51" s="211">
        <f t="shared" si="5"/>
        <v>0.05</v>
      </c>
      <c r="H51" s="241"/>
      <c r="I51" s="241"/>
      <c r="J51" s="199" t="s">
        <v>422</v>
      </c>
      <c r="K51" s="189"/>
      <c r="L51" s="189"/>
      <c r="M51" s="189"/>
      <c r="N51" s="189"/>
      <c r="O51" s="189"/>
      <c r="P51" s="189"/>
      <c r="Q51" s="189"/>
      <c r="R51" s="189"/>
      <c r="S51" s="189"/>
      <c r="T51" s="189"/>
      <c r="U51" s="189"/>
      <c r="V51" s="189"/>
      <c r="W51" s="189"/>
      <c r="X51" s="189"/>
      <c r="Y51" s="189"/>
      <c r="Z51" s="189"/>
      <c r="AA51" s="192"/>
      <c r="AB51" s="192"/>
      <c r="AC51" s="192"/>
      <c r="AD51" s="192"/>
    </row>
    <row r="52" ht="15.75" customHeight="1">
      <c r="A52" s="199" t="s">
        <v>423</v>
      </c>
      <c r="B52" s="199" t="s">
        <v>39</v>
      </c>
      <c r="C52" s="205">
        <v>1.0E8</v>
      </c>
      <c r="D52" s="207">
        <v>1.0</v>
      </c>
      <c r="E52" s="242">
        <f t="shared" si="3"/>
        <v>100000000</v>
      </c>
      <c r="F52" s="208">
        <f t="shared" si="4"/>
        <v>100</v>
      </c>
      <c r="G52" s="211">
        <f t="shared" si="5"/>
        <v>0.1</v>
      </c>
      <c r="H52" s="241"/>
      <c r="I52" s="241"/>
      <c r="J52" s="199" t="s">
        <v>424</v>
      </c>
      <c r="K52" s="189"/>
      <c r="L52" s="189"/>
      <c r="M52" s="189"/>
      <c r="N52" s="189"/>
      <c r="O52" s="189"/>
      <c r="P52" s="189"/>
      <c r="Q52" s="189"/>
      <c r="R52" s="189"/>
      <c r="S52" s="189"/>
      <c r="T52" s="189"/>
      <c r="U52" s="189"/>
      <c r="V52" s="189"/>
      <c r="W52" s="189"/>
      <c r="X52" s="189"/>
      <c r="Y52" s="189"/>
      <c r="Z52" s="189"/>
      <c r="AA52" s="192"/>
      <c r="AB52" s="192"/>
      <c r="AC52" s="192"/>
      <c r="AD52" s="192"/>
    </row>
    <row r="53" ht="15.75" customHeight="1">
      <c r="A53" s="241"/>
      <c r="B53" s="241"/>
      <c r="C53" s="244"/>
      <c r="D53" s="245"/>
      <c r="E53" s="245"/>
      <c r="F53" s="245"/>
      <c r="G53" s="246"/>
      <c r="H53" s="241"/>
      <c r="I53" s="241"/>
      <c r="J53" s="241"/>
      <c r="K53" s="189"/>
      <c r="L53" s="189"/>
      <c r="M53" s="189"/>
      <c r="N53" s="189"/>
      <c r="O53" s="189"/>
      <c r="P53" s="189"/>
      <c r="Q53" s="189"/>
      <c r="R53" s="189"/>
      <c r="S53" s="189"/>
      <c r="T53" s="189"/>
      <c r="U53" s="189"/>
      <c r="V53" s="189"/>
      <c r="W53" s="189"/>
      <c r="X53" s="189"/>
      <c r="Y53" s="189"/>
      <c r="Z53" s="189"/>
      <c r="AA53" s="192"/>
      <c r="AB53" s="192"/>
      <c r="AC53" s="192"/>
      <c r="AD53" s="192"/>
    </row>
    <row r="54" ht="15.75" customHeight="1">
      <c r="A54" s="190" t="s">
        <v>425</v>
      </c>
      <c r="B54" s="247"/>
      <c r="C54" s="247"/>
      <c r="D54" s="248"/>
      <c r="E54" s="249">
        <f>SUM(E29:E52)</f>
        <v>150079196.7</v>
      </c>
      <c r="F54" s="248"/>
      <c r="G54" s="250">
        <f>SUM(G29:G52)</f>
        <v>0.1500791967</v>
      </c>
      <c r="H54" s="247"/>
      <c r="I54" s="247"/>
      <c r="J54" s="247"/>
      <c r="K54" s="189"/>
      <c r="L54" s="189"/>
      <c r="M54" s="189"/>
      <c r="N54" s="189"/>
      <c r="O54" s="189"/>
      <c r="P54" s="189"/>
      <c r="Q54" s="189"/>
      <c r="R54" s="189"/>
      <c r="S54" s="189"/>
      <c r="T54" s="189"/>
      <c r="U54" s="189"/>
      <c r="V54" s="189"/>
      <c r="W54" s="189"/>
      <c r="X54" s="189"/>
      <c r="Y54" s="189"/>
      <c r="Z54" s="189"/>
      <c r="AA54" s="192"/>
      <c r="AB54" s="192"/>
      <c r="AC54" s="192"/>
      <c r="AD54" s="192"/>
    </row>
    <row r="55" ht="15.75" customHeight="1">
      <c r="A55" s="251" t="s">
        <v>426</v>
      </c>
      <c r="B55" s="252"/>
      <c r="C55" s="252"/>
      <c r="D55" s="253"/>
      <c r="E55" s="254">
        <f>$C$28-E54</f>
        <v>849920803.3</v>
      </c>
      <c r="F55" s="253"/>
      <c r="G55" s="256">
        <f>1-G54</f>
        <v>0.8499208033</v>
      </c>
      <c r="H55" s="252"/>
      <c r="I55" s="252"/>
      <c r="J55" s="251" t="s">
        <v>427</v>
      </c>
      <c r="K55" s="189"/>
      <c r="L55" s="189"/>
      <c r="M55" s="189"/>
      <c r="N55" s="189"/>
      <c r="O55" s="189"/>
      <c r="P55" s="189"/>
      <c r="Q55" s="189"/>
      <c r="R55" s="189"/>
      <c r="S55" s="189"/>
      <c r="T55" s="189"/>
      <c r="U55" s="189"/>
      <c r="V55" s="189"/>
      <c r="W55" s="189"/>
      <c r="X55" s="189"/>
      <c r="Y55" s="189"/>
      <c r="Z55" s="189"/>
      <c r="AA55" s="192"/>
      <c r="AB55" s="192"/>
      <c r="AC55" s="192"/>
      <c r="AD55" s="192"/>
    </row>
    <row r="56" ht="15.75" customHeight="1">
      <c r="A56" s="237" t="s">
        <v>428</v>
      </c>
      <c r="B56" s="61"/>
      <c r="C56" s="61"/>
      <c r="D56" s="61"/>
      <c r="E56" s="61"/>
      <c r="F56" s="61"/>
      <c r="G56" s="61"/>
      <c r="H56" s="61"/>
      <c r="I56" s="61"/>
      <c r="J56" s="62"/>
      <c r="K56" s="189"/>
      <c r="L56" s="189"/>
      <c r="M56" s="189"/>
      <c r="N56" s="189"/>
      <c r="O56" s="189"/>
      <c r="P56" s="189"/>
      <c r="Q56" s="189"/>
      <c r="R56" s="189"/>
      <c r="S56" s="189"/>
      <c r="T56" s="189"/>
      <c r="U56" s="189"/>
      <c r="V56" s="189"/>
      <c r="W56" s="189"/>
      <c r="X56" s="189"/>
      <c r="Y56" s="189"/>
      <c r="Z56" s="189"/>
      <c r="AA56" s="192"/>
      <c r="AB56" s="192"/>
      <c r="AC56" s="192"/>
      <c r="AD56" s="192"/>
    </row>
    <row r="57" ht="15.75" customHeight="1">
      <c r="A57" s="189"/>
      <c r="B57" s="189"/>
      <c r="C57" s="189"/>
      <c r="D57" s="189"/>
      <c r="E57" s="189"/>
      <c r="F57" s="189"/>
      <c r="G57" s="189"/>
      <c r="H57" s="189"/>
      <c r="I57" s="189"/>
      <c r="J57" s="189"/>
      <c r="K57" s="189"/>
      <c r="L57" s="189"/>
      <c r="M57" s="189"/>
      <c r="N57" s="189"/>
      <c r="O57" s="189"/>
      <c r="P57" s="189"/>
      <c r="Q57" s="189"/>
      <c r="R57" s="189"/>
      <c r="S57" s="189"/>
      <c r="T57" s="189"/>
      <c r="U57" s="189"/>
      <c r="V57" s="189"/>
      <c r="W57" s="189"/>
      <c r="X57" s="189"/>
      <c r="Y57" s="189"/>
      <c r="Z57" s="189"/>
      <c r="AA57" s="192"/>
      <c r="AB57" s="192"/>
      <c r="AC57" s="192"/>
      <c r="AD57" s="192"/>
    </row>
    <row r="58" ht="15.75" customHeight="1">
      <c r="A58" s="189"/>
      <c r="B58" s="189"/>
      <c r="C58" s="189"/>
      <c r="D58" s="189"/>
      <c r="E58" s="189"/>
      <c r="F58" s="189"/>
      <c r="G58" s="189"/>
      <c r="H58" s="189"/>
      <c r="I58" s="189"/>
      <c r="J58" s="189"/>
      <c r="K58" s="189"/>
      <c r="L58" s="189"/>
      <c r="M58" s="189"/>
      <c r="N58" s="189"/>
      <c r="O58" s="189"/>
      <c r="P58" s="189"/>
      <c r="Q58" s="189"/>
      <c r="R58" s="189"/>
      <c r="S58" s="189"/>
      <c r="T58" s="189"/>
      <c r="U58" s="189"/>
      <c r="V58" s="189"/>
      <c r="W58" s="189"/>
      <c r="X58" s="189"/>
      <c r="Y58" s="189"/>
      <c r="Z58" s="189"/>
      <c r="AA58" s="192"/>
      <c r="AB58" s="192"/>
      <c r="AC58" s="192"/>
      <c r="AD58" s="192"/>
    </row>
    <row r="59" ht="15.75" customHeight="1">
      <c r="A59" s="189"/>
      <c r="B59" s="189"/>
      <c r="C59" s="189"/>
      <c r="D59" s="189"/>
      <c r="E59" s="189"/>
      <c r="F59" s="189"/>
      <c r="G59" s="189"/>
      <c r="H59" s="189"/>
      <c r="I59" s="189"/>
      <c r="J59" s="189"/>
      <c r="K59" s="189"/>
      <c r="L59" s="189"/>
      <c r="M59" s="189"/>
      <c r="N59" s="189"/>
      <c r="O59" s="189"/>
      <c r="P59" s="189"/>
      <c r="Q59" s="189"/>
      <c r="R59" s="189"/>
      <c r="S59" s="189"/>
      <c r="T59" s="189"/>
      <c r="U59" s="189"/>
      <c r="V59" s="189"/>
      <c r="W59" s="189"/>
      <c r="X59" s="189"/>
      <c r="Y59" s="189"/>
      <c r="Z59" s="189"/>
      <c r="AA59" s="192"/>
      <c r="AB59" s="192"/>
      <c r="AC59" s="192"/>
      <c r="AD59" s="192"/>
    </row>
    <row r="60" ht="15.75" customHeight="1">
      <c r="A60" s="189"/>
      <c r="B60" s="189"/>
      <c r="C60" s="189"/>
      <c r="D60" s="189"/>
      <c r="E60" s="189"/>
      <c r="F60" s="189"/>
      <c r="G60" s="189"/>
      <c r="H60" s="189"/>
      <c r="I60" s="189"/>
      <c r="J60" s="189"/>
      <c r="K60" s="189"/>
      <c r="L60" s="189"/>
      <c r="M60" s="189"/>
      <c r="N60" s="189"/>
      <c r="O60" s="189"/>
      <c r="P60" s="189"/>
      <c r="Q60" s="189"/>
      <c r="R60" s="189"/>
      <c r="S60" s="189"/>
      <c r="T60" s="189"/>
      <c r="U60" s="189"/>
      <c r="V60" s="189"/>
      <c r="W60" s="189"/>
      <c r="X60" s="189"/>
      <c r="Y60" s="189"/>
      <c r="Z60" s="189"/>
      <c r="AA60" s="192"/>
      <c r="AB60" s="192"/>
      <c r="AC60" s="192"/>
      <c r="AD60" s="192"/>
    </row>
    <row r="61" ht="15.75" customHeight="1">
      <c r="A61" s="189"/>
      <c r="B61" s="189"/>
      <c r="C61" s="189"/>
      <c r="D61" s="189"/>
      <c r="E61" s="189"/>
      <c r="F61" s="189"/>
      <c r="G61" s="189"/>
      <c r="H61" s="189"/>
      <c r="I61" s="189"/>
      <c r="J61" s="189"/>
      <c r="K61" s="189"/>
      <c r="L61" s="189"/>
      <c r="M61" s="189"/>
      <c r="N61" s="189"/>
      <c r="O61" s="189"/>
      <c r="P61" s="189"/>
      <c r="Q61" s="189"/>
      <c r="R61" s="189"/>
      <c r="S61" s="189"/>
      <c r="T61" s="189"/>
      <c r="U61" s="189"/>
      <c r="V61" s="189"/>
      <c r="W61" s="189"/>
      <c r="X61" s="189"/>
      <c r="Y61" s="189"/>
      <c r="Z61" s="189"/>
      <c r="AA61" s="192"/>
      <c r="AB61" s="192"/>
      <c r="AC61" s="192"/>
      <c r="AD61" s="192"/>
    </row>
    <row r="62" ht="15.75" customHeight="1">
      <c r="A62" s="189"/>
      <c r="B62" s="189"/>
      <c r="C62" s="189"/>
      <c r="D62" s="189"/>
      <c r="E62" s="189"/>
      <c r="F62" s="189"/>
      <c r="G62" s="189"/>
      <c r="H62" s="189"/>
      <c r="I62" s="189"/>
      <c r="J62" s="189"/>
      <c r="K62" s="189"/>
      <c r="L62" s="189"/>
      <c r="M62" s="189"/>
      <c r="N62" s="189"/>
      <c r="O62" s="189"/>
      <c r="P62" s="189"/>
      <c r="Q62" s="189"/>
      <c r="R62" s="189"/>
      <c r="S62" s="189"/>
      <c r="T62" s="189"/>
      <c r="U62" s="189"/>
      <c r="V62" s="189"/>
      <c r="W62" s="189"/>
      <c r="X62" s="189"/>
      <c r="Y62" s="189"/>
      <c r="Z62" s="189"/>
      <c r="AA62" s="192"/>
      <c r="AB62" s="192"/>
      <c r="AC62" s="192"/>
      <c r="AD62" s="192"/>
    </row>
    <row r="63" ht="15.75" customHeight="1">
      <c r="A63" s="189"/>
      <c r="B63" s="189"/>
      <c r="C63" s="189"/>
      <c r="D63" s="189"/>
      <c r="E63" s="189"/>
      <c r="F63" s="189"/>
      <c r="G63" s="189"/>
      <c r="H63" s="189"/>
      <c r="I63" s="189"/>
      <c r="J63" s="189"/>
      <c r="K63" s="189"/>
      <c r="L63" s="189"/>
      <c r="M63" s="189"/>
      <c r="N63" s="189"/>
      <c r="O63" s="189"/>
      <c r="P63" s="189"/>
      <c r="Q63" s="189"/>
      <c r="R63" s="189"/>
      <c r="S63" s="189"/>
      <c r="T63" s="189"/>
      <c r="U63" s="189"/>
      <c r="V63" s="189"/>
      <c r="W63" s="189"/>
      <c r="X63" s="189"/>
      <c r="Y63" s="189"/>
      <c r="Z63" s="189"/>
      <c r="AA63" s="192"/>
      <c r="AB63" s="192"/>
      <c r="AC63" s="192"/>
      <c r="AD63" s="192"/>
    </row>
    <row r="64" ht="15.75" customHeight="1">
      <c r="A64" s="189"/>
      <c r="B64" s="189"/>
      <c r="C64" s="189"/>
      <c r="D64" s="189"/>
      <c r="E64" s="189"/>
      <c r="F64" s="189"/>
      <c r="G64" s="189"/>
      <c r="H64" s="189"/>
      <c r="I64" s="189"/>
      <c r="J64" s="189"/>
      <c r="K64" s="189"/>
      <c r="L64" s="189"/>
      <c r="M64" s="189"/>
      <c r="N64" s="189"/>
      <c r="O64" s="189"/>
      <c r="P64" s="189"/>
      <c r="Q64" s="189"/>
      <c r="R64" s="189"/>
      <c r="S64" s="189"/>
      <c r="T64" s="189"/>
      <c r="U64" s="189"/>
      <c r="V64" s="189"/>
      <c r="W64" s="189"/>
      <c r="X64" s="189"/>
      <c r="Y64" s="189"/>
      <c r="Z64" s="189"/>
      <c r="AA64" s="192"/>
      <c r="AB64" s="192"/>
      <c r="AC64" s="192"/>
      <c r="AD64" s="192"/>
    </row>
    <row r="65" ht="15.75" customHeight="1">
      <c r="A65" s="189"/>
      <c r="B65" s="189"/>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189"/>
      <c r="AA65" s="192"/>
      <c r="AB65" s="192"/>
      <c r="AC65" s="192"/>
      <c r="AD65" s="192"/>
    </row>
    <row r="66" ht="15.75" customHeight="1">
      <c r="A66" s="189"/>
      <c r="B66" s="189"/>
      <c r="C66" s="189"/>
      <c r="D66" s="189"/>
      <c r="E66" s="189"/>
      <c r="F66" s="189"/>
      <c r="G66" s="189"/>
      <c r="H66" s="189"/>
      <c r="I66" s="189"/>
      <c r="J66" s="189"/>
      <c r="K66" s="189"/>
      <c r="L66" s="189"/>
      <c r="M66" s="189"/>
      <c r="N66" s="189"/>
      <c r="O66" s="189"/>
      <c r="P66" s="189"/>
      <c r="Q66" s="189"/>
      <c r="R66" s="189"/>
      <c r="S66" s="189"/>
      <c r="T66" s="189"/>
      <c r="U66" s="189"/>
      <c r="V66" s="189"/>
      <c r="W66" s="189"/>
      <c r="X66" s="189"/>
      <c r="Y66" s="189"/>
      <c r="Z66" s="189"/>
      <c r="AA66" s="192"/>
      <c r="AB66" s="192"/>
      <c r="AC66" s="192"/>
      <c r="AD66" s="192"/>
    </row>
    <row r="67" ht="15.75" customHeight="1">
      <c r="A67" s="189"/>
      <c r="B67" s="189"/>
      <c r="C67" s="189"/>
      <c r="D67" s="189"/>
      <c r="E67" s="189"/>
      <c r="F67" s="189"/>
      <c r="G67" s="189"/>
      <c r="H67" s="189"/>
      <c r="I67" s="189"/>
      <c r="J67" s="189"/>
      <c r="K67" s="189"/>
      <c r="L67" s="189"/>
      <c r="M67" s="189"/>
      <c r="N67" s="189"/>
      <c r="O67" s="189"/>
      <c r="P67" s="189"/>
      <c r="Q67" s="189"/>
      <c r="R67" s="189"/>
      <c r="S67" s="189"/>
      <c r="T67" s="189"/>
      <c r="U67" s="189"/>
      <c r="V67" s="189"/>
      <c r="W67" s="189"/>
      <c r="X67" s="189"/>
      <c r="Y67" s="189"/>
      <c r="Z67" s="189"/>
      <c r="AA67" s="192"/>
      <c r="AB67" s="192"/>
      <c r="AC67" s="192"/>
      <c r="AD67" s="192"/>
    </row>
    <row r="68" ht="15.75" customHeight="1">
      <c r="A68" s="189"/>
      <c r="B68" s="189"/>
      <c r="C68" s="189"/>
      <c r="D68" s="189"/>
      <c r="E68" s="189"/>
      <c r="F68" s="189"/>
      <c r="G68" s="189"/>
      <c r="H68" s="189"/>
      <c r="I68" s="189"/>
      <c r="J68" s="189"/>
      <c r="K68" s="189"/>
      <c r="L68" s="189"/>
      <c r="M68" s="189"/>
      <c r="N68" s="189"/>
      <c r="O68" s="189"/>
      <c r="P68" s="189"/>
      <c r="Q68" s="189"/>
      <c r="R68" s="189"/>
      <c r="S68" s="189"/>
      <c r="T68" s="189"/>
      <c r="U68" s="189"/>
      <c r="V68" s="189"/>
      <c r="W68" s="189"/>
      <c r="X68" s="189"/>
      <c r="Y68" s="189"/>
      <c r="Z68" s="189"/>
      <c r="AA68" s="192"/>
      <c r="AB68" s="192"/>
      <c r="AC68" s="192"/>
      <c r="AD68" s="192"/>
    </row>
    <row r="69" ht="15.75" customHeight="1">
      <c r="A69" s="189"/>
      <c r="B69" s="189"/>
      <c r="C69" s="189"/>
      <c r="D69" s="189"/>
      <c r="E69" s="189"/>
      <c r="F69" s="189"/>
      <c r="G69" s="189"/>
      <c r="H69" s="189"/>
      <c r="I69" s="189"/>
      <c r="J69" s="189"/>
      <c r="K69" s="189"/>
      <c r="L69" s="189"/>
      <c r="M69" s="189"/>
      <c r="N69" s="189"/>
      <c r="O69" s="189"/>
      <c r="P69" s="189"/>
      <c r="Q69" s="189"/>
      <c r="R69" s="189"/>
      <c r="S69" s="189"/>
      <c r="T69" s="189"/>
      <c r="U69" s="189"/>
      <c r="V69" s="189"/>
      <c r="W69" s="189"/>
      <c r="X69" s="189"/>
      <c r="Y69" s="189"/>
      <c r="Z69" s="189"/>
      <c r="AA69" s="192"/>
      <c r="AB69" s="192"/>
      <c r="AC69" s="192"/>
      <c r="AD69" s="192"/>
    </row>
    <row r="70" ht="15.75" customHeight="1">
      <c r="A70" s="189"/>
      <c r="B70" s="189"/>
      <c r="C70" s="189"/>
      <c r="D70" s="189"/>
      <c r="E70" s="189"/>
      <c r="F70" s="189"/>
      <c r="G70" s="189"/>
      <c r="H70" s="189"/>
      <c r="I70" s="189"/>
      <c r="J70" s="189"/>
      <c r="K70" s="189"/>
      <c r="L70" s="189"/>
      <c r="M70" s="189"/>
      <c r="N70" s="189"/>
      <c r="O70" s="189"/>
      <c r="P70" s="189"/>
      <c r="Q70" s="189"/>
      <c r="R70" s="189"/>
      <c r="S70" s="189"/>
      <c r="T70" s="189"/>
      <c r="U70" s="189"/>
      <c r="V70" s="189"/>
      <c r="W70" s="189"/>
      <c r="X70" s="189"/>
      <c r="Y70" s="189"/>
      <c r="Z70" s="189"/>
      <c r="AA70" s="192"/>
      <c r="AB70" s="192"/>
      <c r="AC70" s="192"/>
      <c r="AD70" s="192"/>
    </row>
    <row r="71" ht="15.75" customHeight="1">
      <c r="A71" s="189"/>
      <c r="B71" s="189"/>
      <c r="C71" s="189"/>
      <c r="D71" s="189"/>
      <c r="E71" s="189"/>
      <c r="F71" s="189"/>
      <c r="G71" s="189"/>
      <c r="H71" s="189"/>
      <c r="I71" s="189"/>
      <c r="J71" s="189"/>
      <c r="K71" s="189"/>
      <c r="L71" s="189"/>
      <c r="M71" s="189"/>
      <c r="N71" s="189"/>
      <c r="O71" s="189"/>
      <c r="P71" s="189"/>
      <c r="Q71" s="189"/>
      <c r="R71" s="189"/>
      <c r="S71" s="189"/>
      <c r="T71" s="189"/>
      <c r="U71" s="189"/>
      <c r="V71" s="189"/>
      <c r="W71" s="189"/>
      <c r="X71" s="189"/>
      <c r="Y71" s="189"/>
      <c r="Z71" s="189"/>
      <c r="AA71" s="192"/>
      <c r="AB71" s="192"/>
      <c r="AC71" s="192"/>
      <c r="AD71" s="192"/>
    </row>
    <row r="72" ht="15.75" customHeight="1">
      <c r="A72" s="189"/>
      <c r="B72" s="189"/>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92"/>
      <c r="AB72" s="192"/>
      <c r="AC72" s="192"/>
      <c r="AD72" s="192"/>
    </row>
    <row r="73" ht="15.75" customHeight="1">
      <c r="A73" s="189"/>
      <c r="B73" s="189"/>
      <c r="C73" s="189"/>
      <c r="D73" s="189"/>
      <c r="E73" s="189"/>
      <c r="F73" s="189"/>
      <c r="G73" s="189"/>
      <c r="H73" s="189"/>
      <c r="I73" s="189"/>
      <c r="J73" s="189"/>
      <c r="K73" s="189"/>
      <c r="L73" s="189"/>
      <c r="M73" s="189"/>
      <c r="N73" s="189"/>
      <c r="O73" s="189"/>
      <c r="P73" s="189"/>
      <c r="Q73" s="189"/>
      <c r="R73" s="189"/>
      <c r="S73" s="189"/>
      <c r="T73" s="189"/>
      <c r="U73" s="189"/>
      <c r="V73" s="189"/>
      <c r="W73" s="189"/>
      <c r="X73" s="189"/>
      <c r="Y73" s="189"/>
      <c r="Z73" s="189"/>
      <c r="AA73" s="192"/>
      <c r="AB73" s="192"/>
      <c r="AC73" s="192"/>
      <c r="AD73" s="192"/>
    </row>
    <row r="74" ht="15.75" customHeight="1">
      <c r="A74" s="189"/>
      <c r="B74" s="189"/>
      <c r="C74" s="189"/>
      <c r="D74" s="189"/>
      <c r="E74" s="189"/>
      <c r="F74" s="189"/>
      <c r="G74" s="189"/>
      <c r="H74" s="189"/>
      <c r="I74" s="189"/>
      <c r="J74" s="189"/>
      <c r="K74" s="189"/>
      <c r="L74" s="189"/>
      <c r="M74" s="189"/>
      <c r="N74" s="189"/>
      <c r="O74" s="189"/>
      <c r="P74" s="189"/>
      <c r="Q74" s="189"/>
      <c r="R74" s="189"/>
      <c r="S74" s="189"/>
      <c r="T74" s="189"/>
      <c r="U74" s="189"/>
      <c r="V74" s="189"/>
      <c r="W74" s="189"/>
      <c r="X74" s="189"/>
      <c r="Y74" s="189"/>
      <c r="Z74" s="189"/>
      <c r="AA74" s="192"/>
      <c r="AB74" s="192"/>
      <c r="AC74" s="192"/>
      <c r="AD74" s="192"/>
    </row>
    <row r="75" ht="15.75" customHeight="1">
      <c r="A75" s="189"/>
      <c r="B75" s="189"/>
      <c r="C75" s="189"/>
      <c r="D75" s="189"/>
      <c r="E75" s="189"/>
      <c r="F75" s="189"/>
      <c r="G75" s="189"/>
      <c r="H75" s="189"/>
      <c r="I75" s="189"/>
      <c r="J75" s="189"/>
      <c r="K75" s="189"/>
      <c r="L75" s="189"/>
      <c r="M75" s="189"/>
      <c r="N75" s="189"/>
      <c r="O75" s="189"/>
      <c r="P75" s="189"/>
      <c r="Q75" s="189"/>
      <c r="R75" s="189"/>
      <c r="S75" s="189"/>
      <c r="T75" s="189"/>
      <c r="U75" s="189"/>
      <c r="V75" s="189"/>
      <c r="W75" s="189"/>
      <c r="X75" s="189"/>
      <c r="Y75" s="189"/>
      <c r="Z75" s="189"/>
      <c r="AA75" s="192"/>
      <c r="AB75" s="192"/>
      <c r="AC75" s="192"/>
      <c r="AD75" s="192"/>
    </row>
    <row r="76" ht="15.75" customHeight="1">
      <c r="A76" s="189"/>
      <c r="B76" s="189"/>
      <c r="C76" s="189"/>
      <c r="D76" s="189"/>
      <c r="E76" s="189"/>
      <c r="F76" s="189"/>
      <c r="G76" s="189"/>
      <c r="H76" s="189"/>
      <c r="I76" s="189"/>
      <c r="J76" s="189"/>
      <c r="K76" s="189"/>
      <c r="L76" s="189"/>
      <c r="M76" s="189"/>
      <c r="N76" s="189"/>
      <c r="O76" s="189"/>
      <c r="P76" s="189"/>
      <c r="Q76" s="189"/>
      <c r="R76" s="189"/>
      <c r="S76" s="189"/>
      <c r="T76" s="189"/>
      <c r="U76" s="189"/>
      <c r="V76" s="189"/>
      <c r="W76" s="189"/>
      <c r="X76" s="189"/>
      <c r="Y76" s="189"/>
      <c r="Z76" s="189"/>
      <c r="AA76" s="192"/>
      <c r="AB76" s="192"/>
      <c r="AC76" s="192"/>
      <c r="AD76" s="192"/>
    </row>
    <row r="77" ht="15.75" customHeight="1">
      <c r="A77" s="189"/>
      <c r="B77" s="189"/>
      <c r="C77" s="189"/>
      <c r="D77" s="189"/>
      <c r="E77" s="189"/>
      <c r="F77" s="189"/>
      <c r="G77" s="189"/>
      <c r="H77" s="189"/>
      <c r="I77" s="189"/>
      <c r="J77" s="189"/>
      <c r="K77" s="189"/>
      <c r="L77" s="189"/>
      <c r="M77" s="189"/>
      <c r="N77" s="189"/>
      <c r="O77" s="189"/>
      <c r="P77" s="189"/>
      <c r="Q77" s="189"/>
      <c r="R77" s="189"/>
      <c r="S77" s="189"/>
      <c r="T77" s="189"/>
      <c r="U77" s="189"/>
      <c r="V77" s="189"/>
      <c r="W77" s="189"/>
      <c r="X77" s="189"/>
      <c r="Y77" s="189"/>
      <c r="Z77" s="189"/>
      <c r="AA77" s="192"/>
      <c r="AB77" s="192"/>
      <c r="AC77" s="192"/>
      <c r="AD77" s="192"/>
    </row>
    <row r="78" ht="15.75" customHeight="1">
      <c r="A78" s="189"/>
      <c r="B78" s="189"/>
      <c r="C78" s="189"/>
      <c r="D78" s="189"/>
      <c r="E78" s="189"/>
      <c r="F78" s="189"/>
      <c r="G78" s="189"/>
      <c r="H78" s="189"/>
      <c r="I78" s="189"/>
      <c r="J78" s="189"/>
      <c r="K78" s="189"/>
      <c r="L78" s="189"/>
      <c r="M78" s="189"/>
      <c r="N78" s="189"/>
      <c r="O78" s="189"/>
      <c r="P78" s="189"/>
      <c r="Q78" s="189"/>
      <c r="R78" s="189"/>
      <c r="S78" s="189"/>
      <c r="T78" s="189"/>
      <c r="U78" s="189"/>
      <c r="V78" s="189"/>
      <c r="W78" s="189"/>
      <c r="X78" s="189"/>
      <c r="Y78" s="189"/>
      <c r="Z78" s="189"/>
      <c r="AA78" s="192"/>
      <c r="AB78" s="192"/>
      <c r="AC78" s="192"/>
      <c r="AD78" s="192"/>
    </row>
    <row r="79" ht="15.75" customHeight="1">
      <c r="A79" s="189"/>
      <c r="B79" s="189"/>
      <c r="C79" s="189"/>
      <c r="D79" s="189"/>
      <c r="E79" s="189"/>
      <c r="F79" s="189"/>
      <c r="G79" s="189"/>
      <c r="H79" s="189"/>
      <c r="I79" s="189"/>
      <c r="J79" s="189"/>
      <c r="K79" s="189"/>
      <c r="L79" s="189"/>
      <c r="M79" s="189"/>
      <c r="N79" s="189"/>
      <c r="O79" s="189"/>
      <c r="P79" s="189"/>
      <c r="Q79" s="189"/>
      <c r="R79" s="189"/>
      <c r="S79" s="189"/>
      <c r="T79" s="189"/>
      <c r="U79" s="189"/>
      <c r="V79" s="189"/>
      <c r="W79" s="189"/>
      <c r="X79" s="189"/>
      <c r="Y79" s="189"/>
      <c r="Z79" s="189"/>
      <c r="AA79" s="192"/>
      <c r="AB79" s="192"/>
      <c r="AC79" s="192"/>
      <c r="AD79" s="192"/>
    </row>
    <row r="80" ht="15.75" customHeight="1">
      <c r="A80" s="189"/>
      <c r="B80" s="189"/>
      <c r="C80" s="189"/>
      <c r="D80" s="189"/>
      <c r="E80" s="189"/>
      <c r="F80" s="189"/>
      <c r="G80" s="189"/>
      <c r="H80" s="189"/>
      <c r="I80" s="189"/>
      <c r="J80" s="189"/>
      <c r="K80" s="189"/>
      <c r="L80" s="189"/>
      <c r="M80" s="189"/>
      <c r="N80" s="189"/>
      <c r="O80" s="189"/>
      <c r="P80" s="189"/>
      <c r="Q80" s="189"/>
      <c r="R80" s="189"/>
      <c r="S80" s="189"/>
      <c r="T80" s="189"/>
      <c r="U80" s="189"/>
      <c r="V80" s="189"/>
      <c r="W80" s="189"/>
      <c r="X80" s="189"/>
      <c r="Y80" s="189"/>
      <c r="Z80" s="189"/>
      <c r="AA80" s="192"/>
      <c r="AB80" s="192"/>
      <c r="AC80" s="192"/>
      <c r="AD80" s="192"/>
    </row>
    <row r="81" ht="15.75" customHeight="1">
      <c r="A81" s="189"/>
      <c r="B81" s="189"/>
      <c r="C81" s="189"/>
      <c r="D81" s="189"/>
      <c r="E81" s="189"/>
      <c r="F81" s="189"/>
      <c r="G81" s="189"/>
      <c r="H81" s="189"/>
      <c r="I81" s="189"/>
      <c r="J81" s="189"/>
      <c r="K81" s="189"/>
      <c r="L81" s="189"/>
      <c r="M81" s="189"/>
      <c r="N81" s="189"/>
      <c r="O81" s="189"/>
      <c r="P81" s="189"/>
      <c r="Q81" s="189"/>
      <c r="R81" s="189"/>
      <c r="S81" s="189"/>
      <c r="T81" s="189"/>
      <c r="U81" s="189"/>
      <c r="V81" s="189"/>
      <c r="W81" s="189"/>
      <c r="X81" s="189"/>
      <c r="Y81" s="189"/>
      <c r="Z81" s="189"/>
      <c r="AA81" s="192"/>
      <c r="AB81" s="192"/>
      <c r="AC81" s="192"/>
      <c r="AD81" s="192"/>
    </row>
    <row r="82" ht="15.75" customHeight="1">
      <c r="A82" s="189"/>
      <c r="B82" s="189"/>
      <c r="C82" s="189"/>
      <c r="D82" s="189"/>
      <c r="E82" s="189"/>
      <c r="F82" s="189"/>
      <c r="G82" s="189"/>
      <c r="H82" s="189"/>
      <c r="I82" s="189"/>
      <c r="J82" s="189"/>
      <c r="K82" s="189"/>
      <c r="L82" s="189"/>
      <c r="M82" s="189"/>
      <c r="N82" s="189"/>
      <c r="O82" s="189"/>
      <c r="P82" s="189"/>
      <c r="Q82" s="189"/>
      <c r="R82" s="189"/>
      <c r="S82" s="189"/>
      <c r="T82" s="189"/>
      <c r="U82" s="189"/>
      <c r="V82" s="189"/>
      <c r="W82" s="189"/>
      <c r="X82" s="189"/>
      <c r="Y82" s="189"/>
      <c r="Z82" s="189"/>
      <c r="AA82" s="192"/>
      <c r="AB82" s="192"/>
      <c r="AC82" s="192"/>
      <c r="AD82" s="192"/>
    </row>
    <row r="83" ht="15.75" customHeight="1">
      <c r="A83" s="189"/>
      <c r="B83" s="189"/>
      <c r="C83" s="189"/>
      <c r="D83" s="189"/>
      <c r="E83" s="189"/>
      <c r="F83" s="189"/>
      <c r="G83" s="189"/>
      <c r="H83" s="189"/>
      <c r="I83" s="189"/>
      <c r="J83" s="189"/>
      <c r="K83" s="189"/>
      <c r="L83" s="189"/>
      <c r="M83" s="189"/>
      <c r="N83" s="189"/>
      <c r="O83" s="189"/>
      <c r="P83" s="189"/>
      <c r="Q83" s="189"/>
      <c r="R83" s="189"/>
      <c r="S83" s="189"/>
      <c r="T83" s="189"/>
      <c r="U83" s="189"/>
      <c r="V83" s="189"/>
      <c r="W83" s="189"/>
      <c r="X83" s="189"/>
      <c r="Y83" s="189"/>
      <c r="Z83" s="189"/>
      <c r="AA83" s="192"/>
      <c r="AB83" s="192"/>
      <c r="AC83" s="192"/>
      <c r="AD83" s="192"/>
    </row>
    <row r="84" ht="15.75" customHeight="1">
      <c r="A84" s="189"/>
      <c r="B84" s="189"/>
      <c r="C84" s="189"/>
      <c r="D84" s="189"/>
      <c r="E84" s="189"/>
      <c r="F84" s="189"/>
      <c r="G84" s="189"/>
      <c r="H84" s="189"/>
      <c r="I84" s="189"/>
      <c r="J84" s="189"/>
      <c r="K84" s="189"/>
      <c r="L84" s="189"/>
      <c r="M84" s="189"/>
      <c r="N84" s="189"/>
      <c r="O84" s="189"/>
      <c r="P84" s="189"/>
      <c r="Q84" s="189"/>
      <c r="R84" s="189"/>
      <c r="S84" s="189"/>
      <c r="T84" s="189"/>
      <c r="U84" s="189"/>
      <c r="V84" s="189"/>
      <c r="W84" s="189"/>
      <c r="X84" s="189"/>
      <c r="Y84" s="189"/>
      <c r="Z84" s="189"/>
      <c r="AA84" s="192"/>
      <c r="AB84" s="192"/>
      <c r="AC84" s="192"/>
      <c r="AD84" s="192"/>
    </row>
    <row r="85" ht="15.75" customHeight="1">
      <c r="A85" s="189"/>
      <c r="B85" s="189"/>
      <c r="C85" s="189"/>
      <c r="D85" s="189"/>
      <c r="E85" s="189"/>
      <c r="F85" s="189"/>
      <c r="G85" s="189"/>
      <c r="H85" s="189"/>
      <c r="I85" s="189"/>
      <c r="J85" s="189"/>
      <c r="K85" s="189"/>
      <c r="L85" s="189"/>
      <c r="M85" s="189"/>
      <c r="N85" s="189"/>
      <c r="O85" s="189"/>
      <c r="P85" s="189"/>
      <c r="Q85" s="189"/>
      <c r="R85" s="189"/>
      <c r="S85" s="189"/>
      <c r="T85" s="189"/>
      <c r="U85" s="189"/>
      <c r="V85" s="189"/>
      <c r="W85" s="189"/>
      <c r="X85" s="189"/>
      <c r="Y85" s="189"/>
      <c r="Z85" s="189"/>
      <c r="AA85" s="192"/>
      <c r="AB85" s="192"/>
      <c r="AC85" s="192"/>
      <c r="AD85" s="192"/>
    </row>
    <row r="86" ht="15.75" customHeight="1">
      <c r="A86" s="189"/>
      <c r="B86" s="189"/>
      <c r="C86" s="189"/>
      <c r="D86" s="189"/>
      <c r="E86" s="189"/>
      <c r="F86" s="189"/>
      <c r="G86" s="189"/>
      <c r="H86" s="189"/>
      <c r="I86" s="189"/>
      <c r="J86" s="189"/>
      <c r="K86" s="189"/>
      <c r="L86" s="189"/>
      <c r="M86" s="189"/>
      <c r="N86" s="189"/>
      <c r="O86" s="189"/>
      <c r="P86" s="189"/>
      <c r="Q86" s="189"/>
      <c r="R86" s="189"/>
      <c r="S86" s="189"/>
      <c r="T86" s="189"/>
      <c r="U86" s="189"/>
      <c r="V86" s="189"/>
      <c r="W86" s="189"/>
      <c r="X86" s="189"/>
      <c r="Y86" s="189"/>
      <c r="Z86" s="189"/>
      <c r="AA86" s="192"/>
      <c r="AB86" s="192"/>
      <c r="AC86" s="192"/>
      <c r="AD86" s="192"/>
    </row>
    <row r="87" ht="15.75" customHeight="1">
      <c r="A87" s="189"/>
      <c r="B87" s="189"/>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189"/>
      <c r="AA87" s="192"/>
      <c r="AB87" s="192"/>
      <c r="AC87" s="192"/>
      <c r="AD87" s="192"/>
    </row>
    <row r="88" ht="15.75" customHeight="1">
      <c r="A88" s="189"/>
      <c r="B88" s="189"/>
      <c r="C88" s="189"/>
      <c r="D88" s="189"/>
      <c r="E88" s="189"/>
      <c r="F88" s="189"/>
      <c r="G88" s="189"/>
      <c r="H88" s="189"/>
      <c r="I88" s="189"/>
      <c r="J88" s="189"/>
      <c r="K88" s="189"/>
      <c r="L88" s="189"/>
      <c r="M88" s="189"/>
      <c r="N88" s="189"/>
      <c r="O88" s="189"/>
      <c r="P88" s="189"/>
      <c r="Q88" s="189"/>
      <c r="R88" s="189"/>
      <c r="S88" s="189"/>
      <c r="T88" s="189"/>
      <c r="U88" s="189"/>
      <c r="V88" s="189"/>
      <c r="W88" s="189"/>
      <c r="X88" s="189"/>
      <c r="Y88" s="189"/>
      <c r="Z88" s="189"/>
      <c r="AA88" s="192"/>
      <c r="AB88" s="192"/>
      <c r="AC88" s="192"/>
      <c r="AD88" s="192"/>
    </row>
    <row r="89" ht="15.75" customHeight="1">
      <c r="A89" s="189"/>
      <c r="B89" s="189"/>
      <c r="C89" s="189"/>
      <c r="D89" s="189"/>
      <c r="E89" s="189"/>
      <c r="F89" s="189"/>
      <c r="G89" s="189"/>
      <c r="H89" s="189"/>
      <c r="I89" s="189"/>
      <c r="J89" s="189"/>
      <c r="K89" s="189"/>
      <c r="L89" s="189"/>
      <c r="M89" s="189"/>
      <c r="N89" s="189"/>
      <c r="O89" s="189"/>
      <c r="P89" s="189"/>
      <c r="Q89" s="189"/>
      <c r="R89" s="189"/>
      <c r="S89" s="189"/>
      <c r="T89" s="189"/>
      <c r="U89" s="189"/>
      <c r="V89" s="189"/>
      <c r="W89" s="189"/>
      <c r="X89" s="189"/>
      <c r="Y89" s="189"/>
      <c r="Z89" s="189"/>
      <c r="AA89" s="192"/>
      <c r="AB89" s="192"/>
      <c r="AC89" s="192"/>
      <c r="AD89" s="192"/>
    </row>
    <row r="90" ht="15.75" customHeight="1">
      <c r="A90" s="189"/>
      <c r="B90" s="189"/>
      <c r="C90" s="189"/>
      <c r="D90" s="189"/>
      <c r="E90" s="189"/>
      <c r="F90" s="189"/>
      <c r="G90" s="189"/>
      <c r="H90" s="189"/>
      <c r="I90" s="189"/>
      <c r="J90" s="189"/>
      <c r="K90" s="189"/>
      <c r="L90" s="189"/>
      <c r="M90" s="189"/>
      <c r="N90" s="189"/>
      <c r="O90" s="189"/>
      <c r="P90" s="189"/>
      <c r="Q90" s="189"/>
      <c r="R90" s="189"/>
      <c r="S90" s="189"/>
      <c r="T90" s="189"/>
      <c r="U90" s="189"/>
      <c r="V90" s="189"/>
      <c r="W90" s="189"/>
      <c r="X90" s="189"/>
      <c r="Y90" s="189"/>
      <c r="Z90" s="189"/>
      <c r="AA90" s="192"/>
      <c r="AB90" s="192"/>
      <c r="AC90" s="192"/>
      <c r="AD90" s="192"/>
    </row>
    <row r="91" ht="15.75" customHeight="1">
      <c r="A91" s="189"/>
      <c r="B91" s="189"/>
      <c r="C91" s="189"/>
      <c r="D91" s="189"/>
      <c r="E91" s="189"/>
      <c r="F91" s="189"/>
      <c r="G91" s="189"/>
      <c r="H91" s="189"/>
      <c r="I91" s="189"/>
      <c r="J91" s="189"/>
      <c r="K91" s="189"/>
      <c r="L91" s="189"/>
      <c r="M91" s="189"/>
      <c r="N91" s="189"/>
      <c r="O91" s="189"/>
      <c r="P91" s="189"/>
      <c r="Q91" s="189"/>
      <c r="R91" s="189"/>
      <c r="S91" s="189"/>
      <c r="T91" s="189"/>
      <c r="U91" s="189"/>
      <c r="V91" s="189"/>
      <c r="W91" s="189"/>
      <c r="X91" s="189"/>
      <c r="Y91" s="189"/>
      <c r="Z91" s="189"/>
      <c r="AA91" s="192"/>
      <c r="AB91" s="192"/>
      <c r="AC91" s="192"/>
      <c r="AD91" s="192"/>
    </row>
    <row r="92" ht="15.75" customHeight="1">
      <c r="A92" s="189"/>
      <c r="B92" s="189"/>
      <c r="C92" s="189"/>
      <c r="D92" s="189"/>
      <c r="E92" s="189"/>
      <c r="F92" s="189"/>
      <c r="G92" s="189"/>
      <c r="H92" s="189"/>
      <c r="I92" s="189"/>
      <c r="J92" s="189"/>
      <c r="K92" s="189"/>
      <c r="L92" s="189"/>
      <c r="M92" s="189"/>
      <c r="N92" s="189"/>
      <c r="O92" s="189"/>
      <c r="P92" s="189"/>
      <c r="Q92" s="189"/>
      <c r="R92" s="189"/>
      <c r="S92" s="189"/>
      <c r="T92" s="189"/>
      <c r="U92" s="189"/>
      <c r="V92" s="189"/>
      <c r="W92" s="189"/>
      <c r="X92" s="189"/>
      <c r="Y92" s="189"/>
      <c r="Z92" s="189"/>
      <c r="AA92" s="192"/>
      <c r="AB92" s="192"/>
      <c r="AC92" s="192"/>
      <c r="AD92" s="192"/>
    </row>
    <row r="93" ht="15.75" customHeight="1">
      <c r="A93" s="189"/>
      <c r="B93" s="189"/>
      <c r="C93" s="189"/>
      <c r="D93" s="189"/>
      <c r="E93" s="189"/>
      <c r="F93" s="189"/>
      <c r="G93" s="189"/>
      <c r="H93" s="189"/>
      <c r="I93" s="189"/>
      <c r="J93" s="189"/>
      <c r="K93" s="189"/>
      <c r="L93" s="189"/>
      <c r="M93" s="189"/>
      <c r="N93" s="189"/>
      <c r="O93" s="189"/>
      <c r="P93" s="189"/>
      <c r="Q93" s="189"/>
      <c r="R93" s="189"/>
      <c r="S93" s="189"/>
      <c r="T93" s="189"/>
      <c r="U93" s="189"/>
      <c r="V93" s="189"/>
      <c r="W93" s="189"/>
      <c r="X93" s="189"/>
      <c r="Y93" s="189"/>
      <c r="Z93" s="189"/>
      <c r="AA93" s="192"/>
      <c r="AB93" s="192"/>
      <c r="AC93" s="192"/>
      <c r="AD93" s="192"/>
    </row>
    <row r="94" ht="15.75" customHeight="1">
      <c r="A94" s="189"/>
      <c r="B94" s="189"/>
      <c r="C94" s="189"/>
      <c r="D94" s="189"/>
      <c r="E94" s="189"/>
      <c r="F94" s="189"/>
      <c r="G94" s="189"/>
      <c r="H94" s="189"/>
      <c r="I94" s="189"/>
      <c r="J94" s="189"/>
      <c r="K94" s="189"/>
      <c r="L94" s="189"/>
      <c r="M94" s="189"/>
      <c r="N94" s="189"/>
      <c r="O94" s="189"/>
      <c r="P94" s="189"/>
      <c r="Q94" s="189"/>
      <c r="R94" s="189"/>
      <c r="S94" s="189"/>
      <c r="T94" s="189"/>
      <c r="U94" s="189"/>
      <c r="V94" s="189"/>
      <c r="W94" s="189"/>
      <c r="X94" s="189"/>
      <c r="Y94" s="189"/>
      <c r="Z94" s="189"/>
      <c r="AA94" s="192"/>
      <c r="AB94" s="192"/>
      <c r="AC94" s="192"/>
      <c r="AD94" s="192"/>
    </row>
    <row r="95" ht="15.75" customHeight="1">
      <c r="A95" s="189"/>
      <c r="B95" s="189"/>
      <c r="C95" s="189"/>
      <c r="D95" s="189"/>
      <c r="E95" s="189"/>
      <c r="F95" s="189"/>
      <c r="G95" s="189"/>
      <c r="H95" s="189"/>
      <c r="I95" s="189"/>
      <c r="J95" s="189"/>
      <c r="K95" s="189"/>
      <c r="L95" s="189"/>
      <c r="M95" s="189"/>
      <c r="N95" s="189"/>
      <c r="O95" s="189"/>
      <c r="P95" s="189"/>
      <c r="Q95" s="189"/>
      <c r="R95" s="189"/>
      <c r="S95" s="189"/>
      <c r="T95" s="189"/>
      <c r="U95" s="189"/>
      <c r="V95" s="189"/>
      <c r="W95" s="189"/>
      <c r="X95" s="189"/>
      <c r="Y95" s="189"/>
      <c r="Z95" s="189"/>
      <c r="AA95" s="192"/>
      <c r="AB95" s="192"/>
      <c r="AC95" s="192"/>
      <c r="AD95" s="192"/>
    </row>
    <row r="96" ht="15.75" customHeight="1">
      <c r="A96" s="189"/>
      <c r="B96" s="189"/>
      <c r="C96" s="189"/>
      <c r="D96" s="189"/>
      <c r="E96" s="189"/>
      <c r="F96" s="189"/>
      <c r="G96" s="189"/>
      <c r="H96" s="189"/>
      <c r="I96" s="189"/>
      <c r="J96" s="189"/>
      <c r="K96" s="189"/>
      <c r="L96" s="189"/>
      <c r="M96" s="189"/>
      <c r="N96" s="189"/>
      <c r="O96" s="189"/>
      <c r="P96" s="189"/>
      <c r="Q96" s="189"/>
      <c r="R96" s="189"/>
      <c r="S96" s="189"/>
      <c r="T96" s="189"/>
      <c r="U96" s="189"/>
      <c r="V96" s="189"/>
      <c r="W96" s="189"/>
      <c r="X96" s="189"/>
      <c r="Y96" s="189"/>
      <c r="Z96" s="189"/>
      <c r="AA96" s="192"/>
      <c r="AB96" s="192"/>
      <c r="AC96" s="192"/>
      <c r="AD96" s="192"/>
    </row>
    <row r="97" ht="15.75" customHeight="1">
      <c r="A97" s="189"/>
      <c r="B97" s="189"/>
      <c r="C97" s="189"/>
      <c r="D97" s="189"/>
      <c r="E97" s="189"/>
      <c r="F97" s="189"/>
      <c r="G97" s="189"/>
      <c r="H97" s="189"/>
      <c r="I97" s="189"/>
      <c r="J97" s="189"/>
      <c r="K97" s="189"/>
      <c r="L97" s="189"/>
      <c r="M97" s="189"/>
      <c r="N97" s="189"/>
      <c r="O97" s="189"/>
      <c r="P97" s="189"/>
      <c r="Q97" s="189"/>
      <c r="R97" s="189"/>
      <c r="S97" s="189"/>
      <c r="T97" s="189"/>
      <c r="U97" s="189"/>
      <c r="V97" s="189"/>
      <c r="W97" s="189"/>
      <c r="X97" s="189"/>
      <c r="Y97" s="189"/>
      <c r="Z97" s="189"/>
      <c r="AA97" s="192"/>
      <c r="AB97" s="192"/>
      <c r="AC97" s="192"/>
      <c r="AD97" s="192"/>
    </row>
    <row r="98" ht="15.75" customHeight="1">
      <c r="A98" s="189"/>
      <c r="B98" s="189"/>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189"/>
      <c r="AA98" s="192"/>
      <c r="AB98" s="192"/>
      <c r="AC98" s="192"/>
      <c r="AD98" s="192"/>
    </row>
    <row r="99" ht="15.75" customHeight="1">
      <c r="A99" s="189"/>
      <c r="B99" s="189"/>
      <c r="C99" s="189"/>
      <c r="D99" s="189"/>
      <c r="E99" s="189"/>
      <c r="F99" s="189"/>
      <c r="G99" s="189"/>
      <c r="H99" s="189"/>
      <c r="I99" s="189"/>
      <c r="J99" s="189"/>
      <c r="K99" s="189"/>
      <c r="L99" s="189"/>
      <c r="M99" s="189"/>
      <c r="N99" s="189"/>
      <c r="O99" s="189"/>
      <c r="P99" s="189"/>
      <c r="Q99" s="189"/>
      <c r="R99" s="189"/>
      <c r="S99" s="189"/>
      <c r="T99" s="189"/>
      <c r="U99" s="189"/>
      <c r="V99" s="189"/>
      <c r="W99" s="189"/>
      <c r="X99" s="189"/>
      <c r="Y99" s="189"/>
      <c r="Z99" s="189"/>
      <c r="AA99" s="192"/>
      <c r="AB99" s="192"/>
      <c r="AC99" s="192"/>
      <c r="AD99" s="192"/>
    </row>
    <row r="100" ht="15.75" customHeight="1">
      <c r="A100" s="189"/>
      <c r="B100" s="189"/>
      <c r="C100" s="189"/>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189"/>
      <c r="AA100" s="192"/>
      <c r="AB100" s="192"/>
      <c r="AC100" s="192"/>
      <c r="AD100" s="192"/>
    </row>
    <row r="101" ht="15.75" customHeight="1">
      <c r="A101" s="189"/>
      <c r="B101" s="189"/>
      <c r="C101" s="189"/>
      <c r="D101" s="189"/>
      <c r="E101" s="189"/>
      <c r="F101" s="189"/>
      <c r="G101" s="189"/>
      <c r="H101" s="189"/>
      <c r="I101" s="189"/>
      <c r="J101" s="189"/>
      <c r="K101" s="189"/>
      <c r="L101" s="189"/>
      <c r="M101" s="189"/>
      <c r="N101" s="189"/>
      <c r="O101" s="189"/>
      <c r="P101" s="189"/>
      <c r="Q101" s="189"/>
      <c r="R101" s="189"/>
      <c r="S101" s="189"/>
      <c r="T101" s="189"/>
      <c r="U101" s="189"/>
      <c r="V101" s="189"/>
      <c r="W101" s="189"/>
      <c r="X101" s="189"/>
      <c r="Y101" s="189"/>
      <c r="Z101" s="189"/>
      <c r="AA101" s="192"/>
      <c r="AB101" s="192"/>
      <c r="AC101" s="192"/>
      <c r="AD101" s="192"/>
    </row>
    <row r="102" ht="15.75" customHeight="1">
      <c r="A102" s="189"/>
      <c r="B102" s="189"/>
      <c r="C102" s="189"/>
      <c r="D102" s="189"/>
      <c r="E102" s="189"/>
      <c r="F102" s="189"/>
      <c r="G102" s="189"/>
      <c r="H102" s="189"/>
      <c r="I102" s="189"/>
      <c r="J102" s="189"/>
      <c r="K102" s="189"/>
      <c r="L102" s="189"/>
      <c r="M102" s="189"/>
      <c r="N102" s="189"/>
      <c r="O102" s="189"/>
      <c r="P102" s="189"/>
      <c r="Q102" s="189"/>
      <c r="R102" s="189"/>
      <c r="S102" s="189"/>
      <c r="T102" s="189"/>
      <c r="U102" s="189"/>
      <c r="V102" s="189"/>
      <c r="W102" s="189"/>
      <c r="X102" s="189"/>
      <c r="Y102" s="189"/>
      <c r="Z102" s="189"/>
      <c r="AA102" s="192"/>
      <c r="AB102" s="192"/>
      <c r="AC102" s="192"/>
      <c r="AD102" s="192"/>
    </row>
    <row r="103" ht="15.75" customHeight="1">
      <c r="A103" s="189"/>
      <c r="B103" s="189"/>
      <c r="C103" s="189"/>
      <c r="D103" s="189"/>
      <c r="E103" s="189"/>
      <c r="F103" s="189"/>
      <c r="G103" s="189"/>
      <c r="H103" s="189"/>
      <c r="I103" s="189"/>
      <c r="J103" s="189"/>
      <c r="K103" s="189"/>
      <c r="L103" s="189"/>
      <c r="M103" s="189"/>
      <c r="N103" s="189"/>
      <c r="O103" s="189"/>
      <c r="P103" s="189"/>
      <c r="Q103" s="189"/>
      <c r="R103" s="189"/>
      <c r="S103" s="189"/>
      <c r="T103" s="189"/>
      <c r="U103" s="189"/>
      <c r="V103" s="189"/>
      <c r="W103" s="189"/>
      <c r="X103" s="189"/>
      <c r="Y103" s="189"/>
      <c r="Z103" s="189"/>
      <c r="AA103" s="192"/>
      <c r="AB103" s="192"/>
      <c r="AC103" s="192"/>
      <c r="AD103" s="192"/>
    </row>
    <row r="104" ht="15.75" customHeight="1">
      <c r="A104" s="189"/>
      <c r="B104" s="189"/>
      <c r="C104" s="189"/>
      <c r="D104" s="189"/>
      <c r="E104" s="189"/>
      <c r="F104" s="189"/>
      <c r="G104" s="189"/>
      <c r="H104" s="189"/>
      <c r="I104" s="189"/>
      <c r="J104" s="189"/>
      <c r="K104" s="189"/>
      <c r="L104" s="189"/>
      <c r="M104" s="189"/>
      <c r="N104" s="189"/>
      <c r="O104" s="189"/>
      <c r="P104" s="189"/>
      <c r="Q104" s="189"/>
      <c r="R104" s="189"/>
      <c r="S104" s="189"/>
      <c r="T104" s="189"/>
      <c r="U104" s="189"/>
      <c r="V104" s="189"/>
      <c r="W104" s="189"/>
      <c r="X104" s="189"/>
      <c r="Y104" s="189"/>
      <c r="Z104" s="189"/>
      <c r="AA104" s="192"/>
      <c r="AB104" s="192"/>
      <c r="AC104" s="192"/>
      <c r="AD104" s="192"/>
    </row>
    <row r="105" ht="15.75" customHeight="1">
      <c r="A105" s="189"/>
      <c r="B105" s="189"/>
      <c r="C105" s="189"/>
      <c r="D105" s="189"/>
      <c r="E105" s="189"/>
      <c r="F105" s="189"/>
      <c r="G105" s="189"/>
      <c r="H105" s="189"/>
      <c r="I105" s="189"/>
      <c r="J105" s="189"/>
      <c r="K105" s="189"/>
      <c r="L105" s="189"/>
      <c r="M105" s="189"/>
      <c r="N105" s="189"/>
      <c r="O105" s="189"/>
      <c r="P105" s="189"/>
      <c r="Q105" s="189"/>
      <c r="R105" s="189"/>
      <c r="S105" s="189"/>
      <c r="T105" s="189"/>
      <c r="U105" s="189"/>
      <c r="V105" s="189"/>
      <c r="W105" s="189"/>
      <c r="X105" s="189"/>
      <c r="Y105" s="189"/>
      <c r="Z105" s="189"/>
      <c r="AA105" s="192"/>
      <c r="AB105" s="192"/>
      <c r="AC105" s="192"/>
      <c r="AD105" s="192"/>
    </row>
    <row r="106" ht="15.75" customHeight="1">
      <c r="A106" s="189"/>
      <c r="B106" s="189"/>
      <c r="C106" s="189"/>
      <c r="D106" s="189"/>
      <c r="E106" s="189"/>
      <c r="F106" s="189"/>
      <c r="G106" s="189"/>
      <c r="H106" s="189"/>
      <c r="I106" s="189"/>
      <c r="J106" s="189"/>
      <c r="K106" s="189"/>
      <c r="L106" s="189"/>
      <c r="M106" s="189"/>
      <c r="N106" s="189"/>
      <c r="O106" s="189"/>
      <c r="P106" s="189"/>
      <c r="Q106" s="189"/>
      <c r="R106" s="189"/>
      <c r="S106" s="189"/>
      <c r="T106" s="189"/>
      <c r="U106" s="189"/>
      <c r="V106" s="189"/>
      <c r="W106" s="189"/>
      <c r="X106" s="189"/>
      <c r="Y106" s="189"/>
      <c r="Z106" s="189"/>
      <c r="AA106" s="192"/>
      <c r="AB106" s="192"/>
      <c r="AC106" s="192"/>
      <c r="AD106" s="192"/>
    </row>
    <row r="107" ht="15.75" customHeight="1">
      <c r="A107" s="189"/>
      <c r="B107" s="189"/>
      <c r="C107" s="189"/>
      <c r="D107" s="189"/>
      <c r="E107" s="189"/>
      <c r="F107" s="189"/>
      <c r="G107" s="189"/>
      <c r="H107" s="189"/>
      <c r="I107" s="189"/>
      <c r="J107" s="189"/>
      <c r="K107" s="189"/>
      <c r="L107" s="189"/>
      <c r="M107" s="189"/>
      <c r="N107" s="189"/>
      <c r="O107" s="189"/>
      <c r="P107" s="189"/>
      <c r="Q107" s="189"/>
      <c r="R107" s="189"/>
      <c r="S107" s="189"/>
      <c r="T107" s="189"/>
      <c r="U107" s="189"/>
      <c r="V107" s="189"/>
      <c r="W107" s="189"/>
      <c r="X107" s="189"/>
      <c r="Y107" s="189"/>
      <c r="Z107" s="189"/>
      <c r="AA107" s="192"/>
      <c r="AB107" s="192"/>
      <c r="AC107" s="192"/>
      <c r="AD107" s="192"/>
    </row>
    <row r="108" ht="15.75" customHeight="1">
      <c r="A108" s="189"/>
      <c r="B108" s="189"/>
      <c r="C108" s="189"/>
      <c r="D108" s="189"/>
      <c r="E108" s="189"/>
      <c r="F108" s="189"/>
      <c r="G108" s="189"/>
      <c r="H108" s="189"/>
      <c r="I108" s="189"/>
      <c r="J108" s="189"/>
      <c r="K108" s="189"/>
      <c r="L108" s="189"/>
      <c r="M108" s="189"/>
      <c r="N108" s="189"/>
      <c r="O108" s="189"/>
      <c r="P108" s="189"/>
      <c r="Q108" s="189"/>
      <c r="R108" s="189"/>
      <c r="S108" s="189"/>
      <c r="T108" s="189"/>
      <c r="U108" s="189"/>
      <c r="V108" s="189"/>
      <c r="W108" s="189"/>
      <c r="X108" s="189"/>
      <c r="Y108" s="189"/>
      <c r="Z108" s="189"/>
      <c r="AA108" s="192"/>
      <c r="AB108" s="192"/>
      <c r="AC108" s="192"/>
      <c r="AD108" s="192"/>
    </row>
    <row r="109" ht="15.75" customHeight="1">
      <c r="A109" s="189"/>
      <c r="B109" s="189"/>
      <c r="C109" s="189"/>
      <c r="D109" s="189"/>
      <c r="E109" s="189"/>
      <c r="F109" s="189"/>
      <c r="G109" s="189"/>
      <c r="H109" s="189"/>
      <c r="I109" s="189"/>
      <c r="J109" s="189"/>
      <c r="K109" s="189"/>
      <c r="L109" s="189"/>
      <c r="M109" s="189"/>
      <c r="N109" s="189"/>
      <c r="O109" s="189"/>
      <c r="P109" s="189"/>
      <c r="Q109" s="189"/>
      <c r="R109" s="189"/>
      <c r="S109" s="189"/>
      <c r="T109" s="189"/>
      <c r="U109" s="189"/>
      <c r="V109" s="189"/>
      <c r="W109" s="189"/>
      <c r="X109" s="189"/>
      <c r="Y109" s="189"/>
      <c r="Z109" s="189"/>
      <c r="AA109" s="192"/>
      <c r="AB109" s="192"/>
      <c r="AC109" s="192"/>
      <c r="AD109" s="192"/>
    </row>
    <row r="110" ht="15.75" customHeight="1">
      <c r="A110" s="189"/>
      <c r="B110" s="189"/>
      <c r="C110" s="189"/>
      <c r="D110" s="189"/>
      <c r="E110" s="189"/>
      <c r="F110" s="189"/>
      <c r="G110" s="189"/>
      <c r="H110" s="189"/>
      <c r="I110" s="189"/>
      <c r="J110" s="189"/>
      <c r="K110" s="189"/>
      <c r="L110" s="189"/>
      <c r="M110" s="189"/>
      <c r="N110" s="189"/>
      <c r="O110" s="189"/>
      <c r="P110" s="189"/>
      <c r="Q110" s="189"/>
      <c r="R110" s="189"/>
      <c r="S110" s="189"/>
      <c r="T110" s="189"/>
      <c r="U110" s="189"/>
      <c r="V110" s="189"/>
      <c r="W110" s="189"/>
      <c r="X110" s="189"/>
      <c r="Y110" s="189"/>
      <c r="Z110" s="189"/>
      <c r="AA110" s="192"/>
      <c r="AB110" s="192"/>
      <c r="AC110" s="192"/>
      <c r="AD110" s="192"/>
    </row>
    <row r="111" ht="15.75" customHeight="1">
      <c r="A111" s="189"/>
      <c r="B111" s="189"/>
      <c r="C111" s="189"/>
      <c r="D111" s="189"/>
      <c r="E111" s="189"/>
      <c r="F111" s="189"/>
      <c r="G111" s="189"/>
      <c r="H111" s="189"/>
      <c r="I111" s="189"/>
      <c r="J111" s="189"/>
      <c r="K111" s="189"/>
      <c r="L111" s="189"/>
      <c r="M111" s="189"/>
      <c r="N111" s="189"/>
      <c r="O111" s="189"/>
      <c r="P111" s="189"/>
      <c r="Q111" s="189"/>
      <c r="R111" s="189"/>
      <c r="S111" s="189"/>
      <c r="T111" s="189"/>
      <c r="U111" s="189"/>
      <c r="V111" s="189"/>
      <c r="W111" s="189"/>
      <c r="X111" s="189"/>
      <c r="Y111" s="189"/>
      <c r="Z111" s="189"/>
      <c r="AA111" s="192"/>
      <c r="AB111" s="192"/>
      <c r="AC111" s="192"/>
      <c r="AD111" s="192"/>
    </row>
    <row r="112" ht="15.75" customHeight="1">
      <c r="A112" s="189"/>
      <c r="B112" s="189"/>
      <c r="C112" s="189"/>
      <c r="D112" s="189"/>
      <c r="E112" s="189"/>
      <c r="F112" s="189"/>
      <c r="G112" s="189"/>
      <c r="H112" s="189"/>
      <c r="I112" s="189"/>
      <c r="J112" s="189"/>
      <c r="K112" s="189"/>
      <c r="L112" s="189"/>
      <c r="M112" s="189"/>
      <c r="N112" s="189"/>
      <c r="O112" s="189"/>
      <c r="P112" s="189"/>
      <c r="Q112" s="189"/>
      <c r="R112" s="189"/>
      <c r="S112" s="189"/>
      <c r="T112" s="189"/>
      <c r="U112" s="189"/>
      <c r="V112" s="189"/>
      <c r="W112" s="189"/>
      <c r="X112" s="189"/>
      <c r="Y112" s="189"/>
      <c r="Z112" s="189"/>
      <c r="AA112" s="192"/>
      <c r="AB112" s="192"/>
      <c r="AC112" s="192"/>
      <c r="AD112" s="192"/>
    </row>
    <row r="113" ht="15.75" customHeight="1">
      <c r="A113" s="189"/>
      <c r="B113" s="189"/>
      <c r="C113" s="189"/>
      <c r="D113" s="189"/>
      <c r="E113" s="189"/>
      <c r="F113" s="189"/>
      <c r="G113" s="189"/>
      <c r="H113" s="189"/>
      <c r="I113" s="189"/>
      <c r="J113" s="189"/>
      <c r="K113" s="189"/>
      <c r="L113" s="189"/>
      <c r="M113" s="189"/>
      <c r="N113" s="189"/>
      <c r="O113" s="189"/>
      <c r="P113" s="189"/>
      <c r="Q113" s="189"/>
      <c r="R113" s="189"/>
      <c r="S113" s="189"/>
      <c r="T113" s="189"/>
      <c r="U113" s="189"/>
      <c r="V113" s="189"/>
      <c r="W113" s="189"/>
      <c r="X113" s="189"/>
      <c r="Y113" s="189"/>
      <c r="Z113" s="189"/>
      <c r="AA113" s="192"/>
      <c r="AB113" s="192"/>
      <c r="AC113" s="192"/>
      <c r="AD113" s="192"/>
    </row>
    <row r="114" ht="15.75" customHeight="1">
      <c r="A114" s="189"/>
      <c r="B114" s="189"/>
      <c r="C114" s="189"/>
      <c r="D114" s="189"/>
      <c r="E114" s="189"/>
      <c r="F114" s="189"/>
      <c r="G114" s="189"/>
      <c r="H114" s="189"/>
      <c r="I114" s="189"/>
      <c r="J114" s="189"/>
      <c r="K114" s="189"/>
      <c r="L114" s="189"/>
      <c r="M114" s="189"/>
      <c r="N114" s="189"/>
      <c r="O114" s="189"/>
      <c r="P114" s="189"/>
      <c r="Q114" s="189"/>
      <c r="R114" s="189"/>
      <c r="S114" s="189"/>
      <c r="T114" s="189"/>
      <c r="U114" s="189"/>
      <c r="V114" s="189"/>
      <c r="W114" s="189"/>
      <c r="X114" s="189"/>
      <c r="Y114" s="189"/>
      <c r="Z114" s="189"/>
      <c r="AA114" s="192"/>
      <c r="AB114" s="192"/>
      <c r="AC114" s="192"/>
      <c r="AD114" s="192"/>
    </row>
    <row r="115" ht="15.75" customHeight="1">
      <c r="A115" s="189"/>
      <c r="B115" s="189"/>
      <c r="C115" s="189"/>
      <c r="D115" s="189"/>
      <c r="E115" s="189"/>
      <c r="F115" s="189"/>
      <c r="G115" s="189"/>
      <c r="H115" s="189"/>
      <c r="I115" s="189"/>
      <c r="J115" s="189"/>
      <c r="K115" s="189"/>
      <c r="L115" s="189"/>
      <c r="M115" s="189"/>
      <c r="N115" s="189"/>
      <c r="O115" s="189"/>
      <c r="P115" s="189"/>
      <c r="Q115" s="189"/>
      <c r="R115" s="189"/>
      <c r="S115" s="189"/>
      <c r="T115" s="189"/>
      <c r="U115" s="189"/>
      <c r="V115" s="189"/>
      <c r="W115" s="189"/>
      <c r="X115" s="189"/>
      <c r="Y115" s="189"/>
      <c r="Z115" s="189"/>
      <c r="AA115" s="192"/>
      <c r="AB115" s="192"/>
      <c r="AC115" s="192"/>
      <c r="AD115" s="192"/>
    </row>
    <row r="116" ht="15.75" customHeight="1">
      <c r="A116" s="189"/>
      <c r="B116" s="189"/>
      <c r="C116" s="189"/>
      <c r="D116" s="189"/>
      <c r="E116" s="189"/>
      <c r="F116" s="189"/>
      <c r="G116" s="189"/>
      <c r="H116" s="189"/>
      <c r="I116" s="189"/>
      <c r="J116" s="189"/>
      <c r="K116" s="189"/>
      <c r="L116" s="189"/>
      <c r="M116" s="189"/>
      <c r="N116" s="189"/>
      <c r="O116" s="189"/>
      <c r="P116" s="189"/>
      <c r="Q116" s="189"/>
      <c r="R116" s="189"/>
      <c r="S116" s="189"/>
      <c r="T116" s="189"/>
      <c r="U116" s="189"/>
      <c r="V116" s="189"/>
      <c r="W116" s="189"/>
      <c r="X116" s="189"/>
      <c r="Y116" s="189"/>
      <c r="Z116" s="189"/>
      <c r="AA116" s="192"/>
      <c r="AB116" s="192"/>
      <c r="AC116" s="192"/>
      <c r="AD116" s="192"/>
    </row>
    <row r="117" ht="15.75" customHeight="1">
      <c r="A117" s="189"/>
      <c r="B117" s="189"/>
      <c r="C117" s="189"/>
      <c r="D117" s="189"/>
      <c r="E117" s="189"/>
      <c r="F117" s="189"/>
      <c r="G117" s="189"/>
      <c r="H117" s="189"/>
      <c r="I117" s="189"/>
      <c r="J117" s="189"/>
      <c r="K117" s="189"/>
      <c r="L117" s="189"/>
      <c r="M117" s="189"/>
      <c r="N117" s="189"/>
      <c r="O117" s="189"/>
      <c r="P117" s="189"/>
      <c r="Q117" s="189"/>
      <c r="R117" s="189"/>
      <c r="S117" s="189"/>
      <c r="T117" s="189"/>
      <c r="U117" s="189"/>
      <c r="V117" s="189"/>
      <c r="W117" s="189"/>
      <c r="X117" s="189"/>
      <c r="Y117" s="189"/>
      <c r="Z117" s="189"/>
      <c r="AA117" s="192"/>
      <c r="AB117" s="192"/>
      <c r="AC117" s="192"/>
      <c r="AD117" s="192"/>
    </row>
    <row r="118" ht="15.75" customHeight="1">
      <c r="A118" s="189"/>
      <c r="B118" s="189"/>
      <c r="C118" s="189"/>
      <c r="D118" s="189"/>
      <c r="E118" s="189"/>
      <c r="F118" s="189"/>
      <c r="G118" s="189"/>
      <c r="H118" s="189"/>
      <c r="I118" s="189"/>
      <c r="J118" s="189"/>
      <c r="K118" s="189"/>
      <c r="L118" s="189"/>
      <c r="M118" s="189"/>
      <c r="N118" s="189"/>
      <c r="O118" s="189"/>
      <c r="P118" s="189"/>
      <c r="Q118" s="189"/>
      <c r="R118" s="189"/>
      <c r="S118" s="189"/>
      <c r="T118" s="189"/>
      <c r="U118" s="189"/>
      <c r="V118" s="189"/>
      <c r="W118" s="189"/>
      <c r="X118" s="189"/>
      <c r="Y118" s="189"/>
      <c r="Z118" s="189"/>
      <c r="AA118" s="192"/>
      <c r="AB118" s="192"/>
      <c r="AC118" s="192"/>
      <c r="AD118" s="192"/>
    </row>
    <row r="119" ht="15.75" customHeight="1">
      <c r="A119" s="189"/>
      <c r="B119" s="189"/>
      <c r="C119" s="189"/>
      <c r="D119" s="189"/>
      <c r="E119" s="189"/>
      <c r="F119" s="189"/>
      <c r="G119" s="189"/>
      <c r="H119" s="189"/>
      <c r="I119" s="189"/>
      <c r="J119" s="189"/>
      <c r="K119" s="189"/>
      <c r="L119" s="189"/>
      <c r="M119" s="189"/>
      <c r="N119" s="189"/>
      <c r="O119" s="189"/>
      <c r="P119" s="189"/>
      <c r="Q119" s="189"/>
      <c r="R119" s="189"/>
      <c r="S119" s="189"/>
      <c r="T119" s="189"/>
      <c r="U119" s="189"/>
      <c r="V119" s="189"/>
      <c r="W119" s="189"/>
      <c r="X119" s="189"/>
      <c r="Y119" s="189"/>
      <c r="Z119" s="189"/>
      <c r="AA119" s="192"/>
      <c r="AB119" s="192"/>
      <c r="AC119" s="192"/>
      <c r="AD119" s="192"/>
    </row>
    <row r="120" ht="15.75" customHeight="1">
      <c r="A120" s="189"/>
      <c r="B120" s="189"/>
      <c r="C120" s="189"/>
      <c r="D120" s="189"/>
      <c r="E120" s="189"/>
      <c r="F120" s="189"/>
      <c r="G120" s="189"/>
      <c r="H120" s="189"/>
      <c r="I120" s="189"/>
      <c r="J120" s="189"/>
      <c r="K120" s="189"/>
      <c r="L120" s="189"/>
      <c r="M120" s="189"/>
      <c r="N120" s="189"/>
      <c r="O120" s="189"/>
      <c r="P120" s="189"/>
      <c r="Q120" s="189"/>
      <c r="R120" s="189"/>
      <c r="S120" s="189"/>
      <c r="T120" s="189"/>
      <c r="U120" s="189"/>
      <c r="V120" s="189"/>
      <c r="W120" s="189"/>
      <c r="X120" s="189"/>
      <c r="Y120" s="189"/>
      <c r="Z120" s="189"/>
      <c r="AA120" s="192"/>
      <c r="AB120" s="192"/>
      <c r="AC120" s="192"/>
      <c r="AD120" s="192"/>
    </row>
    <row r="121" ht="15.75" customHeight="1">
      <c r="A121" s="189"/>
      <c r="B121" s="189"/>
      <c r="C121" s="189"/>
      <c r="D121" s="189"/>
      <c r="E121" s="189"/>
      <c r="F121" s="189"/>
      <c r="G121" s="189"/>
      <c r="H121" s="189"/>
      <c r="I121" s="189"/>
      <c r="J121" s="189"/>
      <c r="K121" s="189"/>
      <c r="L121" s="189"/>
      <c r="M121" s="189"/>
      <c r="N121" s="189"/>
      <c r="O121" s="189"/>
      <c r="P121" s="189"/>
      <c r="Q121" s="189"/>
      <c r="R121" s="189"/>
      <c r="S121" s="189"/>
      <c r="T121" s="189"/>
      <c r="U121" s="189"/>
      <c r="V121" s="189"/>
      <c r="W121" s="189"/>
      <c r="X121" s="189"/>
      <c r="Y121" s="189"/>
      <c r="Z121" s="189"/>
      <c r="AA121" s="192"/>
      <c r="AB121" s="192"/>
      <c r="AC121" s="192"/>
      <c r="AD121" s="192"/>
    </row>
    <row r="122" ht="15.75" customHeight="1">
      <c r="A122" s="189"/>
      <c r="B122" s="189"/>
      <c r="C122" s="189"/>
      <c r="D122" s="189"/>
      <c r="E122" s="189"/>
      <c r="F122" s="189"/>
      <c r="G122" s="189"/>
      <c r="H122" s="189"/>
      <c r="I122" s="189"/>
      <c r="J122" s="189"/>
      <c r="K122" s="189"/>
      <c r="L122" s="189"/>
      <c r="M122" s="189"/>
      <c r="N122" s="189"/>
      <c r="O122" s="189"/>
      <c r="P122" s="189"/>
      <c r="Q122" s="189"/>
      <c r="R122" s="189"/>
      <c r="S122" s="189"/>
      <c r="T122" s="189"/>
      <c r="U122" s="189"/>
      <c r="V122" s="189"/>
      <c r="W122" s="189"/>
      <c r="X122" s="189"/>
      <c r="Y122" s="189"/>
      <c r="Z122" s="189"/>
      <c r="AA122" s="192"/>
      <c r="AB122" s="192"/>
      <c r="AC122" s="192"/>
      <c r="AD122" s="192"/>
    </row>
    <row r="123" ht="15.75" customHeight="1">
      <c r="A123" s="189"/>
      <c r="B123" s="189"/>
      <c r="C123" s="189"/>
      <c r="D123" s="189"/>
      <c r="E123" s="189"/>
      <c r="F123" s="189"/>
      <c r="G123" s="189"/>
      <c r="H123" s="189"/>
      <c r="I123" s="189"/>
      <c r="J123" s="189"/>
      <c r="K123" s="189"/>
      <c r="L123" s="189"/>
      <c r="M123" s="189"/>
      <c r="N123" s="189"/>
      <c r="O123" s="189"/>
      <c r="P123" s="189"/>
      <c r="Q123" s="189"/>
      <c r="R123" s="189"/>
      <c r="S123" s="189"/>
      <c r="T123" s="189"/>
      <c r="U123" s="189"/>
      <c r="V123" s="189"/>
      <c r="W123" s="189"/>
      <c r="X123" s="189"/>
      <c r="Y123" s="189"/>
      <c r="Z123" s="189"/>
      <c r="AA123" s="192"/>
      <c r="AB123" s="192"/>
      <c r="AC123" s="192"/>
      <c r="AD123" s="192"/>
    </row>
    <row r="124" ht="15.75" customHeight="1">
      <c r="A124" s="189"/>
      <c r="B124" s="189"/>
      <c r="C124" s="189"/>
      <c r="D124" s="189"/>
      <c r="E124" s="189"/>
      <c r="F124" s="189"/>
      <c r="G124" s="189"/>
      <c r="H124" s="189"/>
      <c r="I124" s="189"/>
      <c r="J124" s="189"/>
      <c r="K124" s="189"/>
      <c r="L124" s="189"/>
      <c r="M124" s="189"/>
      <c r="N124" s="189"/>
      <c r="O124" s="189"/>
      <c r="P124" s="189"/>
      <c r="Q124" s="189"/>
      <c r="R124" s="189"/>
      <c r="S124" s="189"/>
      <c r="T124" s="189"/>
      <c r="U124" s="189"/>
      <c r="V124" s="189"/>
      <c r="W124" s="189"/>
      <c r="X124" s="189"/>
      <c r="Y124" s="189"/>
      <c r="Z124" s="189"/>
      <c r="AA124" s="192"/>
      <c r="AB124" s="192"/>
      <c r="AC124" s="192"/>
      <c r="AD124" s="192"/>
    </row>
    <row r="125" ht="15.75" customHeight="1">
      <c r="A125" s="189"/>
      <c r="B125" s="189"/>
      <c r="C125" s="189"/>
      <c r="D125" s="189"/>
      <c r="E125" s="189"/>
      <c r="F125" s="189"/>
      <c r="G125" s="189"/>
      <c r="H125" s="189"/>
      <c r="I125" s="189"/>
      <c r="J125" s="189"/>
      <c r="K125" s="189"/>
      <c r="L125" s="189"/>
      <c r="M125" s="189"/>
      <c r="N125" s="189"/>
      <c r="O125" s="189"/>
      <c r="P125" s="189"/>
      <c r="Q125" s="189"/>
      <c r="R125" s="189"/>
      <c r="S125" s="189"/>
      <c r="T125" s="189"/>
      <c r="U125" s="189"/>
      <c r="V125" s="189"/>
      <c r="W125" s="189"/>
      <c r="X125" s="189"/>
      <c r="Y125" s="189"/>
      <c r="Z125" s="189"/>
      <c r="AA125" s="192"/>
      <c r="AB125" s="192"/>
      <c r="AC125" s="192"/>
      <c r="AD125" s="192"/>
    </row>
    <row r="126" ht="15.75" customHeight="1">
      <c r="A126" s="189"/>
      <c r="B126" s="189"/>
      <c r="C126" s="189"/>
      <c r="D126" s="189"/>
      <c r="E126" s="189"/>
      <c r="F126" s="189"/>
      <c r="G126" s="189"/>
      <c r="H126" s="189"/>
      <c r="I126" s="189"/>
      <c r="J126" s="189"/>
      <c r="K126" s="189"/>
      <c r="L126" s="189"/>
      <c r="M126" s="189"/>
      <c r="N126" s="189"/>
      <c r="O126" s="189"/>
      <c r="P126" s="189"/>
      <c r="Q126" s="189"/>
      <c r="R126" s="189"/>
      <c r="S126" s="189"/>
      <c r="T126" s="189"/>
      <c r="U126" s="189"/>
      <c r="V126" s="189"/>
      <c r="W126" s="189"/>
      <c r="X126" s="189"/>
      <c r="Y126" s="189"/>
      <c r="Z126" s="189"/>
      <c r="AA126" s="192"/>
      <c r="AB126" s="192"/>
      <c r="AC126" s="192"/>
      <c r="AD126" s="192"/>
    </row>
    <row r="127" ht="15.75" customHeight="1">
      <c r="A127" s="189"/>
      <c r="B127" s="189"/>
      <c r="C127" s="189"/>
      <c r="D127" s="189"/>
      <c r="E127" s="189"/>
      <c r="F127" s="189"/>
      <c r="G127" s="189"/>
      <c r="H127" s="189"/>
      <c r="I127" s="189"/>
      <c r="J127" s="189"/>
      <c r="K127" s="189"/>
      <c r="L127" s="189"/>
      <c r="M127" s="189"/>
      <c r="N127" s="189"/>
      <c r="O127" s="189"/>
      <c r="P127" s="189"/>
      <c r="Q127" s="189"/>
      <c r="R127" s="189"/>
      <c r="S127" s="189"/>
      <c r="T127" s="189"/>
      <c r="U127" s="189"/>
      <c r="V127" s="189"/>
      <c r="W127" s="189"/>
      <c r="X127" s="189"/>
      <c r="Y127" s="189"/>
      <c r="Z127" s="189"/>
      <c r="AA127" s="192"/>
      <c r="AB127" s="192"/>
      <c r="AC127" s="192"/>
      <c r="AD127" s="192"/>
    </row>
    <row r="128" ht="15.75" customHeight="1">
      <c r="A128" s="189"/>
      <c r="B128" s="189"/>
      <c r="C128" s="189"/>
      <c r="D128" s="189"/>
      <c r="E128" s="189"/>
      <c r="F128" s="189"/>
      <c r="G128" s="189"/>
      <c r="H128" s="189"/>
      <c r="I128" s="189"/>
      <c r="J128" s="189"/>
      <c r="K128" s="189"/>
      <c r="L128" s="189"/>
      <c r="M128" s="189"/>
      <c r="N128" s="189"/>
      <c r="O128" s="189"/>
      <c r="P128" s="189"/>
      <c r="Q128" s="189"/>
      <c r="R128" s="189"/>
      <c r="S128" s="189"/>
      <c r="T128" s="189"/>
      <c r="U128" s="189"/>
      <c r="V128" s="189"/>
      <c r="W128" s="189"/>
      <c r="X128" s="189"/>
      <c r="Y128" s="189"/>
      <c r="Z128" s="189"/>
      <c r="AA128" s="192"/>
      <c r="AB128" s="192"/>
      <c r="AC128" s="192"/>
      <c r="AD128" s="192"/>
    </row>
    <row r="129" ht="15.75" customHeight="1">
      <c r="A129" s="189"/>
      <c r="B129" s="189"/>
      <c r="C129" s="189"/>
      <c r="D129" s="189"/>
      <c r="E129" s="189"/>
      <c r="F129" s="189"/>
      <c r="G129" s="189"/>
      <c r="H129" s="189"/>
      <c r="I129" s="189"/>
      <c r="J129" s="189"/>
      <c r="K129" s="189"/>
      <c r="L129" s="189"/>
      <c r="M129" s="189"/>
      <c r="N129" s="189"/>
      <c r="O129" s="189"/>
      <c r="P129" s="189"/>
      <c r="Q129" s="189"/>
      <c r="R129" s="189"/>
      <c r="S129" s="189"/>
      <c r="T129" s="189"/>
      <c r="U129" s="189"/>
      <c r="V129" s="189"/>
      <c r="W129" s="189"/>
      <c r="X129" s="189"/>
      <c r="Y129" s="189"/>
      <c r="Z129" s="189"/>
      <c r="AA129" s="192"/>
      <c r="AB129" s="192"/>
      <c r="AC129" s="192"/>
      <c r="AD129" s="192"/>
    </row>
    <row r="130" ht="15.75" customHeight="1">
      <c r="A130" s="189"/>
      <c r="B130" s="189"/>
      <c r="C130" s="189"/>
      <c r="D130" s="189"/>
      <c r="E130" s="189"/>
      <c r="F130" s="189"/>
      <c r="G130" s="189"/>
      <c r="H130" s="189"/>
      <c r="I130" s="189"/>
      <c r="J130" s="189"/>
      <c r="K130" s="189"/>
      <c r="L130" s="189"/>
      <c r="M130" s="189"/>
      <c r="N130" s="189"/>
      <c r="O130" s="189"/>
      <c r="P130" s="189"/>
      <c r="Q130" s="189"/>
      <c r="R130" s="189"/>
      <c r="S130" s="189"/>
      <c r="T130" s="189"/>
      <c r="U130" s="189"/>
      <c r="V130" s="189"/>
      <c r="W130" s="189"/>
      <c r="X130" s="189"/>
      <c r="Y130" s="189"/>
      <c r="Z130" s="189"/>
      <c r="AA130" s="192"/>
      <c r="AB130" s="192"/>
      <c r="AC130" s="192"/>
      <c r="AD130" s="192"/>
    </row>
    <row r="131" ht="15.75" customHeight="1">
      <c r="A131" s="189"/>
      <c r="B131" s="189"/>
      <c r="C131" s="189"/>
      <c r="D131" s="189"/>
      <c r="E131" s="189"/>
      <c r="F131" s="189"/>
      <c r="G131" s="189"/>
      <c r="H131" s="189"/>
      <c r="I131" s="189"/>
      <c r="J131" s="189"/>
      <c r="K131" s="189"/>
      <c r="L131" s="189"/>
      <c r="M131" s="189"/>
      <c r="N131" s="189"/>
      <c r="O131" s="189"/>
      <c r="P131" s="189"/>
      <c r="Q131" s="189"/>
      <c r="R131" s="189"/>
      <c r="S131" s="189"/>
      <c r="T131" s="189"/>
      <c r="U131" s="189"/>
      <c r="V131" s="189"/>
      <c r="W131" s="189"/>
      <c r="X131" s="189"/>
      <c r="Y131" s="189"/>
      <c r="Z131" s="189"/>
      <c r="AA131" s="192"/>
      <c r="AB131" s="192"/>
      <c r="AC131" s="192"/>
      <c r="AD131" s="192"/>
    </row>
    <row r="132" ht="15.75" customHeight="1">
      <c r="A132" s="189"/>
      <c r="B132" s="189"/>
      <c r="C132" s="189"/>
      <c r="D132" s="189"/>
      <c r="E132" s="189"/>
      <c r="F132" s="189"/>
      <c r="G132" s="189"/>
      <c r="H132" s="189"/>
      <c r="I132" s="189"/>
      <c r="J132" s="189"/>
      <c r="K132" s="189"/>
      <c r="L132" s="189"/>
      <c r="M132" s="189"/>
      <c r="N132" s="189"/>
      <c r="O132" s="189"/>
      <c r="P132" s="189"/>
      <c r="Q132" s="189"/>
      <c r="R132" s="189"/>
      <c r="S132" s="189"/>
      <c r="T132" s="189"/>
      <c r="U132" s="189"/>
      <c r="V132" s="189"/>
      <c r="W132" s="189"/>
      <c r="X132" s="189"/>
      <c r="Y132" s="189"/>
      <c r="Z132" s="189"/>
      <c r="AA132" s="192"/>
      <c r="AB132" s="192"/>
      <c r="AC132" s="192"/>
      <c r="AD132" s="192"/>
    </row>
    <row r="133" ht="15.75" customHeight="1">
      <c r="A133" s="189"/>
      <c r="B133" s="189"/>
      <c r="C133" s="189"/>
      <c r="D133" s="189"/>
      <c r="E133" s="189"/>
      <c r="F133" s="189"/>
      <c r="G133" s="189"/>
      <c r="H133" s="189"/>
      <c r="I133" s="189"/>
      <c r="J133" s="189"/>
      <c r="K133" s="189"/>
      <c r="L133" s="189"/>
      <c r="M133" s="189"/>
      <c r="N133" s="189"/>
      <c r="O133" s="189"/>
      <c r="P133" s="189"/>
      <c r="Q133" s="189"/>
      <c r="R133" s="189"/>
      <c r="S133" s="189"/>
      <c r="T133" s="189"/>
      <c r="U133" s="189"/>
      <c r="V133" s="189"/>
      <c r="W133" s="189"/>
      <c r="X133" s="189"/>
      <c r="Y133" s="189"/>
      <c r="Z133" s="189"/>
      <c r="AA133" s="192"/>
      <c r="AB133" s="192"/>
      <c r="AC133" s="192"/>
      <c r="AD133" s="192"/>
    </row>
    <row r="134" ht="15.75" customHeight="1">
      <c r="A134" s="189"/>
      <c r="B134" s="189"/>
      <c r="C134" s="189"/>
      <c r="D134" s="189"/>
      <c r="E134" s="189"/>
      <c r="F134" s="189"/>
      <c r="G134" s="189"/>
      <c r="H134" s="189"/>
      <c r="I134" s="189"/>
      <c r="J134" s="189"/>
      <c r="K134" s="189"/>
      <c r="L134" s="189"/>
      <c r="M134" s="189"/>
      <c r="N134" s="189"/>
      <c r="O134" s="189"/>
      <c r="P134" s="189"/>
      <c r="Q134" s="189"/>
      <c r="R134" s="189"/>
      <c r="S134" s="189"/>
      <c r="T134" s="189"/>
      <c r="U134" s="189"/>
      <c r="V134" s="189"/>
      <c r="W134" s="189"/>
      <c r="X134" s="189"/>
      <c r="Y134" s="189"/>
      <c r="Z134" s="189"/>
      <c r="AA134" s="192"/>
      <c r="AB134" s="192"/>
      <c r="AC134" s="192"/>
      <c r="AD134" s="192"/>
    </row>
    <row r="135" ht="15.75" customHeight="1">
      <c r="A135" s="189"/>
      <c r="B135" s="189"/>
      <c r="C135" s="189"/>
      <c r="D135" s="189"/>
      <c r="E135" s="189"/>
      <c r="F135" s="189"/>
      <c r="G135" s="189"/>
      <c r="H135" s="189"/>
      <c r="I135" s="189"/>
      <c r="J135" s="189"/>
      <c r="K135" s="189"/>
      <c r="L135" s="189"/>
      <c r="M135" s="189"/>
      <c r="N135" s="189"/>
      <c r="O135" s="189"/>
      <c r="P135" s="189"/>
      <c r="Q135" s="189"/>
      <c r="R135" s="189"/>
      <c r="S135" s="189"/>
      <c r="T135" s="189"/>
      <c r="U135" s="189"/>
      <c r="V135" s="189"/>
      <c r="W135" s="189"/>
      <c r="X135" s="189"/>
      <c r="Y135" s="189"/>
      <c r="Z135" s="189"/>
      <c r="AA135" s="192"/>
      <c r="AB135" s="192"/>
      <c r="AC135" s="192"/>
      <c r="AD135" s="192"/>
    </row>
    <row r="136" ht="15.75" customHeight="1">
      <c r="A136" s="189"/>
      <c r="B136" s="189"/>
      <c r="C136" s="189"/>
      <c r="D136" s="189"/>
      <c r="E136" s="189"/>
      <c r="F136" s="189"/>
      <c r="G136" s="189"/>
      <c r="H136" s="189"/>
      <c r="I136" s="189"/>
      <c r="J136" s="189"/>
      <c r="K136" s="189"/>
      <c r="L136" s="189"/>
      <c r="M136" s="189"/>
      <c r="N136" s="189"/>
      <c r="O136" s="189"/>
      <c r="P136" s="189"/>
      <c r="Q136" s="189"/>
      <c r="R136" s="189"/>
      <c r="S136" s="189"/>
      <c r="T136" s="189"/>
      <c r="U136" s="189"/>
      <c r="V136" s="189"/>
      <c r="W136" s="189"/>
      <c r="X136" s="189"/>
      <c r="Y136" s="189"/>
      <c r="Z136" s="189"/>
      <c r="AA136" s="192"/>
      <c r="AB136" s="192"/>
      <c r="AC136" s="192"/>
      <c r="AD136" s="192"/>
    </row>
    <row r="137" ht="15.75" customHeight="1">
      <c r="A137" s="189"/>
      <c r="B137" s="189"/>
      <c r="C137" s="189"/>
      <c r="D137" s="189"/>
      <c r="E137" s="189"/>
      <c r="F137" s="189"/>
      <c r="G137" s="189"/>
      <c r="H137" s="189"/>
      <c r="I137" s="189"/>
      <c r="J137" s="189"/>
      <c r="K137" s="189"/>
      <c r="L137" s="189"/>
      <c r="M137" s="189"/>
      <c r="N137" s="189"/>
      <c r="O137" s="189"/>
      <c r="P137" s="189"/>
      <c r="Q137" s="189"/>
      <c r="R137" s="189"/>
      <c r="S137" s="189"/>
      <c r="T137" s="189"/>
      <c r="U137" s="189"/>
      <c r="V137" s="189"/>
      <c r="W137" s="189"/>
      <c r="X137" s="189"/>
      <c r="Y137" s="189"/>
      <c r="Z137" s="189"/>
      <c r="AA137" s="192"/>
      <c r="AB137" s="192"/>
      <c r="AC137" s="192"/>
      <c r="AD137" s="192"/>
    </row>
    <row r="138" ht="15.75" customHeight="1">
      <c r="A138" s="189"/>
      <c r="B138" s="189"/>
      <c r="C138" s="189"/>
      <c r="D138" s="189"/>
      <c r="E138" s="189"/>
      <c r="F138" s="189"/>
      <c r="G138" s="189"/>
      <c r="H138" s="189"/>
      <c r="I138" s="189"/>
      <c r="J138" s="189"/>
      <c r="K138" s="189"/>
      <c r="L138" s="189"/>
      <c r="M138" s="189"/>
      <c r="N138" s="189"/>
      <c r="O138" s="189"/>
      <c r="P138" s="189"/>
      <c r="Q138" s="189"/>
      <c r="R138" s="189"/>
      <c r="S138" s="189"/>
      <c r="T138" s="189"/>
      <c r="U138" s="189"/>
      <c r="V138" s="189"/>
      <c r="W138" s="189"/>
      <c r="X138" s="189"/>
      <c r="Y138" s="189"/>
      <c r="Z138" s="189"/>
      <c r="AA138" s="192"/>
      <c r="AB138" s="192"/>
      <c r="AC138" s="192"/>
      <c r="AD138" s="192"/>
    </row>
    <row r="139" ht="15.75" customHeight="1">
      <c r="A139" s="189"/>
      <c r="B139" s="189"/>
      <c r="C139" s="189"/>
      <c r="D139" s="189"/>
      <c r="E139" s="189"/>
      <c r="F139" s="189"/>
      <c r="G139" s="189"/>
      <c r="H139" s="189"/>
      <c r="I139" s="189"/>
      <c r="J139" s="189"/>
      <c r="K139" s="189"/>
      <c r="L139" s="189"/>
      <c r="M139" s="189"/>
      <c r="N139" s="189"/>
      <c r="O139" s="189"/>
      <c r="P139" s="189"/>
      <c r="Q139" s="189"/>
      <c r="R139" s="189"/>
      <c r="S139" s="189"/>
      <c r="T139" s="189"/>
      <c r="U139" s="189"/>
      <c r="V139" s="189"/>
      <c r="W139" s="189"/>
      <c r="X139" s="189"/>
      <c r="Y139" s="189"/>
      <c r="Z139" s="189"/>
      <c r="AA139" s="192"/>
      <c r="AB139" s="192"/>
      <c r="AC139" s="192"/>
      <c r="AD139" s="192"/>
    </row>
    <row r="140" ht="15.75" customHeight="1">
      <c r="A140" s="189"/>
      <c r="B140" s="189"/>
      <c r="C140" s="189"/>
      <c r="D140" s="189"/>
      <c r="E140" s="189"/>
      <c r="F140" s="189"/>
      <c r="G140" s="189"/>
      <c r="H140" s="189"/>
      <c r="I140" s="189"/>
      <c r="J140" s="189"/>
      <c r="K140" s="189"/>
      <c r="L140" s="189"/>
      <c r="M140" s="189"/>
      <c r="N140" s="189"/>
      <c r="O140" s="189"/>
      <c r="P140" s="189"/>
      <c r="Q140" s="189"/>
      <c r="R140" s="189"/>
      <c r="S140" s="189"/>
      <c r="T140" s="189"/>
      <c r="U140" s="189"/>
      <c r="V140" s="189"/>
      <c r="W140" s="189"/>
      <c r="X140" s="189"/>
      <c r="Y140" s="189"/>
      <c r="Z140" s="189"/>
      <c r="AA140" s="192"/>
      <c r="AB140" s="192"/>
      <c r="AC140" s="192"/>
      <c r="AD140" s="192"/>
    </row>
    <row r="141" ht="15.75" customHeight="1">
      <c r="A141" s="189"/>
      <c r="B141" s="189"/>
      <c r="C141" s="189"/>
      <c r="D141" s="189"/>
      <c r="E141" s="189"/>
      <c r="F141" s="189"/>
      <c r="G141" s="189"/>
      <c r="H141" s="189"/>
      <c r="I141" s="189"/>
      <c r="J141" s="189"/>
      <c r="K141" s="189"/>
      <c r="L141" s="189"/>
      <c r="M141" s="189"/>
      <c r="N141" s="189"/>
      <c r="O141" s="189"/>
      <c r="P141" s="189"/>
      <c r="Q141" s="189"/>
      <c r="R141" s="189"/>
      <c r="S141" s="189"/>
      <c r="T141" s="189"/>
      <c r="U141" s="189"/>
      <c r="V141" s="189"/>
      <c r="W141" s="189"/>
      <c r="X141" s="189"/>
      <c r="Y141" s="189"/>
      <c r="Z141" s="189"/>
      <c r="AA141" s="192"/>
      <c r="AB141" s="192"/>
      <c r="AC141" s="192"/>
      <c r="AD141" s="192"/>
    </row>
    <row r="142" ht="15.75" customHeight="1">
      <c r="A142" s="189"/>
      <c r="B142" s="189"/>
      <c r="C142" s="189"/>
      <c r="D142" s="189"/>
      <c r="E142" s="189"/>
      <c r="F142" s="189"/>
      <c r="G142" s="189"/>
      <c r="H142" s="189"/>
      <c r="I142" s="189"/>
      <c r="J142" s="189"/>
      <c r="K142" s="189"/>
      <c r="L142" s="189"/>
      <c r="M142" s="189"/>
      <c r="N142" s="189"/>
      <c r="O142" s="189"/>
      <c r="P142" s="189"/>
      <c r="Q142" s="189"/>
      <c r="R142" s="189"/>
      <c r="S142" s="189"/>
      <c r="T142" s="189"/>
      <c r="U142" s="189"/>
      <c r="V142" s="189"/>
      <c r="W142" s="189"/>
      <c r="X142" s="189"/>
      <c r="Y142" s="189"/>
      <c r="Z142" s="189"/>
      <c r="AA142" s="192"/>
      <c r="AB142" s="192"/>
      <c r="AC142" s="192"/>
      <c r="AD142" s="192"/>
    </row>
    <row r="143" ht="15.75" customHeight="1">
      <c r="A143" s="189"/>
      <c r="B143" s="189"/>
      <c r="C143" s="189"/>
      <c r="D143" s="189"/>
      <c r="E143" s="189"/>
      <c r="F143" s="189"/>
      <c r="G143" s="189"/>
      <c r="H143" s="189"/>
      <c r="I143" s="189"/>
      <c r="J143" s="189"/>
      <c r="K143" s="189"/>
      <c r="L143" s="189"/>
      <c r="M143" s="189"/>
      <c r="N143" s="189"/>
      <c r="O143" s="189"/>
      <c r="P143" s="189"/>
      <c r="Q143" s="189"/>
      <c r="R143" s="189"/>
      <c r="S143" s="189"/>
      <c r="T143" s="189"/>
      <c r="U143" s="189"/>
      <c r="V143" s="189"/>
      <c r="W143" s="189"/>
      <c r="X143" s="189"/>
      <c r="Y143" s="189"/>
      <c r="Z143" s="189"/>
      <c r="AA143" s="192"/>
      <c r="AB143" s="192"/>
      <c r="AC143" s="192"/>
      <c r="AD143" s="192"/>
    </row>
    <row r="144" ht="15.75" customHeight="1">
      <c r="A144" s="189"/>
      <c r="B144" s="189"/>
      <c r="C144" s="189"/>
      <c r="D144" s="189"/>
      <c r="E144" s="189"/>
      <c r="F144" s="189"/>
      <c r="G144" s="189"/>
      <c r="H144" s="189"/>
      <c r="I144" s="189"/>
      <c r="J144" s="189"/>
      <c r="K144" s="189"/>
      <c r="L144" s="189"/>
      <c r="M144" s="189"/>
      <c r="N144" s="189"/>
      <c r="O144" s="189"/>
      <c r="P144" s="189"/>
      <c r="Q144" s="189"/>
      <c r="R144" s="189"/>
      <c r="S144" s="189"/>
      <c r="T144" s="189"/>
      <c r="U144" s="189"/>
      <c r="V144" s="189"/>
      <c r="W144" s="189"/>
      <c r="X144" s="189"/>
      <c r="Y144" s="189"/>
      <c r="Z144" s="189"/>
      <c r="AA144" s="192"/>
      <c r="AB144" s="192"/>
      <c r="AC144" s="192"/>
      <c r="AD144" s="192"/>
    </row>
    <row r="145" ht="15.75" customHeight="1">
      <c r="A145" s="189"/>
      <c r="B145" s="189"/>
      <c r="C145" s="189"/>
      <c r="D145" s="189"/>
      <c r="E145" s="189"/>
      <c r="F145" s="189"/>
      <c r="G145" s="189"/>
      <c r="H145" s="189"/>
      <c r="I145" s="189"/>
      <c r="J145" s="189"/>
      <c r="K145" s="189"/>
      <c r="L145" s="189"/>
      <c r="M145" s="189"/>
      <c r="N145" s="189"/>
      <c r="O145" s="189"/>
      <c r="P145" s="189"/>
      <c r="Q145" s="189"/>
      <c r="R145" s="189"/>
      <c r="S145" s="189"/>
      <c r="T145" s="189"/>
      <c r="U145" s="189"/>
      <c r="V145" s="189"/>
      <c r="W145" s="189"/>
      <c r="X145" s="189"/>
      <c r="Y145" s="189"/>
      <c r="Z145" s="189"/>
      <c r="AA145" s="192"/>
      <c r="AB145" s="192"/>
      <c r="AC145" s="192"/>
      <c r="AD145" s="192"/>
    </row>
    <row r="146" ht="15.75" customHeight="1">
      <c r="A146" s="189"/>
      <c r="B146" s="189"/>
      <c r="C146" s="189"/>
      <c r="D146" s="189"/>
      <c r="E146" s="189"/>
      <c r="F146" s="189"/>
      <c r="G146" s="189"/>
      <c r="H146" s="189"/>
      <c r="I146" s="189"/>
      <c r="J146" s="189"/>
      <c r="K146" s="189"/>
      <c r="L146" s="189"/>
      <c r="M146" s="189"/>
      <c r="N146" s="189"/>
      <c r="O146" s="189"/>
      <c r="P146" s="189"/>
      <c r="Q146" s="189"/>
      <c r="R146" s="189"/>
      <c r="S146" s="189"/>
      <c r="T146" s="189"/>
      <c r="U146" s="189"/>
      <c r="V146" s="189"/>
      <c r="W146" s="189"/>
      <c r="X146" s="189"/>
      <c r="Y146" s="189"/>
      <c r="Z146" s="189"/>
      <c r="AA146" s="192"/>
      <c r="AB146" s="192"/>
      <c r="AC146" s="192"/>
      <c r="AD146" s="192"/>
    </row>
    <row r="147" ht="15.75" customHeight="1">
      <c r="A147" s="189"/>
      <c r="B147" s="189"/>
      <c r="C147" s="189"/>
      <c r="D147" s="189"/>
      <c r="E147" s="189"/>
      <c r="F147" s="189"/>
      <c r="G147" s="189"/>
      <c r="H147" s="189"/>
      <c r="I147" s="189"/>
      <c r="J147" s="189"/>
      <c r="K147" s="189"/>
      <c r="L147" s="189"/>
      <c r="M147" s="189"/>
      <c r="N147" s="189"/>
      <c r="O147" s="189"/>
      <c r="P147" s="189"/>
      <c r="Q147" s="189"/>
      <c r="R147" s="189"/>
      <c r="S147" s="189"/>
      <c r="T147" s="189"/>
      <c r="U147" s="189"/>
      <c r="V147" s="189"/>
      <c r="W147" s="189"/>
      <c r="X147" s="189"/>
      <c r="Y147" s="189"/>
      <c r="Z147" s="189"/>
      <c r="AA147" s="192"/>
      <c r="AB147" s="192"/>
      <c r="AC147" s="192"/>
      <c r="AD147" s="192"/>
    </row>
    <row r="148" ht="15.75" customHeight="1">
      <c r="A148" s="189"/>
      <c r="B148" s="189"/>
      <c r="C148" s="189"/>
      <c r="D148" s="189"/>
      <c r="E148" s="189"/>
      <c r="F148" s="189"/>
      <c r="G148" s="189"/>
      <c r="H148" s="189"/>
      <c r="I148" s="189"/>
      <c r="J148" s="189"/>
      <c r="K148" s="189"/>
      <c r="L148" s="189"/>
      <c r="M148" s="189"/>
      <c r="N148" s="189"/>
      <c r="O148" s="189"/>
      <c r="P148" s="189"/>
      <c r="Q148" s="189"/>
      <c r="R148" s="189"/>
      <c r="S148" s="189"/>
      <c r="T148" s="189"/>
      <c r="U148" s="189"/>
      <c r="V148" s="189"/>
      <c r="W148" s="189"/>
      <c r="X148" s="189"/>
      <c r="Y148" s="189"/>
      <c r="Z148" s="189"/>
      <c r="AA148" s="192"/>
      <c r="AB148" s="192"/>
      <c r="AC148" s="192"/>
      <c r="AD148" s="192"/>
    </row>
    <row r="149" ht="15.75" customHeight="1">
      <c r="A149" s="189"/>
      <c r="B149" s="189"/>
      <c r="C149" s="189"/>
      <c r="D149" s="189"/>
      <c r="E149" s="189"/>
      <c r="F149" s="189"/>
      <c r="G149" s="189"/>
      <c r="H149" s="189"/>
      <c r="I149" s="189"/>
      <c r="J149" s="189"/>
      <c r="K149" s="189"/>
      <c r="L149" s="189"/>
      <c r="M149" s="189"/>
      <c r="N149" s="189"/>
      <c r="O149" s="189"/>
      <c r="P149" s="189"/>
      <c r="Q149" s="189"/>
      <c r="R149" s="189"/>
      <c r="S149" s="189"/>
      <c r="T149" s="189"/>
      <c r="U149" s="189"/>
      <c r="V149" s="189"/>
      <c r="W149" s="189"/>
      <c r="X149" s="189"/>
      <c r="Y149" s="189"/>
      <c r="Z149" s="189"/>
      <c r="AA149" s="192"/>
      <c r="AB149" s="192"/>
      <c r="AC149" s="192"/>
      <c r="AD149" s="192"/>
    </row>
    <row r="150" ht="15.75" customHeight="1">
      <c r="A150" s="189"/>
      <c r="B150" s="189"/>
      <c r="C150" s="189"/>
      <c r="D150" s="189"/>
      <c r="E150" s="189"/>
      <c r="F150" s="189"/>
      <c r="G150" s="189"/>
      <c r="H150" s="189"/>
      <c r="I150" s="189"/>
      <c r="J150" s="189"/>
      <c r="K150" s="189"/>
      <c r="L150" s="189"/>
      <c r="M150" s="189"/>
      <c r="N150" s="189"/>
      <c r="O150" s="189"/>
      <c r="P150" s="189"/>
      <c r="Q150" s="189"/>
      <c r="R150" s="189"/>
      <c r="S150" s="189"/>
      <c r="T150" s="189"/>
      <c r="U150" s="189"/>
      <c r="V150" s="189"/>
      <c r="W150" s="189"/>
      <c r="X150" s="189"/>
      <c r="Y150" s="189"/>
      <c r="Z150" s="189"/>
      <c r="AA150" s="192"/>
      <c r="AB150" s="192"/>
      <c r="AC150" s="192"/>
      <c r="AD150" s="192"/>
    </row>
    <row r="151" ht="15.75" customHeight="1">
      <c r="A151" s="189"/>
      <c r="B151" s="189"/>
      <c r="C151" s="189"/>
      <c r="D151" s="189"/>
      <c r="E151" s="189"/>
      <c r="F151" s="189"/>
      <c r="G151" s="189"/>
      <c r="H151" s="189"/>
      <c r="I151" s="189"/>
      <c r="J151" s="189"/>
      <c r="K151" s="189"/>
      <c r="L151" s="189"/>
      <c r="M151" s="189"/>
      <c r="N151" s="189"/>
      <c r="O151" s="189"/>
      <c r="P151" s="189"/>
      <c r="Q151" s="189"/>
      <c r="R151" s="189"/>
      <c r="S151" s="189"/>
      <c r="T151" s="189"/>
      <c r="U151" s="189"/>
      <c r="V151" s="189"/>
      <c r="W151" s="189"/>
      <c r="X151" s="189"/>
      <c r="Y151" s="189"/>
      <c r="Z151" s="189"/>
      <c r="AA151" s="192"/>
      <c r="AB151" s="192"/>
      <c r="AC151" s="192"/>
      <c r="AD151" s="192"/>
    </row>
    <row r="152" ht="15.75" customHeight="1">
      <c r="A152" s="189"/>
      <c r="B152" s="189"/>
      <c r="C152" s="189"/>
      <c r="D152" s="189"/>
      <c r="E152" s="189"/>
      <c r="F152" s="189"/>
      <c r="G152" s="189"/>
      <c r="H152" s="189"/>
      <c r="I152" s="189"/>
      <c r="J152" s="189"/>
      <c r="K152" s="189"/>
      <c r="L152" s="189"/>
      <c r="M152" s="189"/>
      <c r="N152" s="189"/>
      <c r="O152" s="189"/>
      <c r="P152" s="189"/>
      <c r="Q152" s="189"/>
      <c r="R152" s="189"/>
      <c r="S152" s="189"/>
      <c r="T152" s="189"/>
      <c r="U152" s="189"/>
      <c r="V152" s="189"/>
      <c r="W152" s="189"/>
      <c r="X152" s="189"/>
      <c r="Y152" s="189"/>
      <c r="Z152" s="189"/>
      <c r="AA152" s="192"/>
      <c r="AB152" s="192"/>
      <c r="AC152" s="192"/>
      <c r="AD152" s="192"/>
    </row>
    <row r="153" ht="15.75" customHeight="1">
      <c r="A153" s="189"/>
      <c r="B153" s="189"/>
      <c r="C153" s="189"/>
      <c r="D153" s="189"/>
      <c r="E153" s="189"/>
      <c r="F153" s="189"/>
      <c r="G153" s="189"/>
      <c r="H153" s="189"/>
      <c r="I153" s="189"/>
      <c r="J153" s="189"/>
      <c r="K153" s="189"/>
      <c r="L153" s="189"/>
      <c r="M153" s="189"/>
      <c r="N153" s="189"/>
      <c r="O153" s="189"/>
      <c r="P153" s="189"/>
      <c r="Q153" s="189"/>
      <c r="R153" s="189"/>
      <c r="S153" s="189"/>
      <c r="T153" s="189"/>
      <c r="U153" s="189"/>
      <c r="V153" s="189"/>
      <c r="W153" s="189"/>
      <c r="X153" s="189"/>
      <c r="Y153" s="189"/>
      <c r="Z153" s="189"/>
      <c r="AA153" s="192"/>
      <c r="AB153" s="192"/>
      <c r="AC153" s="192"/>
      <c r="AD153" s="192"/>
    </row>
    <row r="154" ht="15.75" customHeight="1">
      <c r="A154" s="189"/>
      <c r="B154" s="189"/>
      <c r="C154" s="189"/>
      <c r="D154" s="189"/>
      <c r="E154" s="189"/>
      <c r="F154" s="189"/>
      <c r="G154" s="189"/>
      <c r="H154" s="189"/>
      <c r="I154" s="189"/>
      <c r="J154" s="189"/>
      <c r="K154" s="189"/>
      <c r="L154" s="189"/>
      <c r="M154" s="189"/>
      <c r="N154" s="189"/>
      <c r="O154" s="189"/>
      <c r="P154" s="189"/>
      <c r="Q154" s="189"/>
      <c r="R154" s="189"/>
      <c r="S154" s="189"/>
      <c r="T154" s="189"/>
      <c r="U154" s="189"/>
      <c r="V154" s="189"/>
      <c r="W154" s="189"/>
      <c r="X154" s="189"/>
      <c r="Y154" s="189"/>
      <c r="Z154" s="189"/>
      <c r="AA154" s="192"/>
      <c r="AB154" s="192"/>
      <c r="AC154" s="192"/>
      <c r="AD154" s="192"/>
    </row>
    <row r="155" ht="15.75" customHeight="1">
      <c r="A155" s="189"/>
      <c r="B155" s="189"/>
      <c r="C155" s="189"/>
      <c r="D155" s="189"/>
      <c r="E155" s="189"/>
      <c r="F155" s="189"/>
      <c r="G155" s="189"/>
      <c r="H155" s="189"/>
      <c r="I155" s="189"/>
      <c r="J155" s="189"/>
      <c r="K155" s="189"/>
      <c r="L155" s="189"/>
      <c r="M155" s="189"/>
      <c r="N155" s="189"/>
      <c r="O155" s="189"/>
      <c r="P155" s="189"/>
      <c r="Q155" s="189"/>
      <c r="R155" s="189"/>
      <c r="S155" s="189"/>
      <c r="T155" s="189"/>
      <c r="U155" s="189"/>
      <c r="V155" s="189"/>
      <c r="W155" s="189"/>
      <c r="X155" s="189"/>
      <c r="Y155" s="189"/>
      <c r="Z155" s="189"/>
      <c r="AA155" s="192"/>
      <c r="AB155" s="192"/>
      <c r="AC155" s="192"/>
      <c r="AD155" s="192"/>
    </row>
    <row r="156" ht="15.75" customHeight="1">
      <c r="A156" s="189"/>
      <c r="B156" s="189"/>
      <c r="C156" s="189"/>
      <c r="D156" s="189"/>
      <c r="E156" s="189"/>
      <c r="F156" s="189"/>
      <c r="G156" s="189"/>
      <c r="H156" s="189"/>
      <c r="I156" s="189"/>
      <c r="J156" s="189"/>
      <c r="K156" s="189"/>
      <c r="L156" s="189"/>
      <c r="M156" s="189"/>
      <c r="N156" s="189"/>
      <c r="O156" s="189"/>
      <c r="P156" s="189"/>
      <c r="Q156" s="189"/>
      <c r="R156" s="189"/>
      <c r="S156" s="189"/>
      <c r="T156" s="189"/>
      <c r="U156" s="189"/>
      <c r="V156" s="189"/>
      <c r="W156" s="189"/>
      <c r="X156" s="189"/>
      <c r="Y156" s="189"/>
      <c r="Z156" s="189"/>
      <c r="AA156" s="192"/>
      <c r="AB156" s="192"/>
      <c r="AC156" s="192"/>
      <c r="AD156" s="192"/>
    </row>
    <row r="157" ht="15.75" customHeight="1">
      <c r="A157" s="189"/>
      <c r="B157" s="189"/>
      <c r="C157" s="189"/>
      <c r="D157" s="189"/>
      <c r="E157" s="189"/>
      <c r="F157" s="189"/>
      <c r="G157" s="189"/>
      <c r="H157" s="189"/>
      <c r="I157" s="189"/>
      <c r="J157" s="189"/>
      <c r="K157" s="189"/>
      <c r="L157" s="189"/>
      <c r="M157" s="189"/>
      <c r="N157" s="189"/>
      <c r="O157" s="189"/>
      <c r="P157" s="189"/>
      <c r="Q157" s="189"/>
      <c r="R157" s="189"/>
      <c r="S157" s="189"/>
      <c r="T157" s="189"/>
      <c r="U157" s="189"/>
      <c r="V157" s="189"/>
      <c r="W157" s="189"/>
      <c r="X157" s="189"/>
      <c r="Y157" s="189"/>
      <c r="Z157" s="189"/>
      <c r="AA157" s="192"/>
      <c r="AB157" s="192"/>
      <c r="AC157" s="192"/>
      <c r="AD157" s="192"/>
    </row>
    <row r="158" ht="15.75" customHeight="1">
      <c r="A158" s="189"/>
      <c r="B158" s="189"/>
      <c r="C158" s="189"/>
      <c r="D158" s="189"/>
      <c r="E158" s="189"/>
      <c r="F158" s="189"/>
      <c r="G158" s="189"/>
      <c r="H158" s="189"/>
      <c r="I158" s="189"/>
      <c r="J158" s="189"/>
      <c r="K158" s="189"/>
      <c r="L158" s="189"/>
      <c r="M158" s="189"/>
      <c r="N158" s="189"/>
      <c r="O158" s="189"/>
      <c r="P158" s="189"/>
      <c r="Q158" s="189"/>
      <c r="R158" s="189"/>
      <c r="S158" s="189"/>
      <c r="T158" s="189"/>
      <c r="U158" s="189"/>
      <c r="V158" s="189"/>
      <c r="W158" s="189"/>
      <c r="X158" s="189"/>
      <c r="Y158" s="189"/>
      <c r="Z158" s="189"/>
      <c r="AA158" s="192"/>
      <c r="AB158" s="192"/>
      <c r="AC158" s="192"/>
      <c r="AD158" s="192"/>
    </row>
    <row r="159" ht="15.75" customHeight="1">
      <c r="A159" s="189"/>
      <c r="B159" s="189"/>
      <c r="C159" s="189"/>
      <c r="D159" s="189"/>
      <c r="E159" s="189"/>
      <c r="F159" s="189"/>
      <c r="G159" s="189"/>
      <c r="H159" s="189"/>
      <c r="I159" s="189"/>
      <c r="J159" s="189"/>
      <c r="K159" s="189"/>
      <c r="L159" s="189"/>
      <c r="M159" s="189"/>
      <c r="N159" s="189"/>
      <c r="O159" s="189"/>
      <c r="P159" s="189"/>
      <c r="Q159" s="189"/>
      <c r="R159" s="189"/>
      <c r="S159" s="189"/>
      <c r="T159" s="189"/>
      <c r="U159" s="189"/>
      <c r="V159" s="189"/>
      <c r="W159" s="189"/>
      <c r="X159" s="189"/>
      <c r="Y159" s="189"/>
      <c r="Z159" s="189"/>
      <c r="AA159" s="192"/>
      <c r="AB159" s="192"/>
      <c r="AC159" s="192"/>
      <c r="AD159" s="192"/>
    </row>
    <row r="160" ht="15.75" customHeight="1">
      <c r="A160" s="189"/>
      <c r="B160" s="189"/>
      <c r="C160" s="189"/>
      <c r="D160" s="189"/>
      <c r="E160" s="189"/>
      <c r="F160" s="189"/>
      <c r="G160" s="189"/>
      <c r="H160" s="189"/>
      <c r="I160" s="189"/>
      <c r="J160" s="189"/>
      <c r="K160" s="189"/>
      <c r="L160" s="189"/>
      <c r="M160" s="189"/>
      <c r="N160" s="189"/>
      <c r="O160" s="189"/>
      <c r="P160" s="189"/>
      <c r="Q160" s="189"/>
      <c r="R160" s="189"/>
      <c r="S160" s="189"/>
      <c r="T160" s="189"/>
      <c r="U160" s="189"/>
      <c r="V160" s="189"/>
      <c r="W160" s="189"/>
      <c r="X160" s="189"/>
      <c r="Y160" s="189"/>
      <c r="Z160" s="189"/>
      <c r="AA160" s="192"/>
      <c r="AB160" s="192"/>
      <c r="AC160" s="192"/>
      <c r="AD160" s="192"/>
    </row>
    <row r="161" ht="15.75" customHeight="1">
      <c r="A161" s="189"/>
      <c r="B161" s="189"/>
      <c r="C161" s="189"/>
      <c r="D161" s="189"/>
      <c r="E161" s="189"/>
      <c r="F161" s="189"/>
      <c r="G161" s="189"/>
      <c r="H161" s="189"/>
      <c r="I161" s="189"/>
      <c r="J161" s="189"/>
      <c r="K161" s="189"/>
      <c r="L161" s="189"/>
      <c r="M161" s="189"/>
      <c r="N161" s="189"/>
      <c r="O161" s="189"/>
      <c r="P161" s="189"/>
      <c r="Q161" s="189"/>
      <c r="R161" s="189"/>
      <c r="S161" s="189"/>
      <c r="T161" s="189"/>
      <c r="U161" s="189"/>
      <c r="V161" s="189"/>
      <c r="W161" s="189"/>
      <c r="X161" s="189"/>
      <c r="Y161" s="189"/>
      <c r="Z161" s="189"/>
      <c r="AA161" s="192"/>
      <c r="AB161" s="192"/>
      <c r="AC161" s="192"/>
      <c r="AD161" s="192"/>
    </row>
    <row r="162" ht="15.75" customHeight="1">
      <c r="A162" s="189"/>
      <c r="B162" s="189"/>
      <c r="C162" s="189"/>
      <c r="D162" s="189"/>
      <c r="E162" s="189"/>
      <c r="F162" s="189"/>
      <c r="G162" s="189"/>
      <c r="H162" s="189"/>
      <c r="I162" s="189"/>
      <c r="J162" s="189"/>
      <c r="K162" s="189"/>
      <c r="L162" s="189"/>
      <c r="M162" s="189"/>
      <c r="N162" s="189"/>
      <c r="O162" s="189"/>
      <c r="P162" s="189"/>
      <c r="Q162" s="189"/>
      <c r="R162" s="189"/>
      <c r="S162" s="189"/>
      <c r="T162" s="189"/>
      <c r="U162" s="189"/>
      <c r="V162" s="189"/>
      <c r="W162" s="189"/>
      <c r="X162" s="189"/>
      <c r="Y162" s="189"/>
      <c r="Z162" s="189"/>
      <c r="AA162" s="192"/>
      <c r="AB162" s="192"/>
      <c r="AC162" s="192"/>
      <c r="AD162" s="192"/>
    </row>
    <row r="163" ht="15.75" customHeight="1">
      <c r="A163" s="189"/>
      <c r="B163" s="189"/>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c r="Z163" s="189"/>
      <c r="AA163" s="192"/>
      <c r="AB163" s="192"/>
      <c r="AC163" s="192"/>
      <c r="AD163" s="192"/>
    </row>
    <row r="164" ht="15.75" customHeight="1">
      <c r="A164" s="189"/>
      <c r="B164" s="189"/>
      <c r="C164" s="189"/>
      <c r="D164" s="189"/>
      <c r="E164" s="189"/>
      <c r="F164" s="189"/>
      <c r="G164" s="189"/>
      <c r="H164" s="189"/>
      <c r="I164" s="189"/>
      <c r="J164" s="189"/>
      <c r="K164" s="189"/>
      <c r="L164" s="189"/>
      <c r="M164" s="189"/>
      <c r="N164" s="189"/>
      <c r="O164" s="189"/>
      <c r="P164" s="189"/>
      <c r="Q164" s="189"/>
      <c r="R164" s="189"/>
      <c r="S164" s="189"/>
      <c r="T164" s="189"/>
      <c r="U164" s="189"/>
      <c r="V164" s="189"/>
      <c r="W164" s="189"/>
      <c r="X164" s="189"/>
      <c r="Y164" s="189"/>
      <c r="Z164" s="189"/>
      <c r="AA164" s="192"/>
      <c r="AB164" s="192"/>
      <c r="AC164" s="192"/>
      <c r="AD164" s="192"/>
    </row>
    <row r="165" ht="15.75" customHeight="1">
      <c r="A165" s="189"/>
      <c r="B165" s="189"/>
      <c r="C165" s="189"/>
      <c r="D165" s="189"/>
      <c r="E165" s="189"/>
      <c r="F165" s="189"/>
      <c r="G165" s="189"/>
      <c r="H165" s="189"/>
      <c r="I165" s="189"/>
      <c r="J165" s="189"/>
      <c r="K165" s="189"/>
      <c r="L165" s="189"/>
      <c r="M165" s="189"/>
      <c r="N165" s="189"/>
      <c r="O165" s="189"/>
      <c r="P165" s="189"/>
      <c r="Q165" s="189"/>
      <c r="R165" s="189"/>
      <c r="S165" s="189"/>
      <c r="T165" s="189"/>
      <c r="U165" s="189"/>
      <c r="V165" s="189"/>
      <c r="W165" s="189"/>
      <c r="X165" s="189"/>
      <c r="Y165" s="189"/>
      <c r="Z165" s="189"/>
      <c r="AA165" s="192"/>
      <c r="AB165" s="192"/>
      <c r="AC165" s="192"/>
      <c r="AD165" s="192"/>
    </row>
    <row r="166" ht="15.75" customHeight="1">
      <c r="A166" s="189"/>
      <c r="B166" s="189"/>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189"/>
      <c r="Z166" s="189"/>
      <c r="AA166" s="192"/>
      <c r="AB166" s="192"/>
      <c r="AC166" s="192"/>
      <c r="AD166" s="192"/>
    </row>
    <row r="167" ht="15.75" customHeight="1">
      <c r="A167" s="189"/>
      <c r="B167" s="189"/>
      <c r="C167" s="189"/>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189"/>
      <c r="Z167" s="189"/>
      <c r="AA167" s="192"/>
      <c r="AB167" s="192"/>
      <c r="AC167" s="192"/>
      <c r="AD167" s="192"/>
    </row>
    <row r="168" ht="15.75" customHeight="1">
      <c r="A168" s="189"/>
      <c r="B168" s="189"/>
      <c r="C168" s="189"/>
      <c r="D168" s="189"/>
      <c r="E168" s="189"/>
      <c r="F168" s="189"/>
      <c r="G168" s="189"/>
      <c r="H168" s="189"/>
      <c r="I168" s="189"/>
      <c r="J168" s="189"/>
      <c r="K168" s="189"/>
      <c r="L168" s="189"/>
      <c r="M168" s="189"/>
      <c r="N168" s="189"/>
      <c r="O168" s="189"/>
      <c r="P168" s="189"/>
      <c r="Q168" s="189"/>
      <c r="R168" s="189"/>
      <c r="S168" s="189"/>
      <c r="T168" s="189"/>
      <c r="U168" s="189"/>
      <c r="V168" s="189"/>
      <c r="W168" s="189"/>
      <c r="X168" s="189"/>
      <c r="Y168" s="189"/>
      <c r="Z168" s="189"/>
      <c r="AA168" s="192"/>
      <c r="AB168" s="192"/>
      <c r="AC168" s="192"/>
      <c r="AD168" s="192"/>
    </row>
    <row r="169" ht="15.75" customHeight="1">
      <c r="A169" s="189"/>
      <c r="B169" s="189"/>
      <c r="C169" s="189"/>
      <c r="D169" s="189"/>
      <c r="E169" s="189"/>
      <c r="F169" s="189"/>
      <c r="G169" s="189"/>
      <c r="H169" s="189"/>
      <c r="I169" s="189"/>
      <c r="J169" s="189"/>
      <c r="K169" s="189"/>
      <c r="L169" s="189"/>
      <c r="M169" s="189"/>
      <c r="N169" s="189"/>
      <c r="O169" s="189"/>
      <c r="P169" s="189"/>
      <c r="Q169" s="189"/>
      <c r="R169" s="189"/>
      <c r="S169" s="189"/>
      <c r="T169" s="189"/>
      <c r="U169" s="189"/>
      <c r="V169" s="189"/>
      <c r="W169" s="189"/>
      <c r="X169" s="189"/>
      <c r="Y169" s="189"/>
      <c r="Z169" s="189"/>
      <c r="AA169" s="192"/>
      <c r="AB169" s="192"/>
      <c r="AC169" s="192"/>
      <c r="AD169" s="192"/>
    </row>
    <row r="170" ht="15.75" customHeight="1">
      <c r="A170" s="189"/>
      <c r="B170" s="189"/>
      <c r="C170" s="189"/>
      <c r="D170" s="189"/>
      <c r="E170" s="189"/>
      <c r="F170" s="189"/>
      <c r="G170" s="189"/>
      <c r="H170" s="189"/>
      <c r="I170" s="189"/>
      <c r="J170" s="189"/>
      <c r="K170" s="189"/>
      <c r="L170" s="189"/>
      <c r="M170" s="189"/>
      <c r="N170" s="189"/>
      <c r="O170" s="189"/>
      <c r="P170" s="189"/>
      <c r="Q170" s="189"/>
      <c r="R170" s="189"/>
      <c r="S170" s="189"/>
      <c r="T170" s="189"/>
      <c r="U170" s="189"/>
      <c r="V170" s="189"/>
      <c r="W170" s="189"/>
      <c r="X170" s="189"/>
      <c r="Y170" s="189"/>
      <c r="Z170" s="189"/>
      <c r="AA170" s="192"/>
      <c r="AB170" s="192"/>
      <c r="AC170" s="192"/>
      <c r="AD170" s="192"/>
    </row>
    <row r="171" ht="15.75" customHeight="1">
      <c r="A171" s="189"/>
      <c r="B171" s="189"/>
      <c r="C171" s="189"/>
      <c r="D171" s="189"/>
      <c r="E171" s="189"/>
      <c r="F171" s="189"/>
      <c r="G171" s="189"/>
      <c r="H171" s="189"/>
      <c r="I171" s="189"/>
      <c r="J171" s="189"/>
      <c r="K171" s="189"/>
      <c r="L171" s="189"/>
      <c r="M171" s="189"/>
      <c r="N171" s="189"/>
      <c r="O171" s="189"/>
      <c r="P171" s="189"/>
      <c r="Q171" s="189"/>
      <c r="R171" s="189"/>
      <c r="S171" s="189"/>
      <c r="T171" s="189"/>
      <c r="U171" s="189"/>
      <c r="V171" s="189"/>
      <c r="W171" s="189"/>
      <c r="X171" s="189"/>
      <c r="Y171" s="189"/>
      <c r="Z171" s="189"/>
      <c r="AA171" s="192"/>
      <c r="AB171" s="192"/>
      <c r="AC171" s="192"/>
      <c r="AD171" s="192"/>
    </row>
    <row r="172" ht="15.75" customHeight="1">
      <c r="A172" s="189"/>
      <c r="B172" s="189"/>
      <c r="C172" s="189"/>
      <c r="D172" s="189"/>
      <c r="E172" s="189"/>
      <c r="F172" s="189"/>
      <c r="G172" s="189"/>
      <c r="H172" s="189"/>
      <c r="I172" s="189"/>
      <c r="J172" s="189"/>
      <c r="K172" s="189"/>
      <c r="L172" s="189"/>
      <c r="M172" s="189"/>
      <c r="N172" s="189"/>
      <c r="O172" s="189"/>
      <c r="P172" s="189"/>
      <c r="Q172" s="189"/>
      <c r="R172" s="189"/>
      <c r="S172" s="189"/>
      <c r="T172" s="189"/>
      <c r="U172" s="189"/>
      <c r="V172" s="189"/>
      <c r="W172" s="189"/>
      <c r="X172" s="189"/>
      <c r="Y172" s="189"/>
      <c r="Z172" s="189"/>
      <c r="AA172" s="192"/>
      <c r="AB172" s="192"/>
      <c r="AC172" s="192"/>
      <c r="AD172" s="192"/>
    </row>
    <row r="173" ht="15.75" customHeight="1">
      <c r="A173" s="189"/>
      <c r="B173" s="189"/>
      <c r="C173" s="189"/>
      <c r="D173" s="189"/>
      <c r="E173" s="189"/>
      <c r="F173" s="189"/>
      <c r="G173" s="189"/>
      <c r="H173" s="189"/>
      <c r="I173" s="189"/>
      <c r="J173" s="189"/>
      <c r="K173" s="189"/>
      <c r="L173" s="189"/>
      <c r="M173" s="189"/>
      <c r="N173" s="189"/>
      <c r="O173" s="189"/>
      <c r="P173" s="189"/>
      <c r="Q173" s="189"/>
      <c r="R173" s="189"/>
      <c r="S173" s="189"/>
      <c r="T173" s="189"/>
      <c r="U173" s="189"/>
      <c r="V173" s="189"/>
      <c r="W173" s="189"/>
      <c r="X173" s="189"/>
      <c r="Y173" s="189"/>
      <c r="Z173" s="189"/>
      <c r="AA173" s="192"/>
      <c r="AB173" s="192"/>
      <c r="AC173" s="192"/>
      <c r="AD173" s="192"/>
    </row>
    <row r="174" ht="15.75" customHeight="1">
      <c r="A174" s="189"/>
      <c r="B174" s="189"/>
      <c r="C174" s="189"/>
      <c r="D174" s="189"/>
      <c r="E174" s="189"/>
      <c r="F174" s="189"/>
      <c r="G174" s="189"/>
      <c r="H174" s="189"/>
      <c r="I174" s="189"/>
      <c r="J174" s="189"/>
      <c r="K174" s="189"/>
      <c r="L174" s="189"/>
      <c r="M174" s="189"/>
      <c r="N174" s="189"/>
      <c r="O174" s="189"/>
      <c r="P174" s="189"/>
      <c r="Q174" s="189"/>
      <c r="R174" s="189"/>
      <c r="S174" s="189"/>
      <c r="T174" s="189"/>
      <c r="U174" s="189"/>
      <c r="V174" s="189"/>
      <c r="W174" s="189"/>
      <c r="X174" s="189"/>
      <c r="Y174" s="189"/>
      <c r="Z174" s="189"/>
      <c r="AA174" s="192"/>
      <c r="AB174" s="192"/>
      <c r="AC174" s="192"/>
      <c r="AD174" s="192"/>
    </row>
    <row r="175" ht="15.75" customHeight="1">
      <c r="A175" s="189"/>
      <c r="B175" s="189"/>
      <c r="C175" s="189"/>
      <c r="D175" s="189"/>
      <c r="E175" s="189"/>
      <c r="F175" s="189"/>
      <c r="G175" s="189"/>
      <c r="H175" s="189"/>
      <c r="I175" s="189"/>
      <c r="J175" s="189"/>
      <c r="K175" s="189"/>
      <c r="L175" s="189"/>
      <c r="M175" s="189"/>
      <c r="N175" s="189"/>
      <c r="O175" s="189"/>
      <c r="P175" s="189"/>
      <c r="Q175" s="189"/>
      <c r="R175" s="189"/>
      <c r="S175" s="189"/>
      <c r="T175" s="189"/>
      <c r="U175" s="189"/>
      <c r="V175" s="189"/>
      <c r="W175" s="189"/>
      <c r="X175" s="189"/>
      <c r="Y175" s="189"/>
      <c r="Z175" s="189"/>
      <c r="AA175" s="192"/>
      <c r="AB175" s="192"/>
      <c r="AC175" s="192"/>
      <c r="AD175" s="192"/>
    </row>
    <row r="176" ht="15.75" customHeight="1">
      <c r="A176" s="189"/>
      <c r="B176" s="189"/>
      <c r="C176" s="189"/>
      <c r="D176" s="189"/>
      <c r="E176" s="189"/>
      <c r="F176" s="189"/>
      <c r="G176" s="189"/>
      <c r="H176" s="189"/>
      <c r="I176" s="189"/>
      <c r="J176" s="189"/>
      <c r="K176" s="189"/>
      <c r="L176" s="189"/>
      <c r="M176" s="189"/>
      <c r="N176" s="189"/>
      <c r="O176" s="189"/>
      <c r="P176" s="189"/>
      <c r="Q176" s="189"/>
      <c r="R176" s="189"/>
      <c r="S176" s="189"/>
      <c r="T176" s="189"/>
      <c r="U176" s="189"/>
      <c r="V176" s="189"/>
      <c r="W176" s="189"/>
      <c r="X176" s="189"/>
      <c r="Y176" s="189"/>
      <c r="Z176" s="189"/>
      <c r="AA176" s="192"/>
      <c r="AB176" s="192"/>
      <c r="AC176" s="192"/>
      <c r="AD176" s="192"/>
    </row>
    <row r="177" ht="15.75" customHeight="1">
      <c r="A177" s="189"/>
      <c r="B177" s="189"/>
      <c r="C177" s="189"/>
      <c r="D177" s="189"/>
      <c r="E177" s="189"/>
      <c r="F177" s="189"/>
      <c r="G177" s="189"/>
      <c r="H177" s="189"/>
      <c r="I177" s="189"/>
      <c r="J177" s="189"/>
      <c r="K177" s="189"/>
      <c r="L177" s="189"/>
      <c r="M177" s="189"/>
      <c r="N177" s="189"/>
      <c r="O177" s="189"/>
      <c r="P177" s="189"/>
      <c r="Q177" s="189"/>
      <c r="R177" s="189"/>
      <c r="S177" s="189"/>
      <c r="T177" s="189"/>
      <c r="U177" s="189"/>
      <c r="V177" s="189"/>
      <c r="W177" s="189"/>
      <c r="X177" s="189"/>
      <c r="Y177" s="189"/>
      <c r="Z177" s="189"/>
      <c r="AA177" s="192"/>
      <c r="AB177" s="192"/>
      <c r="AC177" s="192"/>
      <c r="AD177" s="192"/>
    </row>
    <row r="178" ht="15.75" customHeight="1">
      <c r="A178" s="189"/>
      <c r="B178" s="189"/>
      <c r="C178" s="189"/>
      <c r="D178" s="189"/>
      <c r="E178" s="189"/>
      <c r="F178" s="189"/>
      <c r="G178" s="189"/>
      <c r="H178" s="189"/>
      <c r="I178" s="189"/>
      <c r="J178" s="189"/>
      <c r="K178" s="189"/>
      <c r="L178" s="189"/>
      <c r="M178" s="189"/>
      <c r="N178" s="189"/>
      <c r="O178" s="189"/>
      <c r="P178" s="189"/>
      <c r="Q178" s="189"/>
      <c r="R178" s="189"/>
      <c r="S178" s="189"/>
      <c r="T178" s="189"/>
      <c r="U178" s="189"/>
      <c r="V178" s="189"/>
      <c r="W178" s="189"/>
      <c r="X178" s="189"/>
      <c r="Y178" s="189"/>
      <c r="Z178" s="189"/>
      <c r="AA178" s="192"/>
      <c r="AB178" s="192"/>
      <c r="AC178" s="192"/>
      <c r="AD178" s="192"/>
    </row>
    <row r="179" ht="15.75" customHeight="1">
      <c r="A179" s="189"/>
      <c r="B179" s="189"/>
      <c r="C179" s="189"/>
      <c r="D179" s="189"/>
      <c r="E179" s="189"/>
      <c r="F179" s="189"/>
      <c r="G179" s="189"/>
      <c r="H179" s="189"/>
      <c r="I179" s="189"/>
      <c r="J179" s="189"/>
      <c r="K179" s="189"/>
      <c r="L179" s="189"/>
      <c r="M179" s="189"/>
      <c r="N179" s="189"/>
      <c r="O179" s="189"/>
      <c r="P179" s="189"/>
      <c r="Q179" s="189"/>
      <c r="R179" s="189"/>
      <c r="S179" s="189"/>
      <c r="T179" s="189"/>
      <c r="U179" s="189"/>
      <c r="V179" s="189"/>
      <c r="W179" s="189"/>
      <c r="X179" s="189"/>
      <c r="Y179" s="189"/>
      <c r="Z179" s="189"/>
      <c r="AA179" s="192"/>
      <c r="AB179" s="192"/>
      <c r="AC179" s="192"/>
      <c r="AD179" s="192"/>
    </row>
    <row r="180" ht="15.75" customHeight="1">
      <c r="A180" s="189"/>
      <c r="B180" s="189"/>
      <c r="C180" s="189"/>
      <c r="D180" s="189"/>
      <c r="E180" s="189"/>
      <c r="F180" s="189"/>
      <c r="G180" s="189"/>
      <c r="H180" s="189"/>
      <c r="I180" s="189"/>
      <c r="J180" s="189"/>
      <c r="K180" s="189"/>
      <c r="L180" s="189"/>
      <c r="M180" s="189"/>
      <c r="N180" s="189"/>
      <c r="O180" s="189"/>
      <c r="P180" s="189"/>
      <c r="Q180" s="189"/>
      <c r="R180" s="189"/>
      <c r="S180" s="189"/>
      <c r="T180" s="189"/>
      <c r="U180" s="189"/>
      <c r="V180" s="189"/>
      <c r="W180" s="189"/>
      <c r="X180" s="189"/>
      <c r="Y180" s="189"/>
      <c r="Z180" s="189"/>
      <c r="AA180" s="192"/>
      <c r="AB180" s="192"/>
      <c r="AC180" s="192"/>
      <c r="AD180" s="192"/>
    </row>
    <row r="181" ht="15.75" customHeight="1">
      <c r="A181" s="189"/>
      <c r="B181" s="189"/>
      <c r="C181" s="189"/>
      <c r="D181" s="189"/>
      <c r="E181" s="189"/>
      <c r="F181" s="189"/>
      <c r="G181" s="189"/>
      <c r="H181" s="189"/>
      <c r="I181" s="189"/>
      <c r="J181" s="189"/>
      <c r="K181" s="189"/>
      <c r="L181" s="189"/>
      <c r="M181" s="189"/>
      <c r="N181" s="189"/>
      <c r="O181" s="189"/>
      <c r="P181" s="189"/>
      <c r="Q181" s="189"/>
      <c r="R181" s="189"/>
      <c r="S181" s="189"/>
      <c r="T181" s="189"/>
      <c r="U181" s="189"/>
      <c r="V181" s="189"/>
      <c r="W181" s="189"/>
      <c r="X181" s="189"/>
      <c r="Y181" s="189"/>
      <c r="Z181" s="189"/>
      <c r="AA181" s="192"/>
      <c r="AB181" s="192"/>
      <c r="AC181" s="192"/>
      <c r="AD181" s="192"/>
    </row>
    <row r="182" ht="15.75" customHeight="1">
      <c r="A182" s="189"/>
      <c r="B182" s="189"/>
      <c r="C182" s="189"/>
      <c r="D182" s="189"/>
      <c r="E182" s="189"/>
      <c r="F182" s="189"/>
      <c r="G182" s="189"/>
      <c r="H182" s="189"/>
      <c r="I182" s="189"/>
      <c r="J182" s="189"/>
      <c r="K182" s="189"/>
      <c r="L182" s="189"/>
      <c r="M182" s="189"/>
      <c r="N182" s="189"/>
      <c r="O182" s="189"/>
      <c r="P182" s="189"/>
      <c r="Q182" s="189"/>
      <c r="R182" s="189"/>
      <c r="S182" s="189"/>
      <c r="T182" s="189"/>
      <c r="U182" s="189"/>
      <c r="V182" s="189"/>
      <c r="W182" s="189"/>
      <c r="X182" s="189"/>
      <c r="Y182" s="189"/>
      <c r="Z182" s="189"/>
      <c r="AA182" s="192"/>
      <c r="AB182" s="192"/>
      <c r="AC182" s="192"/>
      <c r="AD182" s="192"/>
    </row>
    <row r="183" ht="15.75" customHeight="1">
      <c r="A183" s="189"/>
      <c r="B183" s="189"/>
      <c r="C183" s="189"/>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c r="Z183" s="189"/>
      <c r="AA183" s="192"/>
      <c r="AB183" s="192"/>
      <c r="AC183" s="192"/>
      <c r="AD183" s="192"/>
    </row>
    <row r="184" ht="15.75" customHeight="1">
      <c r="A184" s="189"/>
      <c r="B184" s="189"/>
      <c r="C184" s="189"/>
      <c r="D184" s="189"/>
      <c r="E184" s="189"/>
      <c r="F184" s="189"/>
      <c r="G184" s="189"/>
      <c r="H184" s="189"/>
      <c r="I184" s="189"/>
      <c r="J184" s="189"/>
      <c r="K184" s="189"/>
      <c r="L184" s="189"/>
      <c r="M184" s="189"/>
      <c r="N184" s="189"/>
      <c r="O184" s="189"/>
      <c r="P184" s="189"/>
      <c r="Q184" s="189"/>
      <c r="R184" s="189"/>
      <c r="S184" s="189"/>
      <c r="T184" s="189"/>
      <c r="U184" s="189"/>
      <c r="V184" s="189"/>
      <c r="W184" s="189"/>
      <c r="X184" s="189"/>
      <c r="Y184" s="189"/>
      <c r="Z184" s="189"/>
      <c r="AA184" s="192"/>
      <c r="AB184" s="192"/>
      <c r="AC184" s="192"/>
      <c r="AD184" s="192"/>
    </row>
    <row r="185" ht="15.75" customHeight="1">
      <c r="A185" s="189"/>
      <c r="B185" s="189"/>
      <c r="C185" s="189"/>
      <c r="D185" s="189"/>
      <c r="E185" s="189"/>
      <c r="F185" s="189"/>
      <c r="G185" s="189"/>
      <c r="H185" s="189"/>
      <c r="I185" s="189"/>
      <c r="J185" s="189"/>
      <c r="K185" s="189"/>
      <c r="L185" s="189"/>
      <c r="M185" s="189"/>
      <c r="N185" s="189"/>
      <c r="O185" s="189"/>
      <c r="P185" s="189"/>
      <c r="Q185" s="189"/>
      <c r="R185" s="189"/>
      <c r="S185" s="189"/>
      <c r="T185" s="189"/>
      <c r="U185" s="189"/>
      <c r="V185" s="189"/>
      <c r="W185" s="189"/>
      <c r="X185" s="189"/>
      <c r="Y185" s="189"/>
      <c r="Z185" s="189"/>
      <c r="AA185" s="192"/>
      <c r="AB185" s="192"/>
      <c r="AC185" s="192"/>
      <c r="AD185" s="192"/>
    </row>
    <row r="186" ht="15.75" customHeight="1">
      <c r="A186" s="189"/>
      <c r="B186" s="189"/>
      <c r="C186" s="189"/>
      <c r="D186" s="189"/>
      <c r="E186" s="189"/>
      <c r="F186" s="189"/>
      <c r="G186" s="189"/>
      <c r="H186" s="189"/>
      <c r="I186" s="189"/>
      <c r="J186" s="189"/>
      <c r="K186" s="189"/>
      <c r="L186" s="189"/>
      <c r="M186" s="189"/>
      <c r="N186" s="189"/>
      <c r="O186" s="189"/>
      <c r="P186" s="189"/>
      <c r="Q186" s="189"/>
      <c r="R186" s="189"/>
      <c r="S186" s="189"/>
      <c r="T186" s="189"/>
      <c r="U186" s="189"/>
      <c r="V186" s="189"/>
      <c r="W186" s="189"/>
      <c r="X186" s="189"/>
      <c r="Y186" s="189"/>
      <c r="Z186" s="189"/>
      <c r="AA186" s="192"/>
      <c r="AB186" s="192"/>
      <c r="AC186" s="192"/>
      <c r="AD186" s="192"/>
    </row>
    <row r="187" ht="15.75" customHeight="1">
      <c r="A187" s="189"/>
      <c r="B187" s="189"/>
      <c r="C187" s="189"/>
      <c r="D187" s="189"/>
      <c r="E187" s="189"/>
      <c r="F187" s="189"/>
      <c r="G187" s="189"/>
      <c r="H187" s="189"/>
      <c r="I187" s="189"/>
      <c r="J187" s="189"/>
      <c r="K187" s="189"/>
      <c r="L187" s="189"/>
      <c r="M187" s="189"/>
      <c r="N187" s="189"/>
      <c r="O187" s="189"/>
      <c r="P187" s="189"/>
      <c r="Q187" s="189"/>
      <c r="R187" s="189"/>
      <c r="S187" s="189"/>
      <c r="T187" s="189"/>
      <c r="U187" s="189"/>
      <c r="V187" s="189"/>
      <c r="W187" s="189"/>
      <c r="X187" s="189"/>
      <c r="Y187" s="189"/>
      <c r="Z187" s="189"/>
      <c r="AA187" s="192"/>
      <c r="AB187" s="192"/>
      <c r="AC187" s="192"/>
      <c r="AD187" s="192"/>
    </row>
    <row r="188" ht="15.75" customHeight="1">
      <c r="A188" s="189"/>
      <c r="B188" s="189"/>
      <c r="C188" s="189"/>
      <c r="D188" s="189"/>
      <c r="E188" s="189"/>
      <c r="F188" s="189"/>
      <c r="G188" s="189"/>
      <c r="H188" s="189"/>
      <c r="I188" s="189"/>
      <c r="J188" s="189"/>
      <c r="K188" s="189"/>
      <c r="L188" s="189"/>
      <c r="M188" s="189"/>
      <c r="N188" s="189"/>
      <c r="O188" s="189"/>
      <c r="P188" s="189"/>
      <c r="Q188" s="189"/>
      <c r="R188" s="189"/>
      <c r="S188" s="189"/>
      <c r="T188" s="189"/>
      <c r="U188" s="189"/>
      <c r="V188" s="189"/>
      <c r="W188" s="189"/>
      <c r="X188" s="189"/>
      <c r="Y188" s="189"/>
      <c r="Z188" s="189"/>
      <c r="AA188" s="192"/>
      <c r="AB188" s="192"/>
      <c r="AC188" s="192"/>
      <c r="AD188" s="192"/>
    </row>
    <row r="189" ht="15.75" customHeight="1">
      <c r="A189" s="189"/>
      <c r="B189" s="189"/>
      <c r="C189" s="189"/>
      <c r="D189" s="189"/>
      <c r="E189" s="189"/>
      <c r="F189" s="189"/>
      <c r="G189" s="189"/>
      <c r="H189" s="189"/>
      <c r="I189" s="189"/>
      <c r="J189" s="189"/>
      <c r="K189" s="189"/>
      <c r="L189" s="189"/>
      <c r="M189" s="189"/>
      <c r="N189" s="189"/>
      <c r="O189" s="189"/>
      <c r="P189" s="189"/>
      <c r="Q189" s="189"/>
      <c r="R189" s="189"/>
      <c r="S189" s="189"/>
      <c r="T189" s="189"/>
      <c r="U189" s="189"/>
      <c r="V189" s="189"/>
      <c r="W189" s="189"/>
      <c r="X189" s="189"/>
      <c r="Y189" s="189"/>
      <c r="Z189" s="189"/>
      <c r="AA189" s="192"/>
      <c r="AB189" s="192"/>
      <c r="AC189" s="192"/>
      <c r="AD189" s="192"/>
    </row>
    <row r="190" ht="15.75" customHeight="1">
      <c r="A190" s="189"/>
      <c r="B190" s="189"/>
      <c r="C190" s="189"/>
      <c r="D190" s="189"/>
      <c r="E190" s="189"/>
      <c r="F190" s="189"/>
      <c r="G190" s="189"/>
      <c r="H190" s="189"/>
      <c r="I190" s="189"/>
      <c r="J190" s="189"/>
      <c r="K190" s="189"/>
      <c r="L190" s="189"/>
      <c r="M190" s="189"/>
      <c r="N190" s="189"/>
      <c r="O190" s="189"/>
      <c r="P190" s="189"/>
      <c r="Q190" s="189"/>
      <c r="R190" s="189"/>
      <c r="S190" s="189"/>
      <c r="T190" s="189"/>
      <c r="U190" s="189"/>
      <c r="V190" s="189"/>
      <c r="W190" s="189"/>
      <c r="X190" s="189"/>
      <c r="Y190" s="189"/>
      <c r="Z190" s="189"/>
      <c r="AA190" s="192"/>
      <c r="AB190" s="192"/>
      <c r="AC190" s="192"/>
      <c r="AD190" s="192"/>
    </row>
    <row r="191" ht="15.75" customHeight="1">
      <c r="A191" s="189"/>
      <c r="B191" s="189"/>
      <c r="C191" s="189"/>
      <c r="D191" s="189"/>
      <c r="E191" s="189"/>
      <c r="F191" s="189"/>
      <c r="G191" s="189"/>
      <c r="H191" s="189"/>
      <c r="I191" s="189"/>
      <c r="J191" s="189"/>
      <c r="K191" s="189"/>
      <c r="L191" s="189"/>
      <c r="M191" s="189"/>
      <c r="N191" s="189"/>
      <c r="O191" s="189"/>
      <c r="P191" s="189"/>
      <c r="Q191" s="189"/>
      <c r="R191" s="189"/>
      <c r="S191" s="189"/>
      <c r="T191" s="189"/>
      <c r="U191" s="189"/>
      <c r="V191" s="189"/>
      <c r="W191" s="189"/>
      <c r="X191" s="189"/>
      <c r="Y191" s="189"/>
      <c r="Z191" s="189"/>
      <c r="AA191" s="192"/>
      <c r="AB191" s="192"/>
      <c r="AC191" s="192"/>
      <c r="AD191" s="192"/>
    </row>
    <row r="192" ht="15.75" customHeight="1">
      <c r="A192" s="189"/>
      <c r="B192" s="189"/>
      <c r="C192" s="189"/>
      <c r="D192" s="189"/>
      <c r="E192" s="189"/>
      <c r="F192" s="189"/>
      <c r="G192" s="189"/>
      <c r="H192" s="189"/>
      <c r="I192" s="189"/>
      <c r="J192" s="189"/>
      <c r="K192" s="189"/>
      <c r="L192" s="189"/>
      <c r="M192" s="189"/>
      <c r="N192" s="189"/>
      <c r="O192" s="189"/>
      <c r="P192" s="189"/>
      <c r="Q192" s="189"/>
      <c r="R192" s="189"/>
      <c r="S192" s="189"/>
      <c r="T192" s="189"/>
      <c r="U192" s="189"/>
      <c r="V192" s="189"/>
      <c r="W192" s="189"/>
      <c r="X192" s="189"/>
      <c r="Y192" s="189"/>
      <c r="Z192" s="189"/>
      <c r="AA192" s="192"/>
      <c r="AB192" s="192"/>
      <c r="AC192" s="192"/>
      <c r="AD192" s="192"/>
    </row>
    <row r="193" ht="15.75" customHeight="1">
      <c r="A193" s="189"/>
      <c r="B193" s="189"/>
      <c r="C193" s="189"/>
      <c r="D193" s="189"/>
      <c r="E193" s="189"/>
      <c r="F193" s="189"/>
      <c r="G193" s="189"/>
      <c r="H193" s="189"/>
      <c r="I193" s="189"/>
      <c r="J193" s="189"/>
      <c r="K193" s="189"/>
      <c r="L193" s="189"/>
      <c r="M193" s="189"/>
      <c r="N193" s="189"/>
      <c r="O193" s="189"/>
      <c r="P193" s="189"/>
      <c r="Q193" s="189"/>
      <c r="R193" s="189"/>
      <c r="S193" s="189"/>
      <c r="T193" s="189"/>
      <c r="U193" s="189"/>
      <c r="V193" s="189"/>
      <c r="W193" s="189"/>
      <c r="X193" s="189"/>
      <c r="Y193" s="189"/>
      <c r="Z193" s="189"/>
      <c r="AA193" s="192"/>
      <c r="AB193" s="192"/>
      <c r="AC193" s="192"/>
      <c r="AD193" s="192"/>
    </row>
    <row r="194" ht="15.75" customHeight="1">
      <c r="A194" s="189"/>
      <c r="B194" s="189"/>
      <c r="C194" s="189"/>
      <c r="D194" s="189"/>
      <c r="E194" s="189"/>
      <c r="F194" s="189"/>
      <c r="G194" s="189"/>
      <c r="H194" s="189"/>
      <c r="I194" s="189"/>
      <c r="J194" s="189"/>
      <c r="K194" s="189"/>
      <c r="L194" s="189"/>
      <c r="M194" s="189"/>
      <c r="N194" s="189"/>
      <c r="O194" s="189"/>
      <c r="P194" s="189"/>
      <c r="Q194" s="189"/>
      <c r="R194" s="189"/>
      <c r="S194" s="189"/>
      <c r="T194" s="189"/>
      <c r="U194" s="189"/>
      <c r="V194" s="189"/>
      <c r="W194" s="189"/>
      <c r="X194" s="189"/>
      <c r="Y194" s="189"/>
      <c r="Z194" s="189"/>
      <c r="AA194" s="192"/>
      <c r="AB194" s="192"/>
      <c r="AC194" s="192"/>
      <c r="AD194" s="192"/>
    </row>
    <row r="195" ht="15.75" customHeight="1">
      <c r="A195" s="189"/>
      <c r="B195" s="189"/>
      <c r="C195" s="189"/>
      <c r="D195" s="189"/>
      <c r="E195" s="189"/>
      <c r="F195" s="189"/>
      <c r="G195" s="189"/>
      <c r="H195" s="189"/>
      <c r="I195" s="189"/>
      <c r="J195" s="189"/>
      <c r="K195" s="189"/>
      <c r="L195" s="189"/>
      <c r="M195" s="189"/>
      <c r="N195" s="189"/>
      <c r="O195" s="189"/>
      <c r="P195" s="189"/>
      <c r="Q195" s="189"/>
      <c r="R195" s="189"/>
      <c r="S195" s="189"/>
      <c r="T195" s="189"/>
      <c r="U195" s="189"/>
      <c r="V195" s="189"/>
      <c r="W195" s="189"/>
      <c r="X195" s="189"/>
      <c r="Y195" s="189"/>
      <c r="Z195" s="189"/>
      <c r="AA195" s="192"/>
      <c r="AB195" s="192"/>
      <c r="AC195" s="192"/>
      <c r="AD195" s="192"/>
    </row>
    <row r="196" ht="15.75" customHeight="1">
      <c r="A196" s="189"/>
      <c r="B196" s="189"/>
      <c r="C196" s="189"/>
      <c r="D196" s="189"/>
      <c r="E196" s="189"/>
      <c r="F196" s="189"/>
      <c r="G196" s="189"/>
      <c r="H196" s="189"/>
      <c r="I196" s="189"/>
      <c r="J196" s="189"/>
      <c r="K196" s="189"/>
      <c r="L196" s="189"/>
      <c r="M196" s="189"/>
      <c r="N196" s="189"/>
      <c r="O196" s="189"/>
      <c r="P196" s="189"/>
      <c r="Q196" s="189"/>
      <c r="R196" s="189"/>
      <c r="S196" s="189"/>
      <c r="T196" s="189"/>
      <c r="U196" s="189"/>
      <c r="V196" s="189"/>
      <c r="W196" s="189"/>
      <c r="X196" s="189"/>
      <c r="Y196" s="189"/>
      <c r="Z196" s="189"/>
      <c r="AA196" s="192"/>
      <c r="AB196" s="192"/>
      <c r="AC196" s="192"/>
      <c r="AD196" s="192"/>
    </row>
    <row r="197" ht="15.75" customHeight="1">
      <c r="A197" s="189"/>
      <c r="B197" s="189"/>
      <c r="C197" s="189"/>
      <c r="D197" s="189"/>
      <c r="E197" s="189"/>
      <c r="F197" s="189"/>
      <c r="G197" s="189"/>
      <c r="H197" s="189"/>
      <c r="I197" s="189"/>
      <c r="J197" s="189"/>
      <c r="K197" s="189"/>
      <c r="L197" s="189"/>
      <c r="M197" s="189"/>
      <c r="N197" s="189"/>
      <c r="O197" s="189"/>
      <c r="P197" s="189"/>
      <c r="Q197" s="189"/>
      <c r="R197" s="189"/>
      <c r="S197" s="189"/>
      <c r="T197" s="189"/>
      <c r="U197" s="189"/>
      <c r="V197" s="189"/>
      <c r="W197" s="189"/>
      <c r="X197" s="189"/>
      <c r="Y197" s="189"/>
      <c r="Z197" s="189"/>
      <c r="AA197" s="192"/>
      <c r="AB197" s="192"/>
      <c r="AC197" s="192"/>
      <c r="AD197" s="192"/>
    </row>
    <row r="198" ht="15.75" customHeight="1">
      <c r="A198" s="189"/>
      <c r="B198" s="189"/>
      <c r="C198" s="189"/>
      <c r="D198" s="189"/>
      <c r="E198" s="189"/>
      <c r="F198" s="189"/>
      <c r="G198" s="189"/>
      <c r="H198" s="189"/>
      <c r="I198" s="189"/>
      <c r="J198" s="189"/>
      <c r="K198" s="189"/>
      <c r="L198" s="189"/>
      <c r="M198" s="189"/>
      <c r="N198" s="189"/>
      <c r="O198" s="189"/>
      <c r="P198" s="189"/>
      <c r="Q198" s="189"/>
      <c r="R198" s="189"/>
      <c r="S198" s="189"/>
      <c r="T198" s="189"/>
      <c r="U198" s="189"/>
      <c r="V198" s="189"/>
      <c r="W198" s="189"/>
      <c r="X198" s="189"/>
      <c r="Y198" s="189"/>
      <c r="Z198" s="189"/>
      <c r="AA198" s="192"/>
      <c r="AB198" s="192"/>
      <c r="AC198" s="192"/>
      <c r="AD198" s="192"/>
    </row>
    <row r="199" ht="15.75" customHeight="1">
      <c r="A199" s="189"/>
      <c r="B199" s="189"/>
      <c r="C199" s="189"/>
      <c r="D199" s="189"/>
      <c r="E199" s="189"/>
      <c r="F199" s="189"/>
      <c r="G199" s="189"/>
      <c r="H199" s="189"/>
      <c r="I199" s="189"/>
      <c r="J199" s="189"/>
      <c r="K199" s="189"/>
      <c r="L199" s="189"/>
      <c r="M199" s="189"/>
      <c r="N199" s="189"/>
      <c r="O199" s="189"/>
      <c r="P199" s="189"/>
      <c r="Q199" s="189"/>
      <c r="R199" s="189"/>
      <c r="S199" s="189"/>
      <c r="T199" s="189"/>
      <c r="U199" s="189"/>
      <c r="V199" s="189"/>
      <c r="W199" s="189"/>
      <c r="X199" s="189"/>
      <c r="Y199" s="189"/>
      <c r="Z199" s="189"/>
      <c r="AA199" s="192"/>
      <c r="AB199" s="192"/>
      <c r="AC199" s="192"/>
      <c r="AD199" s="192"/>
    </row>
    <row r="200" ht="15.75" customHeight="1">
      <c r="A200" s="189"/>
      <c r="B200" s="189"/>
      <c r="C200" s="189"/>
      <c r="D200" s="189"/>
      <c r="E200" s="189"/>
      <c r="F200" s="189"/>
      <c r="G200" s="189"/>
      <c r="H200" s="189"/>
      <c r="I200" s="189"/>
      <c r="J200" s="189"/>
      <c r="K200" s="189"/>
      <c r="L200" s="189"/>
      <c r="M200" s="189"/>
      <c r="N200" s="189"/>
      <c r="O200" s="189"/>
      <c r="P200" s="189"/>
      <c r="Q200" s="189"/>
      <c r="R200" s="189"/>
      <c r="S200" s="189"/>
      <c r="T200" s="189"/>
      <c r="U200" s="189"/>
      <c r="V200" s="189"/>
      <c r="W200" s="189"/>
      <c r="X200" s="189"/>
      <c r="Y200" s="189"/>
      <c r="Z200" s="189"/>
      <c r="AA200" s="192"/>
      <c r="AB200" s="192"/>
      <c r="AC200" s="192"/>
      <c r="AD200" s="192"/>
    </row>
    <row r="201" ht="15.75" customHeight="1">
      <c r="A201" s="189"/>
      <c r="B201" s="189"/>
      <c r="C201" s="189"/>
      <c r="D201" s="189"/>
      <c r="E201" s="189"/>
      <c r="F201" s="189"/>
      <c r="G201" s="189"/>
      <c r="H201" s="189"/>
      <c r="I201" s="189"/>
      <c r="J201" s="189"/>
      <c r="K201" s="189"/>
      <c r="L201" s="189"/>
      <c r="M201" s="189"/>
      <c r="N201" s="189"/>
      <c r="O201" s="189"/>
      <c r="P201" s="189"/>
      <c r="Q201" s="189"/>
      <c r="R201" s="189"/>
      <c r="S201" s="189"/>
      <c r="T201" s="189"/>
      <c r="U201" s="189"/>
      <c r="V201" s="189"/>
      <c r="W201" s="189"/>
      <c r="X201" s="189"/>
      <c r="Y201" s="189"/>
      <c r="Z201" s="189"/>
      <c r="AA201" s="192"/>
      <c r="AB201" s="192"/>
      <c r="AC201" s="192"/>
      <c r="AD201" s="192"/>
    </row>
    <row r="202" ht="15.75" customHeight="1">
      <c r="A202" s="189"/>
      <c r="B202" s="189"/>
      <c r="C202" s="189"/>
      <c r="D202" s="189"/>
      <c r="E202" s="189"/>
      <c r="F202" s="189"/>
      <c r="G202" s="189"/>
      <c r="H202" s="189"/>
      <c r="I202" s="189"/>
      <c r="J202" s="189"/>
      <c r="K202" s="189"/>
      <c r="L202" s="189"/>
      <c r="M202" s="189"/>
      <c r="N202" s="189"/>
      <c r="O202" s="189"/>
      <c r="P202" s="189"/>
      <c r="Q202" s="189"/>
      <c r="R202" s="189"/>
      <c r="S202" s="189"/>
      <c r="T202" s="189"/>
      <c r="U202" s="189"/>
      <c r="V202" s="189"/>
      <c r="W202" s="189"/>
      <c r="X202" s="189"/>
      <c r="Y202" s="189"/>
      <c r="Z202" s="189"/>
      <c r="AA202" s="192"/>
      <c r="AB202" s="192"/>
      <c r="AC202" s="192"/>
      <c r="AD202" s="192"/>
    </row>
    <row r="203" ht="15.75" customHeight="1">
      <c r="A203" s="189"/>
      <c r="B203" s="189"/>
      <c r="C203" s="189"/>
      <c r="D203" s="189"/>
      <c r="E203" s="189"/>
      <c r="F203" s="189"/>
      <c r="G203" s="189"/>
      <c r="H203" s="189"/>
      <c r="I203" s="189"/>
      <c r="J203" s="189"/>
      <c r="K203" s="189"/>
      <c r="L203" s="189"/>
      <c r="M203" s="189"/>
      <c r="N203" s="189"/>
      <c r="O203" s="189"/>
      <c r="P203" s="189"/>
      <c r="Q203" s="189"/>
      <c r="R203" s="189"/>
      <c r="S203" s="189"/>
      <c r="T203" s="189"/>
      <c r="U203" s="189"/>
      <c r="V203" s="189"/>
      <c r="W203" s="189"/>
      <c r="X203" s="189"/>
      <c r="Y203" s="189"/>
      <c r="Z203" s="189"/>
      <c r="AA203" s="192"/>
      <c r="AB203" s="192"/>
      <c r="AC203" s="192"/>
      <c r="AD203" s="192"/>
    </row>
    <row r="204" ht="15.75" customHeight="1">
      <c r="A204" s="189"/>
      <c r="B204" s="189"/>
      <c r="C204" s="189"/>
      <c r="D204" s="189"/>
      <c r="E204" s="189"/>
      <c r="F204" s="189"/>
      <c r="G204" s="189"/>
      <c r="H204" s="189"/>
      <c r="I204" s="189"/>
      <c r="J204" s="189"/>
      <c r="K204" s="189"/>
      <c r="L204" s="189"/>
      <c r="M204" s="189"/>
      <c r="N204" s="189"/>
      <c r="O204" s="189"/>
      <c r="P204" s="189"/>
      <c r="Q204" s="189"/>
      <c r="R204" s="189"/>
      <c r="S204" s="189"/>
      <c r="T204" s="189"/>
      <c r="U204" s="189"/>
      <c r="V204" s="189"/>
      <c r="W204" s="189"/>
      <c r="X204" s="189"/>
      <c r="Y204" s="189"/>
      <c r="Z204" s="189"/>
      <c r="AA204" s="192"/>
      <c r="AB204" s="192"/>
      <c r="AC204" s="192"/>
      <c r="AD204" s="192"/>
    </row>
    <row r="205" ht="15.75" customHeight="1">
      <c r="A205" s="189"/>
      <c r="B205" s="189"/>
      <c r="C205" s="189"/>
      <c r="D205" s="189"/>
      <c r="E205" s="189"/>
      <c r="F205" s="189"/>
      <c r="G205" s="189"/>
      <c r="H205" s="189"/>
      <c r="I205" s="189"/>
      <c r="J205" s="189"/>
      <c r="K205" s="189"/>
      <c r="L205" s="189"/>
      <c r="M205" s="189"/>
      <c r="N205" s="189"/>
      <c r="O205" s="189"/>
      <c r="P205" s="189"/>
      <c r="Q205" s="189"/>
      <c r="R205" s="189"/>
      <c r="S205" s="189"/>
      <c r="T205" s="189"/>
      <c r="U205" s="189"/>
      <c r="V205" s="189"/>
      <c r="W205" s="189"/>
      <c r="X205" s="189"/>
      <c r="Y205" s="189"/>
      <c r="Z205" s="189"/>
      <c r="AA205" s="192"/>
      <c r="AB205" s="192"/>
      <c r="AC205" s="192"/>
      <c r="AD205" s="192"/>
    </row>
    <row r="206" ht="15.75" customHeight="1">
      <c r="A206" s="189"/>
      <c r="B206" s="189"/>
      <c r="C206" s="189"/>
      <c r="D206" s="189"/>
      <c r="E206" s="189"/>
      <c r="F206" s="189"/>
      <c r="G206" s="189"/>
      <c r="H206" s="189"/>
      <c r="I206" s="189"/>
      <c r="J206" s="189"/>
      <c r="K206" s="189"/>
      <c r="L206" s="189"/>
      <c r="M206" s="189"/>
      <c r="N206" s="189"/>
      <c r="O206" s="189"/>
      <c r="P206" s="189"/>
      <c r="Q206" s="189"/>
      <c r="R206" s="189"/>
      <c r="S206" s="189"/>
      <c r="T206" s="189"/>
      <c r="U206" s="189"/>
      <c r="V206" s="189"/>
      <c r="W206" s="189"/>
      <c r="X206" s="189"/>
      <c r="Y206" s="189"/>
      <c r="Z206" s="189"/>
      <c r="AA206" s="192"/>
      <c r="AB206" s="192"/>
      <c r="AC206" s="192"/>
      <c r="AD206" s="192"/>
    </row>
    <row r="207" ht="15.75" customHeight="1">
      <c r="A207" s="189"/>
      <c r="B207" s="189"/>
      <c r="C207" s="189"/>
      <c r="D207" s="189"/>
      <c r="E207" s="189"/>
      <c r="F207" s="189"/>
      <c r="G207" s="189"/>
      <c r="H207" s="189"/>
      <c r="I207" s="189"/>
      <c r="J207" s="189"/>
      <c r="K207" s="189"/>
      <c r="L207" s="189"/>
      <c r="M207" s="189"/>
      <c r="N207" s="189"/>
      <c r="O207" s="189"/>
      <c r="P207" s="189"/>
      <c r="Q207" s="189"/>
      <c r="R207" s="189"/>
      <c r="S207" s="189"/>
      <c r="T207" s="189"/>
      <c r="U207" s="189"/>
      <c r="V207" s="189"/>
      <c r="W207" s="189"/>
      <c r="X207" s="189"/>
      <c r="Y207" s="189"/>
      <c r="Z207" s="189"/>
      <c r="AA207" s="192"/>
      <c r="AB207" s="192"/>
      <c r="AC207" s="192"/>
      <c r="AD207" s="192"/>
    </row>
    <row r="208" ht="15.75" customHeight="1">
      <c r="A208" s="189"/>
      <c r="B208" s="189"/>
      <c r="C208" s="189"/>
      <c r="D208" s="189"/>
      <c r="E208" s="189"/>
      <c r="F208" s="189"/>
      <c r="G208" s="189"/>
      <c r="H208" s="189"/>
      <c r="I208" s="189"/>
      <c r="J208" s="189"/>
      <c r="K208" s="189"/>
      <c r="L208" s="189"/>
      <c r="M208" s="189"/>
      <c r="N208" s="189"/>
      <c r="O208" s="189"/>
      <c r="P208" s="189"/>
      <c r="Q208" s="189"/>
      <c r="R208" s="189"/>
      <c r="S208" s="189"/>
      <c r="T208" s="189"/>
      <c r="U208" s="189"/>
      <c r="V208" s="189"/>
      <c r="W208" s="189"/>
      <c r="X208" s="189"/>
      <c r="Y208" s="189"/>
      <c r="Z208" s="189"/>
      <c r="AA208" s="192"/>
      <c r="AB208" s="192"/>
      <c r="AC208" s="192"/>
      <c r="AD208" s="192"/>
    </row>
    <row r="209" ht="15.75" customHeight="1">
      <c r="A209" s="189"/>
      <c r="B209" s="189"/>
      <c r="C209" s="189"/>
      <c r="D209" s="189"/>
      <c r="E209" s="189"/>
      <c r="F209" s="189"/>
      <c r="G209" s="189"/>
      <c r="H209" s="189"/>
      <c r="I209" s="189"/>
      <c r="J209" s="189"/>
      <c r="K209" s="189"/>
      <c r="L209" s="189"/>
      <c r="M209" s="189"/>
      <c r="N209" s="189"/>
      <c r="O209" s="189"/>
      <c r="P209" s="189"/>
      <c r="Q209" s="189"/>
      <c r="R209" s="189"/>
      <c r="S209" s="189"/>
      <c r="T209" s="189"/>
      <c r="U209" s="189"/>
      <c r="V209" s="189"/>
      <c r="W209" s="189"/>
      <c r="X209" s="189"/>
      <c r="Y209" s="189"/>
      <c r="Z209" s="189"/>
      <c r="AA209" s="192"/>
      <c r="AB209" s="192"/>
      <c r="AC209" s="192"/>
      <c r="AD209" s="192"/>
    </row>
    <row r="210" ht="15.75" customHeight="1">
      <c r="A210" s="189"/>
      <c r="B210" s="189"/>
      <c r="C210" s="189"/>
      <c r="D210" s="189"/>
      <c r="E210" s="189"/>
      <c r="F210" s="189"/>
      <c r="G210" s="189"/>
      <c r="H210" s="189"/>
      <c r="I210" s="189"/>
      <c r="J210" s="189"/>
      <c r="K210" s="189"/>
      <c r="L210" s="189"/>
      <c r="M210" s="189"/>
      <c r="N210" s="189"/>
      <c r="O210" s="189"/>
      <c r="P210" s="189"/>
      <c r="Q210" s="189"/>
      <c r="R210" s="189"/>
      <c r="S210" s="189"/>
      <c r="T210" s="189"/>
      <c r="U210" s="189"/>
      <c r="V210" s="189"/>
      <c r="W210" s="189"/>
      <c r="X210" s="189"/>
      <c r="Y210" s="189"/>
      <c r="Z210" s="189"/>
      <c r="AA210" s="192"/>
      <c r="AB210" s="192"/>
      <c r="AC210" s="192"/>
      <c r="AD210" s="192"/>
    </row>
    <row r="211" ht="15.75" customHeight="1">
      <c r="A211" s="189"/>
      <c r="B211" s="189"/>
      <c r="C211" s="189"/>
      <c r="D211" s="189"/>
      <c r="E211" s="189"/>
      <c r="F211" s="189"/>
      <c r="G211" s="189"/>
      <c r="H211" s="189"/>
      <c r="I211" s="189"/>
      <c r="J211" s="189"/>
      <c r="K211" s="189"/>
      <c r="L211" s="189"/>
      <c r="M211" s="189"/>
      <c r="N211" s="189"/>
      <c r="O211" s="189"/>
      <c r="P211" s="189"/>
      <c r="Q211" s="189"/>
      <c r="R211" s="189"/>
      <c r="S211" s="189"/>
      <c r="T211" s="189"/>
      <c r="U211" s="189"/>
      <c r="V211" s="189"/>
      <c r="W211" s="189"/>
      <c r="X211" s="189"/>
      <c r="Y211" s="189"/>
      <c r="Z211" s="189"/>
      <c r="AA211" s="192"/>
      <c r="AB211" s="192"/>
      <c r="AC211" s="192"/>
      <c r="AD211" s="192"/>
    </row>
    <row r="212" ht="15.75" customHeight="1">
      <c r="A212" s="189"/>
      <c r="B212" s="189"/>
      <c r="C212" s="189"/>
      <c r="D212" s="189"/>
      <c r="E212" s="189"/>
      <c r="F212" s="189"/>
      <c r="G212" s="189"/>
      <c r="H212" s="189"/>
      <c r="I212" s="189"/>
      <c r="J212" s="189"/>
      <c r="K212" s="189"/>
      <c r="L212" s="189"/>
      <c r="M212" s="189"/>
      <c r="N212" s="189"/>
      <c r="O212" s="189"/>
      <c r="P212" s="189"/>
      <c r="Q212" s="189"/>
      <c r="R212" s="189"/>
      <c r="S212" s="189"/>
      <c r="T212" s="189"/>
      <c r="U212" s="189"/>
      <c r="V212" s="189"/>
      <c r="W212" s="189"/>
      <c r="X212" s="189"/>
      <c r="Y212" s="189"/>
      <c r="Z212" s="189"/>
      <c r="AA212" s="192"/>
      <c r="AB212" s="192"/>
      <c r="AC212" s="192"/>
      <c r="AD212" s="192"/>
    </row>
    <row r="213" ht="15.75" customHeight="1">
      <c r="A213" s="189"/>
      <c r="B213" s="189"/>
      <c r="C213" s="189"/>
      <c r="D213" s="189"/>
      <c r="E213" s="189"/>
      <c r="F213" s="189"/>
      <c r="G213" s="189"/>
      <c r="H213" s="189"/>
      <c r="I213" s="189"/>
      <c r="J213" s="189"/>
      <c r="K213" s="189"/>
      <c r="L213" s="189"/>
      <c r="M213" s="189"/>
      <c r="N213" s="189"/>
      <c r="O213" s="189"/>
      <c r="P213" s="189"/>
      <c r="Q213" s="189"/>
      <c r="R213" s="189"/>
      <c r="S213" s="189"/>
      <c r="T213" s="189"/>
      <c r="U213" s="189"/>
      <c r="V213" s="189"/>
      <c r="W213" s="189"/>
      <c r="X213" s="189"/>
      <c r="Y213" s="189"/>
      <c r="Z213" s="189"/>
      <c r="AA213" s="192"/>
      <c r="AB213" s="192"/>
      <c r="AC213" s="192"/>
      <c r="AD213" s="192"/>
    </row>
    <row r="214" ht="15.75" customHeight="1">
      <c r="A214" s="189"/>
      <c r="B214" s="189"/>
      <c r="C214" s="189"/>
      <c r="D214" s="189"/>
      <c r="E214" s="189"/>
      <c r="F214" s="189"/>
      <c r="G214" s="189"/>
      <c r="H214" s="189"/>
      <c r="I214" s="189"/>
      <c r="J214" s="189"/>
      <c r="K214" s="189"/>
      <c r="L214" s="189"/>
      <c r="M214" s="189"/>
      <c r="N214" s="189"/>
      <c r="O214" s="189"/>
      <c r="P214" s="189"/>
      <c r="Q214" s="189"/>
      <c r="R214" s="189"/>
      <c r="S214" s="189"/>
      <c r="T214" s="189"/>
      <c r="U214" s="189"/>
      <c r="V214" s="189"/>
      <c r="W214" s="189"/>
      <c r="X214" s="189"/>
      <c r="Y214" s="189"/>
      <c r="Z214" s="189"/>
      <c r="AA214" s="192"/>
      <c r="AB214" s="192"/>
      <c r="AC214" s="192"/>
      <c r="AD214" s="192"/>
    </row>
    <row r="215" ht="15.75" customHeight="1">
      <c r="A215" s="189"/>
      <c r="B215" s="189"/>
      <c r="C215" s="189"/>
      <c r="D215" s="189"/>
      <c r="E215" s="189"/>
      <c r="F215" s="189"/>
      <c r="G215" s="189"/>
      <c r="H215" s="189"/>
      <c r="I215" s="189"/>
      <c r="J215" s="189"/>
      <c r="K215" s="189"/>
      <c r="L215" s="189"/>
      <c r="M215" s="189"/>
      <c r="N215" s="189"/>
      <c r="O215" s="189"/>
      <c r="P215" s="189"/>
      <c r="Q215" s="189"/>
      <c r="R215" s="189"/>
      <c r="S215" s="189"/>
      <c r="T215" s="189"/>
      <c r="U215" s="189"/>
      <c r="V215" s="189"/>
      <c r="W215" s="189"/>
      <c r="X215" s="189"/>
      <c r="Y215" s="189"/>
      <c r="Z215" s="189"/>
      <c r="AA215" s="192"/>
      <c r="AB215" s="192"/>
      <c r="AC215" s="192"/>
      <c r="AD215" s="192"/>
    </row>
    <row r="216" ht="15.75" customHeight="1">
      <c r="A216" s="189"/>
      <c r="B216" s="189"/>
      <c r="C216" s="189"/>
      <c r="D216" s="189"/>
      <c r="E216" s="189"/>
      <c r="F216" s="189"/>
      <c r="G216" s="189"/>
      <c r="H216" s="189"/>
      <c r="I216" s="189"/>
      <c r="J216" s="189"/>
      <c r="K216" s="189"/>
      <c r="L216" s="189"/>
      <c r="M216" s="189"/>
      <c r="N216" s="189"/>
      <c r="O216" s="189"/>
      <c r="P216" s="189"/>
      <c r="Q216" s="189"/>
      <c r="R216" s="189"/>
      <c r="S216" s="189"/>
      <c r="T216" s="189"/>
      <c r="U216" s="189"/>
      <c r="V216" s="189"/>
      <c r="W216" s="189"/>
      <c r="X216" s="189"/>
      <c r="Y216" s="189"/>
      <c r="Z216" s="189"/>
      <c r="AA216" s="192"/>
      <c r="AB216" s="192"/>
      <c r="AC216" s="192"/>
      <c r="AD216" s="192"/>
    </row>
    <row r="217" ht="15.75" customHeight="1">
      <c r="A217" s="189"/>
      <c r="B217" s="189"/>
      <c r="C217" s="189"/>
      <c r="D217" s="189"/>
      <c r="E217" s="189"/>
      <c r="F217" s="189"/>
      <c r="G217" s="189"/>
      <c r="H217" s="189"/>
      <c r="I217" s="189"/>
      <c r="J217" s="189"/>
      <c r="K217" s="189"/>
      <c r="L217" s="189"/>
      <c r="M217" s="189"/>
      <c r="N217" s="189"/>
      <c r="O217" s="189"/>
      <c r="P217" s="189"/>
      <c r="Q217" s="189"/>
      <c r="R217" s="189"/>
      <c r="S217" s="189"/>
      <c r="T217" s="189"/>
      <c r="U217" s="189"/>
      <c r="V217" s="189"/>
      <c r="W217" s="189"/>
      <c r="X217" s="189"/>
      <c r="Y217" s="189"/>
      <c r="Z217" s="189"/>
      <c r="AA217" s="192"/>
      <c r="AB217" s="192"/>
      <c r="AC217" s="192"/>
      <c r="AD217" s="192"/>
    </row>
    <row r="218" ht="15.75" customHeight="1">
      <c r="A218" s="189"/>
      <c r="B218" s="189"/>
      <c r="C218" s="189"/>
      <c r="D218" s="189"/>
      <c r="E218" s="189"/>
      <c r="F218" s="189"/>
      <c r="G218" s="189"/>
      <c r="H218" s="189"/>
      <c r="I218" s="189"/>
      <c r="J218" s="189"/>
      <c r="K218" s="189"/>
      <c r="L218" s="189"/>
      <c r="M218" s="189"/>
      <c r="N218" s="189"/>
      <c r="O218" s="189"/>
      <c r="P218" s="189"/>
      <c r="Q218" s="189"/>
      <c r="R218" s="189"/>
      <c r="S218" s="189"/>
      <c r="T218" s="189"/>
      <c r="U218" s="189"/>
      <c r="V218" s="189"/>
      <c r="W218" s="189"/>
      <c r="X218" s="189"/>
      <c r="Y218" s="189"/>
      <c r="Z218" s="189"/>
      <c r="AA218" s="192"/>
      <c r="AB218" s="192"/>
      <c r="AC218" s="192"/>
      <c r="AD218" s="192"/>
    </row>
    <row r="219" ht="15.75" customHeight="1">
      <c r="A219" s="189"/>
      <c r="B219" s="189"/>
      <c r="C219" s="189"/>
      <c r="D219" s="189"/>
      <c r="E219" s="189"/>
      <c r="F219" s="189"/>
      <c r="G219" s="189"/>
      <c r="H219" s="189"/>
      <c r="I219" s="189"/>
      <c r="J219" s="189"/>
      <c r="K219" s="189"/>
      <c r="L219" s="189"/>
      <c r="M219" s="189"/>
      <c r="N219" s="189"/>
      <c r="O219" s="189"/>
      <c r="P219" s="189"/>
      <c r="Q219" s="189"/>
      <c r="R219" s="189"/>
      <c r="S219" s="189"/>
      <c r="T219" s="189"/>
      <c r="U219" s="189"/>
      <c r="V219" s="189"/>
      <c r="W219" s="189"/>
      <c r="X219" s="189"/>
      <c r="Y219" s="189"/>
      <c r="Z219" s="189"/>
      <c r="AA219" s="192"/>
      <c r="AB219" s="192"/>
      <c r="AC219" s="192"/>
      <c r="AD219" s="192"/>
    </row>
    <row r="220" ht="15.75" customHeight="1">
      <c r="A220" s="189"/>
      <c r="B220" s="189"/>
      <c r="C220" s="189"/>
      <c r="D220" s="189"/>
      <c r="E220" s="189"/>
      <c r="F220" s="189"/>
      <c r="G220" s="189"/>
      <c r="H220" s="189"/>
      <c r="I220" s="189"/>
      <c r="J220" s="189"/>
      <c r="K220" s="189"/>
      <c r="L220" s="189"/>
      <c r="M220" s="189"/>
      <c r="N220" s="189"/>
      <c r="O220" s="189"/>
      <c r="P220" s="189"/>
      <c r="Q220" s="189"/>
      <c r="R220" s="189"/>
      <c r="S220" s="189"/>
      <c r="T220" s="189"/>
      <c r="U220" s="189"/>
      <c r="V220" s="189"/>
      <c r="W220" s="189"/>
      <c r="X220" s="189"/>
      <c r="Y220" s="189"/>
      <c r="Z220" s="189"/>
      <c r="AA220" s="192"/>
      <c r="AB220" s="192"/>
      <c r="AC220" s="192"/>
      <c r="AD220" s="192"/>
    </row>
    <row r="221" ht="15.75" customHeight="1">
      <c r="A221" s="189"/>
      <c r="B221" s="189"/>
      <c r="C221" s="189"/>
      <c r="D221" s="189"/>
      <c r="E221" s="189"/>
      <c r="F221" s="189"/>
      <c r="G221" s="189"/>
      <c r="H221" s="189"/>
      <c r="I221" s="189"/>
      <c r="J221" s="189"/>
      <c r="K221" s="189"/>
      <c r="L221" s="189"/>
      <c r="M221" s="189"/>
      <c r="N221" s="189"/>
      <c r="O221" s="189"/>
      <c r="P221" s="189"/>
      <c r="Q221" s="189"/>
      <c r="R221" s="189"/>
      <c r="S221" s="189"/>
      <c r="T221" s="189"/>
      <c r="U221" s="189"/>
      <c r="V221" s="189"/>
      <c r="W221" s="189"/>
      <c r="X221" s="189"/>
      <c r="Y221" s="189"/>
      <c r="Z221" s="189"/>
      <c r="AA221" s="192"/>
      <c r="AB221" s="192"/>
      <c r="AC221" s="192"/>
      <c r="AD221" s="192"/>
    </row>
    <row r="222" ht="15.75" customHeight="1">
      <c r="A222" s="189"/>
      <c r="B222" s="189"/>
      <c r="C222" s="189"/>
      <c r="D222" s="189"/>
      <c r="E222" s="189"/>
      <c r="F222" s="189"/>
      <c r="G222" s="189"/>
      <c r="H222" s="189"/>
      <c r="I222" s="189"/>
      <c r="J222" s="189"/>
      <c r="K222" s="189"/>
      <c r="L222" s="189"/>
      <c r="M222" s="189"/>
      <c r="N222" s="189"/>
      <c r="O222" s="189"/>
      <c r="P222" s="189"/>
      <c r="Q222" s="189"/>
      <c r="R222" s="189"/>
      <c r="S222" s="189"/>
      <c r="T222" s="189"/>
      <c r="U222" s="189"/>
      <c r="V222" s="189"/>
      <c r="W222" s="189"/>
      <c r="X222" s="189"/>
      <c r="Y222" s="189"/>
      <c r="Z222" s="189"/>
      <c r="AA222" s="192"/>
      <c r="AB222" s="192"/>
      <c r="AC222" s="192"/>
      <c r="AD222" s="192"/>
    </row>
    <row r="223" ht="15.75" customHeight="1">
      <c r="A223" s="189"/>
      <c r="B223" s="189"/>
      <c r="C223" s="189"/>
      <c r="D223" s="189"/>
      <c r="E223" s="189"/>
      <c r="F223" s="189"/>
      <c r="G223" s="189"/>
      <c r="H223" s="189"/>
      <c r="I223" s="189"/>
      <c r="J223" s="189"/>
      <c r="K223" s="189"/>
      <c r="L223" s="189"/>
      <c r="M223" s="189"/>
      <c r="N223" s="189"/>
      <c r="O223" s="189"/>
      <c r="P223" s="189"/>
      <c r="Q223" s="189"/>
      <c r="R223" s="189"/>
      <c r="S223" s="189"/>
      <c r="T223" s="189"/>
      <c r="U223" s="189"/>
      <c r="V223" s="189"/>
      <c r="W223" s="189"/>
      <c r="X223" s="189"/>
      <c r="Y223" s="189"/>
      <c r="Z223" s="189"/>
      <c r="AA223" s="192"/>
      <c r="AB223" s="192"/>
      <c r="AC223" s="192"/>
      <c r="AD223" s="192"/>
    </row>
    <row r="224" ht="15.75" customHeight="1">
      <c r="A224" s="189"/>
      <c r="B224" s="189"/>
      <c r="C224" s="189"/>
      <c r="D224" s="189"/>
      <c r="E224" s="189"/>
      <c r="F224" s="189"/>
      <c r="G224" s="189"/>
      <c r="H224" s="189"/>
      <c r="I224" s="189"/>
      <c r="J224" s="189"/>
      <c r="K224" s="189"/>
      <c r="L224" s="189"/>
      <c r="M224" s="189"/>
      <c r="N224" s="189"/>
      <c r="O224" s="189"/>
      <c r="P224" s="189"/>
      <c r="Q224" s="189"/>
      <c r="R224" s="189"/>
      <c r="S224" s="189"/>
      <c r="T224" s="189"/>
      <c r="U224" s="189"/>
      <c r="V224" s="189"/>
      <c r="W224" s="189"/>
      <c r="X224" s="189"/>
      <c r="Y224" s="189"/>
      <c r="Z224" s="189"/>
      <c r="AA224" s="192"/>
      <c r="AB224" s="192"/>
      <c r="AC224" s="192"/>
      <c r="AD224" s="192"/>
    </row>
    <row r="225" ht="15.75" customHeight="1">
      <c r="A225" s="189"/>
      <c r="B225" s="189"/>
      <c r="C225" s="189"/>
      <c r="D225" s="189"/>
      <c r="E225" s="189"/>
      <c r="F225" s="189"/>
      <c r="G225" s="189"/>
      <c r="H225" s="189"/>
      <c r="I225" s="189"/>
      <c r="J225" s="189"/>
      <c r="K225" s="189"/>
      <c r="L225" s="189"/>
      <c r="M225" s="189"/>
      <c r="N225" s="189"/>
      <c r="O225" s="189"/>
      <c r="P225" s="189"/>
      <c r="Q225" s="189"/>
      <c r="R225" s="189"/>
      <c r="S225" s="189"/>
      <c r="T225" s="189"/>
      <c r="U225" s="189"/>
      <c r="V225" s="189"/>
      <c r="W225" s="189"/>
      <c r="X225" s="189"/>
      <c r="Y225" s="189"/>
      <c r="Z225" s="189"/>
      <c r="AA225" s="192"/>
      <c r="AB225" s="192"/>
      <c r="AC225" s="192"/>
      <c r="AD225" s="192"/>
    </row>
    <row r="226" ht="15.75" customHeight="1">
      <c r="A226" s="189"/>
      <c r="B226" s="189"/>
      <c r="C226" s="189"/>
      <c r="D226" s="189"/>
      <c r="E226" s="189"/>
      <c r="F226" s="189"/>
      <c r="G226" s="189"/>
      <c r="H226" s="189"/>
      <c r="I226" s="189"/>
      <c r="J226" s="189"/>
      <c r="K226" s="189"/>
      <c r="L226" s="189"/>
      <c r="M226" s="189"/>
      <c r="N226" s="189"/>
      <c r="O226" s="189"/>
      <c r="P226" s="189"/>
      <c r="Q226" s="189"/>
      <c r="R226" s="189"/>
      <c r="S226" s="189"/>
      <c r="T226" s="189"/>
      <c r="U226" s="189"/>
      <c r="V226" s="189"/>
      <c r="W226" s="189"/>
      <c r="X226" s="189"/>
      <c r="Y226" s="189"/>
      <c r="Z226" s="189"/>
      <c r="AA226" s="192"/>
      <c r="AB226" s="192"/>
      <c r="AC226" s="192"/>
      <c r="AD226" s="192"/>
    </row>
    <row r="227" ht="15.75" customHeight="1">
      <c r="A227" s="189"/>
      <c r="B227" s="189"/>
      <c r="C227" s="189"/>
      <c r="D227" s="189"/>
      <c r="E227" s="189"/>
      <c r="F227" s="189"/>
      <c r="G227" s="189"/>
      <c r="H227" s="189"/>
      <c r="I227" s="189"/>
      <c r="J227" s="189"/>
      <c r="K227" s="189"/>
      <c r="L227" s="189"/>
      <c r="M227" s="189"/>
      <c r="N227" s="189"/>
      <c r="O227" s="189"/>
      <c r="P227" s="189"/>
      <c r="Q227" s="189"/>
      <c r="R227" s="189"/>
      <c r="S227" s="189"/>
      <c r="T227" s="189"/>
      <c r="U227" s="189"/>
      <c r="V227" s="189"/>
      <c r="W227" s="189"/>
      <c r="X227" s="189"/>
      <c r="Y227" s="189"/>
      <c r="Z227" s="189"/>
      <c r="AA227" s="192"/>
      <c r="AB227" s="192"/>
      <c r="AC227" s="192"/>
      <c r="AD227" s="192"/>
    </row>
    <row r="228" ht="15.75" customHeight="1">
      <c r="A228" s="189"/>
      <c r="B228" s="189"/>
      <c r="C228" s="189"/>
      <c r="D228" s="189"/>
      <c r="E228" s="189"/>
      <c r="F228" s="189"/>
      <c r="G228" s="189"/>
      <c r="H228" s="189"/>
      <c r="I228" s="189"/>
      <c r="J228" s="189"/>
      <c r="K228" s="189"/>
      <c r="L228" s="189"/>
      <c r="M228" s="189"/>
      <c r="N228" s="189"/>
      <c r="O228" s="189"/>
      <c r="P228" s="189"/>
      <c r="Q228" s="189"/>
      <c r="R228" s="189"/>
      <c r="S228" s="189"/>
      <c r="T228" s="189"/>
      <c r="U228" s="189"/>
      <c r="V228" s="189"/>
      <c r="W228" s="189"/>
      <c r="X228" s="189"/>
      <c r="Y228" s="189"/>
      <c r="Z228" s="189"/>
      <c r="AA228" s="192"/>
      <c r="AB228" s="192"/>
      <c r="AC228" s="192"/>
      <c r="AD228" s="192"/>
    </row>
    <row r="229" ht="15.75" customHeight="1">
      <c r="A229" s="189"/>
      <c r="B229" s="189"/>
      <c r="C229" s="189"/>
      <c r="D229" s="189"/>
      <c r="E229" s="189"/>
      <c r="F229" s="189"/>
      <c r="G229" s="189"/>
      <c r="H229" s="189"/>
      <c r="I229" s="189"/>
      <c r="J229" s="189"/>
      <c r="K229" s="189"/>
      <c r="L229" s="189"/>
      <c r="M229" s="189"/>
      <c r="N229" s="189"/>
      <c r="O229" s="189"/>
      <c r="P229" s="189"/>
      <c r="Q229" s="189"/>
      <c r="R229" s="189"/>
      <c r="S229" s="189"/>
      <c r="T229" s="189"/>
      <c r="U229" s="189"/>
      <c r="V229" s="189"/>
      <c r="W229" s="189"/>
      <c r="X229" s="189"/>
      <c r="Y229" s="189"/>
      <c r="Z229" s="189"/>
      <c r="AA229" s="192"/>
      <c r="AB229" s="192"/>
      <c r="AC229" s="192"/>
      <c r="AD229" s="192"/>
    </row>
    <row r="230" ht="15.75" customHeight="1">
      <c r="A230" s="189"/>
      <c r="B230" s="189"/>
      <c r="C230" s="189"/>
      <c r="D230" s="189"/>
      <c r="E230" s="189"/>
      <c r="F230" s="189"/>
      <c r="G230" s="189"/>
      <c r="H230" s="189"/>
      <c r="I230" s="189"/>
      <c r="J230" s="189"/>
      <c r="K230" s="189"/>
      <c r="L230" s="189"/>
      <c r="M230" s="189"/>
      <c r="N230" s="189"/>
      <c r="O230" s="189"/>
      <c r="P230" s="189"/>
      <c r="Q230" s="189"/>
      <c r="R230" s="189"/>
      <c r="S230" s="189"/>
      <c r="T230" s="189"/>
      <c r="U230" s="189"/>
      <c r="V230" s="189"/>
      <c r="W230" s="189"/>
      <c r="X230" s="189"/>
      <c r="Y230" s="189"/>
      <c r="Z230" s="189"/>
      <c r="AA230" s="192"/>
      <c r="AB230" s="192"/>
      <c r="AC230" s="192"/>
      <c r="AD230" s="192"/>
    </row>
    <row r="231" ht="15.75" customHeight="1">
      <c r="A231" s="189"/>
      <c r="B231" s="189"/>
      <c r="C231" s="189"/>
      <c r="D231" s="189"/>
      <c r="E231" s="189"/>
      <c r="F231" s="189"/>
      <c r="G231" s="189"/>
      <c r="H231" s="189"/>
      <c r="I231" s="189"/>
      <c r="J231" s="189"/>
      <c r="K231" s="189"/>
      <c r="L231" s="189"/>
      <c r="M231" s="189"/>
      <c r="N231" s="189"/>
      <c r="O231" s="189"/>
      <c r="P231" s="189"/>
      <c r="Q231" s="189"/>
      <c r="R231" s="189"/>
      <c r="S231" s="189"/>
      <c r="T231" s="189"/>
      <c r="U231" s="189"/>
      <c r="V231" s="189"/>
      <c r="W231" s="189"/>
      <c r="X231" s="189"/>
      <c r="Y231" s="189"/>
      <c r="Z231" s="189"/>
      <c r="AA231" s="192"/>
      <c r="AB231" s="192"/>
      <c r="AC231" s="192"/>
      <c r="AD231" s="192"/>
    </row>
    <row r="232" ht="15.75" customHeight="1">
      <c r="A232" s="189"/>
      <c r="B232" s="189"/>
      <c r="C232" s="189"/>
      <c r="D232" s="189"/>
      <c r="E232" s="189"/>
      <c r="F232" s="189"/>
      <c r="G232" s="189"/>
      <c r="H232" s="189"/>
      <c r="I232" s="189"/>
      <c r="J232" s="189"/>
      <c r="K232" s="189"/>
      <c r="L232" s="189"/>
      <c r="M232" s="189"/>
      <c r="N232" s="189"/>
      <c r="O232" s="189"/>
      <c r="P232" s="189"/>
      <c r="Q232" s="189"/>
      <c r="R232" s="189"/>
      <c r="S232" s="189"/>
      <c r="T232" s="189"/>
      <c r="U232" s="189"/>
      <c r="V232" s="189"/>
      <c r="W232" s="189"/>
      <c r="X232" s="189"/>
      <c r="Y232" s="189"/>
      <c r="Z232" s="189"/>
      <c r="AA232" s="192"/>
      <c r="AB232" s="192"/>
      <c r="AC232" s="192"/>
      <c r="AD232" s="192"/>
    </row>
    <row r="233" ht="15.75" customHeight="1">
      <c r="A233" s="189"/>
      <c r="B233" s="189"/>
      <c r="C233" s="189"/>
      <c r="D233" s="189"/>
      <c r="E233" s="189"/>
      <c r="F233" s="189"/>
      <c r="G233" s="189"/>
      <c r="H233" s="189"/>
      <c r="I233" s="189"/>
      <c r="J233" s="189"/>
      <c r="K233" s="189"/>
      <c r="L233" s="189"/>
      <c r="M233" s="189"/>
      <c r="N233" s="189"/>
      <c r="O233" s="189"/>
      <c r="P233" s="189"/>
      <c r="Q233" s="189"/>
      <c r="R233" s="189"/>
      <c r="S233" s="189"/>
      <c r="T233" s="189"/>
      <c r="U233" s="189"/>
      <c r="V233" s="189"/>
      <c r="W233" s="189"/>
      <c r="X233" s="189"/>
      <c r="Y233" s="189"/>
      <c r="Z233" s="189"/>
      <c r="AA233" s="192"/>
      <c r="AB233" s="192"/>
      <c r="AC233" s="192"/>
      <c r="AD233" s="192"/>
    </row>
    <row r="234" ht="15.75" customHeight="1">
      <c r="A234" s="189"/>
      <c r="B234" s="189"/>
      <c r="C234" s="189"/>
      <c r="D234" s="189"/>
      <c r="E234" s="189"/>
      <c r="F234" s="189"/>
      <c r="G234" s="189"/>
      <c r="H234" s="189"/>
      <c r="I234" s="189"/>
      <c r="J234" s="189"/>
      <c r="K234" s="189"/>
      <c r="L234" s="189"/>
      <c r="M234" s="189"/>
      <c r="N234" s="189"/>
      <c r="O234" s="189"/>
      <c r="P234" s="189"/>
      <c r="Q234" s="189"/>
      <c r="R234" s="189"/>
      <c r="S234" s="189"/>
      <c r="T234" s="189"/>
      <c r="U234" s="189"/>
      <c r="V234" s="189"/>
      <c r="W234" s="189"/>
      <c r="X234" s="189"/>
      <c r="Y234" s="189"/>
      <c r="Z234" s="189"/>
      <c r="AA234" s="192"/>
      <c r="AB234" s="192"/>
      <c r="AC234" s="192"/>
      <c r="AD234" s="192"/>
    </row>
    <row r="235" ht="15.75" customHeight="1">
      <c r="A235" s="189"/>
      <c r="B235" s="189"/>
      <c r="C235" s="189"/>
      <c r="D235" s="189"/>
      <c r="E235" s="189"/>
      <c r="F235" s="189"/>
      <c r="G235" s="189"/>
      <c r="H235" s="189"/>
      <c r="I235" s="189"/>
      <c r="J235" s="189"/>
      <c r="K235" s="189"/>
      <c r="L235" s="189"/>
      <c r="M235" s="189"/>
      <c r="N235" s="189"/>
      <c r="O235" s="189"/>
      <c r="P235" s="189"/>
      <c r="Q235" s="189"/>
      <c r="R235" s="189"/>
      <c r="S235" s="189"/>
      <c r="T235" s="189"/>
      <c r="U235" s="189"/>
      <c r="V235" s="189"/>
      <c r="W235" s="189"/>
      <c r="X235" s="189"/>
      <c r="Y235" s="189"/>
      <c r="Z235" s="189"/>
      <c r="AA235" s="192"/>
      <c r="AB235" s="192"/>
      <c r="AC235" s="192"/>
      <c r="AD235" s="192"/>
    </row>
    <row r="236" ht="15.75" customHeight="1">
      <c r="A236" s="189"/>
      <c r="B236" s="189"/>
      <c r="C236" s="189"/>
      <c r="D236" s="189"/>
      <c r="E236" s="189"/>
      <c r="F236" s="189"/>
      <c r="G236" s="189"/>
      <c r="H236" s="189"/>
      <c r="I236" s="189"/>
      <c r="J236" s="189"/>
      <c r="K236" s="189"/>
      <c r="L236" s="189"/>
      <c r="M236" s="189"/>
      <c r="N236" s="189"/>
      <c r="O236" s="189"/>
      <c r="P236" s="189"/>
      <c r="Q236" s="189"/>
      <c r="R236" s="189"/>
      <c r="S236" s="189"/>
      <c r="T236" s="189"/>
      <c r="U236" s="189"/>
      <c r="V236" s="189"/>
      <c r="W236" s="189"/>
      <c r="X236" s="189"/>
      <c r="Y236" s="189"/>
      <c r="Z236" s="189"/>
      <c r="AA236" s="192"/>
      <c r="AB236" s="192"/>
      <c r="AC236" s="192"/>
      <c r="AD236" s="192"/>
    </row>
    <row r="237" ht="15.75" customHeight="1">
      <c r="A237" s="189"/>
      <c r="B237" s="189"/>
      <c r="C237" s="189"/>
      <c r="D237" s="189"/>
      <c r="E237" s="189"/>
      <c r="F237" s="189"/>
      <c r="G237" s="189"/>
      <c r="H237" s="189"/>
      <c r="I237" s="189"/>
      <c r="J237" s="189"/>
      <c r="K237" s="189"/>
      <c r="L237" s="189"/>
      <c r="M237" s="189"/>
      <c r="N237" s="189"/>
      <c r="O237" s="189"/>
      <c r="P237" s="189"/>
      <c r="Q237" s="189"/>
      <c r="R237" s="189"/>
      <c r="S237" s="189"/>
      <c r="T237" s="189"/>
      <c r="U237" s="189"/>
      <c r="V237" s="189"/>
      <c r="W237" s="189"/>
      <c r="X237" s="189"/>
      <c r="Y237" s="189"/>
      <c r="Z237" s="189"/>
      <c r="AA237" s="192"/>
      <c r="AB237" s="192"/>
      <c r="AC237" s="192"/>
      <c r="AD237" s="192"/>
    </row>
    <row r="238" ht="15.75" customHeight="1">
      <c r="A238" s="189"/>
      <c r="B238" s="189"/>
      <c r="C238" s="189"/>
      <c r="D238" s="189"/>
      <c r="E238" s="189"/>
      <c r="F238" s="189"/>
      <c r="G238" s="189"/>
      <c r="H238" s="189"/>
      <c r="I238" s="189"/>
      <c r="J238" s="189"/>
      <c r="K238" s="189"/>
      <c r="L238" s="189"/>
      <c r="M238" s="189"/>
      <c r="N238" s="189"/>
      <c r="O238" s="189"/>
      <c r="P238" s="189"/>
      <c r="Q238" s="189"/>
      <c r="R238" s="189"/>
      <c r="S238" s="189"/>
      <c r="T238" s="189"/>
      <c r="U238" s="189"/>
      <c r="V238" s="189"/>
      <c r="W238" s="189"/>
      <c r="X238" s="189"/>
      <c r="Y238" s="189"/>
      <c r="Z238" s="189"/>
      <c r="AA238" s="192"/>
      <c r="AB238" s="192"/>
      <c r="AC238" s="192"/>
      <c r="AD238" s="192"/>
    </row>
    <row r="239" ht="15.75" customHeight="1">
      <c r="A239" s="189"/>
      <c r="B239" s="189"/>
      <c r="C239" s="189"/>
      <c r="D239" s="189"/>
      <c r="E239" s="189"/>
      <c r="F239" s="189"/>
      <c r="G239" s="189"/>
      <c r="H239" s="189"/>
      <c r="I239" s="189"/>
      <c r="J239" s="189"/>
      <c r="K239" s="189"/>
      <c r="L239" s="189"/>
      <c r="M239" s="189"/>
      <c r="N239" s="189"/>
      <c r="O239" s="189"/>
      <c r="P239" s="189"/>
      <c r="Q239" s="189"/>
      <c r="R239" s="189"/>
      <c r="S239" s="189"/>
      <c r="T239" s="189"/>
      <c r="U239" s="189"/>
      <c r="V239" s="189"/>
      <c r="W239" s="189"/>
      <c r="X239" s="189"/>
      <c r="Y239" s="189"/>
      <c r="Z239" s="189"/>
      <c r="AA239" s="192"/>
      <c r="AB239" s="192"/>
      <c r="AC239" s="192"/>
      <c r="AD239" s="192"/>
    </row>
    <row r="240" ht="15.75" customHeight="1">
      <c r="A240" s="189"/>
      <c r="B240" s="189"/>
      <c r="C240" s="189"/>
      <c r="D240" s="189"/>
      <c r="E240" s="189"/>
      <c r="F240" s="189"/>
      <c r="G240" s="189"/>
      <c r="H240" s="189"/>
      <c r="I240" s="189"/>
      <c r="J240" s="189"/>
      <c r="K240" s="189"/>
      <c r="L240" s="189"/>
      <c r="M240" s="189"/>
      <c r="N240" s="189"/>
      <c r="O240" s="189"/>
      <c r="P240" s="189"/>
      <c r="Q240" s="189"/>
      <c r="R240" s="189"/>
      <c r="S240" s="189"/>
      <c r="T240" s="189"/>
      <c r="U240" s="189"/>
      <c r="V240" s="189"/>
      <c r="W240" s="189"/>
      <c r="X240" s="189"/>
      <c r="Y240" s="189"/>
      <c r="Z240" s="189"/>
      <c r="AA240" s="192"/>
      <c r="AB240" s="192"/>
      <c r="AC240" s="192"/>
      <c r="AD240" s="192"/>
    </row>
    <row r="241" ht="15.75" customHeight="1">
      <c r="A241" s="189"/>
      <c r="B241" s="189"/>
      <c r="C241" s="189"/>
      <c r="D241" s="189"/>
      <c r="E241" s="189"/>
      <c r="F241" s="189"/>
      <c r="G241" s="189"/>
      <c r="H241" s="189"/>
      <c r="I241" s="189"/>
      <c r="J241" s="189"/>
      <c r="K241" s="189"/>
      <c r="L241" s="189"/>
      <c r="M241" s="189"/>
      <c r="N241" s="189"/>
      <c r="O241" s="189"/>
      <c r="P241" s="189"/>
      <c r="Q241" s="189"/>
      <c r="R241" s="189"/>
      <c r="S241" s="189"/>
      <c r="T241" s="189"/>
      <c r="U241" s="189"/>
      <c r="V241" s="189"/>
      <c r="W241" s="189"/>
      <c r="X241" s="189"/>
      <c r="Y241" s="189"/>
      <c r="Z241" s="189"/>
      <c r="AA241" s="192"/>
      <c r="AB241" s="192"/>
      <c r="AC241" s="192"/>
      <c r="AD241" s="192"/>
    </row>
    <row r="242" ht="15.75" customHeight="1">
      <c r="A242" s="189"/>
      <c r="B242" s="189"/>
      <c r="C242" s="189"/>
      <c r="D242" s="189"/>
      <c r="E242" s="189"/>
      <c r="F242" s="189"/>
      <c r="G242" s="189"/>
      <c r="H242" s="189"/>
      <c r="I242" s="189"/>
      <c r="J242" s="189"/>
      <c r="K242" s="189"/>
      <c r="L242" s="189"/>
      <c r="M242" s="189"/>
      <c r="N242" s="189"/>
      <c r="O242" s="189"/>
      <c r="P242" s="189"/>
      <c r="Q242" s="189"/>
      <c r="R242" s="189"/>
      <c r="S242" s="189"/>
      <c r="T242" s="189"/>
      <c r="U242" s="189"/>
      <c r="V242" s="189"/>
      <c r="W242" s="189"/>
      <c r="X242" s="189"/>
      <c r="Y242" s="189"/>
      <c r="Z242" s="189"/>
      <c r="AA242" s="192"/>
      <c r="AB242" s="192"/>
      <c r="AC242" s="192"/>
      <c r="AD242" s="192"/>
    </row>
    <row r="243" ht="15.75" customHeight="1">
      <c r="A243" s="189"/>
      <c r="B243" s="189"/>
      <c r="C243" s="189"/>
      <c r="D243" s="189"/>
      <c r="E243" s="189"/>
      <c r="F243" s="189"/>
      <c r="G243" s="189"/>
      <c r="H243" s="189"/>
      <c r="I243" s="189"/>
      <c r="J243" s="189"/>
      <c r="K243" s="189"/>
      <c r="L243" s="189"/>
      <c r="M243" s="189"/>
      <c r="N243" s="189"/>
      <c r="O243" s="189"/>
      <c r="P243" s="189"/>
      <c r="Q243" s="189"/>
      <c r="R243" s="189"/>
      <c r="S243" s="189"/>
      <c r="T243" s="189"/>
      <c r="U243" s="189"/>
      <c r="V243" s="189"/>
      <c r="W243" s="189"/>
      <c r="X243" s="189"/>
      <c r="Y243" s="189"/>
      <c r="Z243" s="189"/>
      <c r="AA243" s="192"/>
      <c r="AB243" s="192"/>
      <c r="AC243" s="192"/>
      <c r="AD243" s="192"/>
    </row>
    <row r="244" ht="15.75" customHeight="1">
      <c r="A244" s="189"/>
      <c r="B244" s="189"/>
      <c r="C244" s="189"/>
      <c r="D244" s="189"/>
      <c r="E244" s="189"/>
      <c r="F244" s="189"/>
      <c r="G244" s="189"/>
      <c r="H244" s="189"/>
      <c r="I244" s="189"/>
      <c r="J244" s="189"/>
      <c r="K244" s="189"/>
      <c r="L244" s="189"/>
      <c r="M244" s="189"/>
      <c r="N244" s="189"/>
      <c r="O244" s="189"/>
      <c r="P244" s="189"/>
      <c r="Q244" s="189"/>
      <c r="R244" s="189"/>
      <c r="S244" s="189"/>
      <c r="T244" s="189"/>
      <c r="U244" s="189"/>
      <c r="V244" s="189"/>
      <c r="W244" s="189"/>
      <c r="X244" s="189"/>
      <c r="Y244" s="189"/>
      <c r="Z244" s="189"/>
      <c r="AA244" s="192"/>
      <c r="AB244" s="192"/>
      <c r="AC244" s="192"/>
      <c r="AD244" s="192"/>
    </row>
    <row r="245" ht="15.75" customHeight="1">
      <c r="A245" s="189"/>
      <c r="B245" s="189"/>
      <c r="C245" s="189"/>
      <c r="D245" s="189"/>
      <c r="E245" s="189"/>
      <c r="F245" s="189"/>
      <c r="G245" s="189"/>
      <c r="H245" s="189"/>
      <c r="I245" s="189"/>
      <c r="J245" s="189"/>
      <c r="K245" s="189"/>
      <c r="L245" s="189"/>
      <c r="M245" s="189"/>
      <c r="N245" s="189"/>
      <c r="O245" s="189"/>
      <c r="P245" s="189"/>
      <c r="Q245" s="189"/>
      <c r="R245" s="189"/>
      <c r="S245" s="189"/>
      <c r="T245" s="189"/>
      <c r="U245" s="189"/>
      <c r="V245" s="189"/>
      <c r="W245" s="189"/>
      <c r="X245" s="189"/>
      <c r="Y245" s="189"/>
      <c r="Z245" s="189"/>
      <c r="AA245" s="192"/>
      <c r="AB245" s="192"/>
      <c r="AC245" s="192"/>
      <c r="AD245" s="192"/>
    </row>
    <row r="246" ht="15.75" customHeight="1">
      <c r="A246" s="189"/>
      <c r="B246" s="189"/>
      <c r="C246" s="189"/>
      <c r="D246" s="189"/>
      <c r="E246" s="189"/>
      <c r="F246" s="189"/>
      <c r="G246" s="189"/>
      <c r="H246" s="189"/>
      <c r="I246" s="189"/>
      <c r="J246" s="189"/>
      <c r="K246" s="189"/>
      <c r="L246" s="189"/>
      <c r="M246" s="189"/>
      <c r="N246" s="189"/>
      <c r="O246" s="189"/>
      <c r="P246" s="189"/>
      <c r="Q246" s="189"/>
      <c r="R246" s="189"/>
      <c r="S246" s="189"/>
      <c r="T246" s="189"/>
      <c r="U246" s="189"/>
      <c r="V246" s="189"/>
      <c r="W246" s="189"/>
      <c r="X246" s="189"/>
      <c r="Y246" s="189"/>
      <c r="Z246" s="189"/>
      <c r="AA246" s="192"/>
      <c r="AB246" s="192"/>
      <c r="AC246" s="192"/>
      <c r="AD246" s="192"/>
    </row>
    <row r="247" ht="15.75" customHeight="1">
      <c r="A247" s="189"/>
      <c r="B247" s="189"/>
      <c r="C247" s="189"/>
      <c r="D247" s="189"/>
      <c r="E247" s="189"/>
      <c r="F247" s="189"/>
      <c r="G247" s="189"/>
      <c r="H247" s="189"/>
      <c r="I247" s="189"/>
      <c r="J247" s="189"/>
      <c r="K247" s="189"/>
      <c r="L247" s="189"/>
      <c r="M247" s="189"/>
      <c r="N247" s="189"/>
      <c r="O247" s="189"/>
      <c r="P247" s="189"/>
      <c r="Q247" s="189"/>
      <c r="R247" s="189"/>
      <c r="S247" s="189"/>
      <c r="T247" s="189"/>
      <c r="U247" s="189"/>
      <c r="V247" s="189"/>
      <c r="W247" s="189"/>
      <c r="X247" s="189"/>
      <c r="Y247" s="189"/>
      <c r="Z247" s="189"/>
      <c r="AA247" s="192"/>
      <c r="AB247" s="192"/>
      <c r="AC247" s="192"/>
      <c r="AD247" s="192"/>
    </row>
    <row r="248" ht="15.75" customHeight="1">
      <c r="A248" s="189"/>
      <c r="B248" s="189"/>
      <c r="C248" s="189"/>
      <c r="D248" s="189"/>
      <c r="E248" s="189"/>
      <c r="F248" s="189"/>
      <c r="G248" s="189"/>
      <c r="H248" s="189"/>
      <c r="I248" s="189"/>
      <c r="J248" s="189"/>
      <c r="K248" s="189"/>
      <c r="L248" s="189"/>
      <c r="M248" s="189"/>
      <c r="N248" s="189"/>
      <c r="O248" s="189"/>
      <c r="P248" s="189"/>
      <c r="Q248" s="189"/>
      <c r="R248" s="189"/>
      <c r="S248" s="189"/>
      <c r="T248" s="189"/>
      <c r="U248" s="189"/>
      <c r="V248" s="189"/>
      <c r="W248" s="189"/>
      <c r="X248" s="189"/>
      <c r="Y248" s="189"/>
      <c r="Z248" s="189"/>
      <c r="AA248" s="192"/>
      <c r="AB248" s="192"/>
      <c r="AC248" s="192"/>
      <c r="AD248" s="192"/>
    </row>
    <row r="249" ht="15.75" customHeight="1">
      <c r="A249" s="189"/>
      <c r="B249" s="189"/>
      <c r="C249" s="189"/>
      <c r="D249" s="189"/>
      <c r="E249" s="189"/>
      <c r="F249" s="189"/>
      <c r="G249" s="189"/>
      <c r="H249" s="189"/>
      <c r="I249" s="189"/>
      <c r="J249" s="189"/>
      <c r="K249" s="189"/>
      <c r="L249" s="189"/>
      <c r="M249" s="189"/>
      <c r="N249" s="189"/>
      <c r="O249" s="189"/>
      <c r="P249" s="189"/>
      <c r="Q249" s="189"/>
      <c r="R249" s="189"/>
      <c r="S249" s="189"/>
      <c r="T249" s="189"/>
      <c r="U249" s="189"/>
      <c r="V249" s="189"/>
      <c r="W249" s="189"/>
      <c r="X249" s="189"/>
      <c r="Y249" s="189"/>
      <c r="Z249" s="189"/>
      <c r="AA249" s="192"/>
      <c r="AB249" s="192"/>
      <c r="AC249" s="192"/>
      <c r="AD249" s="192"/>
    </row>
    <row r="250" ht="15.75" customHeight="1">
      <c r="A250" s="189"/>
      <c r="B250" s="189"/>
      <c r="C250" s="189"/>
      <c r="D250" s="189"/>
      <c r="E250" s="189"/>
      <c r="F250" s="189"/>
      <c r="G250" s="189"/>
      <c r="H250" s="189"/>
      <c r="I250" s="189"/>
      <c r="J250" s="189"/>
      <c r="K250" s="189"/>
      <c r="L250" s="189"/>
      <c r="M250" s="189"/>
      <c r="N250" s="189"/>
      <c r="O250" s="189"/>
      <c r="P250" s="189"/>
      <c r="Q250" s="189"/>
      <c r="R250" s="189"/>
      <c r="S250" s="189"/>
      <c r="T250" s="189"/>
      <c r="U250" s="189"/>
      <c r="V250" s="189"/>
      <c r="W250" s="189"/>
      <c r="X250" s="189"/>
      <c r="Y250" s="189"/>
      <c r="Z250" s="189"/>
      <c r="AA250" s="192"/>
      <c r="AB250" s="192"/>
      <c r="AC250" s="192"/>
      <c r="AD250" s="192"/>
    </row>
    <row r="251" ht="15.75" customHeight="1">
      <c r="A251" s="189"/>
      <c r="B251" s="189"/>
      <c r="C251" s="189"/>
      <c r="D251" s="189"/>
      <c r="E251" s="189"/>
      <c r="F251" s="189"/>
      <c r="G251" s="189"/>
      <c r="H251" s="189"/>
      <c r="I251" s="189"/>
      <c r="J251" s="189"/>
      <c r="K251" s="189"/>
      <c r="L251" s="189"/>
      <c r="M251" s="189"/>
      <c r="N251" s="189"/>
      <c r="O251" s="189"/>
      <c r="P251" s="189"/>
      <c r="Q251" s="189"/>
      <c r="R251" s="189"/>
      <c r="S251" s="189"/>
      <c r="T251" s="189"/>
      <c r="U251" s="189"/>
      <c r="V251" s="189"/>
      <c r="W251" s="189"/>
      <c r="X251" s="189"/>
      <c r="Y251" s="189"/>
      <c r="Z251" s="189"/>
      <c r="AA251" s="192"/>
      <c r="AB251" s="192"/>
      <c r="AC251" s="192"/>
      <c r="AD251" s="192"/>
    </row>
    <row r="252" ht="15.75" customHeight="1">
      <c r="A252" s="189"/>
      <c r="B252" s="189"/>
      <c r="C252" s="189"/>
      <c r="D252" s="189"/>
      <c r="E252" s="189"/>
      <c r="F252" s="189"/>
      <c r="G252" s="189"/>
      <c r="H252" s="189"/>
      <c r="I252" s="189"/>
      <c r="J252" s="189"/>
      <c r="K252" s="189"/>
      <c r="L252" s="189"/>
      <c r="M252" s="189"/>
      <c r="N252" s="189"/>
      <c r="O252" s="189"/>
      <c r="P252" s="189"/>
      <c r="Q252" s="189"/>
      <c r="R252" s="189"/>
      <c r="S252" s="189"/>
      <c r="T252" s="189"/>
      <c r="U252" s="189"/>
      <c r="V252" s="189"/>
      <c r="W252" s="189"/>
      <c r="X252" s="189"/>
      <c r="Y252" s="189"/>
      <c r="Z252" s="189"/>
      <c r="AA252" s="192"/>
      <c r="AB252" s="192"/>
      <c r="AC252" s="192"/>
      <c r="AD252" s="192"/>
    </row>
    <row r="253" ht="15.75" customHeight="1">
      <c r="A253" s="189"/>
      <c r="B253" s="189"/>
      <c r="C253" s="189"/>
      <c r="D253" s="189"/>
      <c r="E253" s="189"/>
      <c r="F253" s="189"/>
      <c r="G253" s="189"/>
      <c r="H253" s="189"/>
      <c r="I253" s="189"/>
      <c r="J253" s="189"/>
      <c r="K253" s="189"/>
      <c r="L253" s="189"/>
      <c r="M253" s="189"/>
      <c r="N253" s="189"/>
      <c r="O253" s="189"/>
      <c r="P253" s="189"/>
      <c r="Q253" s="189"/>
      <c r="R253" s="189"/>
      <c r="S253" s="189"/>
      <c r="T253" s="189"/>
      <c r="U253" s="189"/>
      <c r="V253" s="189"/>
      <c r="W253" s="189"/>
      <c r="X253" s="189"/>
      <c r="Y253" s="189"/>
      <c r="Z253" s="189"/>
      <c r="AA253" s="192"/>
      <c r="AB253" s="192"/>
      <c r="AC253" s="192"/>
      <c r="AD253" s="192"/>
    </row>
    <row r="254" ht="15.75" customHeight="1">
      <c r="A254" s="189"/>
      <c r="B254" s="189"/>
      <c r="C254" s="189"/>
      <c r="D254" s="189"/>
      <c r="E254" s="189"/>
      <c r="F254" s="189"/>
      <c r="G254" s="189"/>
      <c r="H254" s="189"/>
      <c r="I254" s="189"/>
      <c r="J254" s="189"/>
      <c r="K254" s="189"/>
      <c r="L254" s="189"/>
      <c r="M254" s="189"/>
      <c r="N254" s="189"/>
      <c r="O254" s="189"/>
      <c r="P254" s="189"/>
      <c r="Q254" s="189"/>
      <c r="R254" s="189"/>
      <c r="S254" s="189"/>
      <c r="T254" s="189"/>
      <c r="U254" s="189"/>
      <c r="V254" s="189"/>
      <c r="W254" s="189"/>
      <c r="X254" s="189"/>
      <c r="Y254" s="189"/>
      <c r="Z254" s="189"/>
      <c r="AA254" s="192"/>
      <c r="AB254" s="192"/>
      <c r="AC254" s="192"/>
      <c r="AD254" s="192"/>
    </row>
    <row r="255" ht="15.75" customHeight="1">
      <c r="A255" s="189"/>
      <c r="B255" s="189"/>
      <c r="C255" s="189"/>
      <c r="D255" s="189"/>
      <c r="E255" s="189"/>
      <c r="F255" s="189"/>
      <c r="G255" s="189"/>
      <c r="H255" s="189"/>
      <c r="I255" s="189"/>
      <c r="J255" s="189"/>
      <c r="K255" s="189"/>
      <c r="L255" s="189"/>
      <c r="M255" s="189"/>
      <c r="N255" s="189"/>
      <c r="O255" s="189"/>
      <c r="P255" s="189"/>
      <c r="Q255" s="189"/>
      <c r="R255" s="189"/>
      <c r="S255" s="189"/>
      <c r="T255" s="189"/>
      <c r="U255" s="189"/>
      <c r="V255" s="189"/>
      <c r="W255" s="189"/>
      <c r="X255" s="189"/>
      <c r="Y255" s="189"/>
      <c r="Z255" s="189"/>
      <c r="AA255" s="192"/>
      <c r="AB255" s="192"/>
      <c r="AC255" s="192"/>
      <c r="AD255" s="192"/>
    </row>
    <row r="256" ht="15.75" customHeight="1">
      <c r="A256" s="189"/>
      <c r="B256" s="189"/>
      <c r="C256" s="189"/>
      <c r="D256" s="189"/>
      <c r="E256" s="189"/>
      <c r="F256" s="189"/>
      <c r="G256" s="189"/>
      <c r="H256" s="189"/>
      <c r="I256" s="189"/>
      <c r="J256" s="189"/>
      <c r="K256" s="189"/>
      <c r="L256" s="189"/>
      <c r="M256" s="189"/>
      <c r="N256" s="189"/>
      <c r="O256" s="189"/>
      <c r="P256" s="189"/>
      <c r="Q256" s="189"/>
      <c r="R256" s="189"/>
      <c r="S256" s="189"/>
      <c r="T256" s="189"/>
      <c r="U256" s="189"/>
      <c r="V256" s="189"/>
      <c r="W256" s="189"/>
      <c r="X256" s="189"/>
      <c r="Y256" s="189"/>
      <c r="Z256" s="189"/>
      <c r="AA256" s="192"/>
      <c r="AB256" s="192"/>
      <c r="AC256" s="192"/>
      <c r="AD256" s="192"/>
    </row>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1:J1"/>
    <mergeCell ref="A2:J2"/>
    <mergeCell ref="A3:J3"/>
    <mergeCell ref="A24:J24"/>
    <mergeCell ref="A26:J26"/>
    <mergeCell ref="A56:J56"/>
  </mergeCells>
  <printOptions/>
  <pageMargins bottom="0.75" footer="0.0" header="0.0" left="0.7" right="0.7" top="0.75"/>
  <pageSetup orientation="landscape"/>
  <drawing r:id="rId2"/>
  <legacyDrawing r:id="rId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outlineLevelRow="1"/>
  <cols>
    <col customWidth="1" min="1" max="1" width="3.75"/>
    <col customWidth="1" min="2" max="2" width="40.75"/>
    <col customWidth="1" min="4" max="4" width="18.5"/>
    <col customWidth="1" min="5" max="5" width="21.0"/>
    <col customWidth="1" min="6" max="6" width="18.38"/>
    <col customWidth="1" min="7" max="7" width="25.63"/>
    <col customWidth="1" min="10" max="10" width="27.38"/>
    <col customWidth="1" min="11" max="11" width="22.5"/>
    <col customWidth="1" min="12" max="12" width="23.0"/>
    <col customWidth="1" min="13" max="13" width="40.38"/>
  </cols>
  <sheetData>
    <row r="1">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row>
    <row r="2">
      <c r="A2" s="4"/>
      <c r="B2" s="258" t="s">
        <v>429</v>
      </c>
      <c r="C2" s="259"/>
      <c r="D2" s="259"/>
      <c r="E2" s="259"/>
      <c r="F2" s="259"/>
      <c r="G2" s="259"/>
      <c r="H2" s="259"/>
      <c r="I2" s="259"/>
      <c r="J2" s="260"/>
      <c r="K2" s="4"/>
      <c r="L2" s="261" t="s">
        <v>430</v>
      </c>
      <c r="M2" s="262"/>
      <c r="N2" s="263"/>
      <c r="O2" s="4"/>
      <c r="P2" s="4"/>
      <c r="Q2" s="4"/>
      <c r="R2" s="4"/>
      <c r="S2" s="4"/>
      <c r="T2" s="4"/>
      <c r="U2" s="4"/>
      <c r="V2" s="4"/>
      <c r="W2" s="4"/>
      <c r="X2" s="4"/>
      <c r="Y2" s="4"/>
      <c r="Z2" s="4"/>
      <c r="AA2" s="4"/>
      <c r="AB2" s="4"/>
      <c r="AC2" s="4"/>
      <c r="AD2" s="4"/>
      <c r="AE2" s="4"/>
      <c r="AF2" s="4"/>
    </row>
    <row r="3">
      <c r="A3" s="4"/>
      <c r="B3" s="264" t="s">
        <v>431</v>
      </c>
      <c r="C3" s="264" t="s">
        <v>432</v>
      </c>
      <c r="D3" s="264" t="s">
        <v>433</v>
      </c>
      <c r="E3" s="264" t="s">
        <v>434</v>
      </c>
      <c r="F3" s="264" t="s">
        <v>435</v>
      </c>
      <c r="G3" s="264" t="s">
        <v>436</v>
      </c>
      <c r="H3" s="264" t="s">
        <v>437</v>
      </c>
      <c r="I3" s="264" t="s">
        <v>438</v>
      </c>
      <c r="J3" s="264" t="s">
        <v>439</v>
      </c>
      <c r="K3" s="4"/>
      <c r="L3" s="265" t="s">
        <v>440</v>
      </c>
      <c r="M3" s="265" t="s">
        <v>441</v>
      </c>
      <c r="N3" s="265"/>
      <c r="O3" s="4"/>
      <c r="P3" s="4"/>
      <c r="Q3" s="4"/>
      <c r="R3" s="4"/>
      <c r="S3" s="4"/>
      <c r="T3" s="4"/>
      <c r="U3" s="4"/>
      <c r="V3" s="4"/>
      <c r="W3" s="4"/>
      <c r="X3" s="4"/>
      <c r="Y3" s="4"/>
      <c r="Z3" s="4"/>
      <c r="AA3" s="4"/>
      <c r="AB3" s="4"/>
      <c r="AC3" s="4"/>
      <c r="AD3" s="4"/>
      <c r="AE3" s="4"/>
      <c r="AF3" s="4"/>
    </row>
    <row r="4">
      <c r="A4" s="4"/>
      <c r="B4" s="266" t="s">
        <v>442</v>
      </c>
      <c r="C4" s="266" t="s">
        <v>443</v>
      </c>
      <c r="D4" s="267">
        <f>E4*$C$18</f>
        <v>3.598688099</v>
      </c>
      <c r="E4" s="268">
        <f>DEGREES(ATAN(F4/($C$14*$C$19)))</f>
        <v>0.0009996355831</v>
      </c>
      <c r="F4" s="269">
        <v>120.0</v>
      </c>
      <c r="G4" s="265" t="s">
        <v>444</v>
      </c>
      <c r="H4" s="270">
        <f t="shared" ref="H4:H8" si="1">DEGREES(ATAN(I4/($C$14*$C$19)))</f>
        <v>0.001249544479</v>
      </c>
      <c r="I4" s="271">
        <v>150.0</v>
      </c>
      <c r="J4" s="272" t="s">
        <v>444</v>
      </c>
      <c r="K4" s="4"/>
      <c r="L4" s="265" t="s">
        <v>445</v>
      </c>
      <c r="M4" s="267">
        <v>291.5962312</v>
      </c>
      <c r="N4" s="265"/>
      <c r="O4" s="34"/>
      <c r="P4" s="34"/>
      <c r="Q4" s="34"/>
      <c r="R4" s="4"/>
      <c r="S4" s="4"/>
      <c r="T4" s="4"/>
      <c r="U4" s="4"/>
      <c r="V4" s="4"/>
      <c r="W4" s="4"/>
      <c r="X4" s="4"/>
      <c r="Y4" s="4"/>
      <c r="Z4" s="4"/>
      <c r="AA4" s="4"/>
      <c r="AB4" s="4"/>
      <c r="AC4" s="4"/>
      <c r="AD4" s="4"/>
      <c r="AE4" s="4"/>
      <c r="AF4" s="4"/>
    </row>
    <row r="5">
      <c r="A5" s="4"/>
      <c r="B5" s="266" t="s">
        <v>446</v>
      </c>
      <c r="C5" s="266" t="s">
        <v>443</v>
      </c>
      <c r="D5" s="267">
        <v>5.0</v>
      </c>
      <c r="E5" s="273">
        <f>D5/$C$18</f>
        <v>0.001388888889</v>
      </c>
      <c r="F5" s="269">
        <f t="shared" ref="F5:F6" si="2">RADIANS(E5)*$C$14*$C$19</f>
        <v>166.7274249</v>
      </c>
      <c r="G5" s="265" t="s">
        <v>444</v>
      </c>
      <c r="H5" s="274">
        <f t="shared" si="1"/>
        <v>0.001499453375</v>
      </c>
      <c r="I5" s="271">
        <v>180.0</v>
      </c>
      <c r="J5" s="272" t="s">
        <v>444</v>
      </c>
      <c r="K5" s="4"/>
      <c r="L5" s="265" t="s">
        <v>447</v>
      </c>
      <c r="M5" s="267">
        <v>8.403768767</v>
      </c>
      <c r="N5" s="265"/>
      <c r="O5" s="34"/>
      <c r="P5" s="34"/>
      <c r="Q5" s="34"/>
      <c r="R5" s="4"/>
      <c r="S5" s="4"/>
      <c r="T5" s="4"/>
      <c r="U5" s="4"/>
      <c r="V5" s="4"/>
      <c r="W5" s="4"/>
      <c r="X5" s="4"/>
      <c r="Y5" s="4"/>
      <c r="Z5" s="4"/>
      <c r="AA5" s="4"/>
      <c r="AB5" s="4"/>
      <c r="AC5" s="4"/>
      <c r="AD5" s="4"/>
      <c r="AE5" s="4"/>
      <c r="AF5" s="4"/>
    </row>
    <row r="6">
      <c r="A6" s="4"/>
      <c r="B6" s="266" t="s">
        <v>448</v>
      </c>
      <c r="C6" s="266" t="s">
        <v>443</v>
      </c>
      <c r="D6" s="267">
        <f t="shared" ref="D6:D11" si="3">E6*$C$18</f>
        <v>0.9</v>
      </c>
      <c r="E6" s="267">
        <f>$C$15*G6/$C$19</f>
        <v>0.00025</v>
      </c>
      <c r="F6" s="269">
        <f t="shared" si="2"/>
        <v>30.01093649</v>
      </c>
      <c r="G6" s="268">
        <v>0.5</v>
      </c>
      <c r="H6" s="270">
        <f t="shared" si="1"/>
        <v>0.0003332118611</v>
      </c>
      <c r="I6" s="271">
        <v>40.0</v>
      </c>
      <c r="J6" s="271">
        <f>H6/$C$15*$C$19</f>
        <v>0.6664237222</v>
      </c>
      <c r="K6" s="4"/>
      <c r="L6" s="265" t="s">
        <v>449</v>
      </c>
      <c r="M6" s="275" t="s">
        <v>450</v>
      </c>
      <c r="N6" s="265"/>
      <c r="O6" s="34"/>
      <c r="P6" s="34"/>
      <c r="Q6" s="34"/>
      <c r="R6" s="4"/>
      <c r="S6" s="4"/>
      <c r="T6" s="4"/>
      <c r="U6" s="4"/>
      <c r="V6" s="4"/>
      <c r="W6" s="4"/>
      <c r="X6" s="4"/>
      <c r="Y6" s="4"/>
      <c r="Z6" s="4"/>
      <c r="AA6" s="4"/>
      <c r="AB6" s="4"/>
      <c r="AC6" s="4"/>
      <c r="AD6" s="4"/>
      <c r="AE6" s="4"/>
      <c r="AF6" s="4"/>
    </row>
    <row r="7">
      <c r="A7" s="4"/>
      <c r="B7" s="266" t="s">
        <v>451</v>
      </c>
      <c r="C7" s="266" t="s">
        <v>452</v>
      </c>
      <c r="D7" s="267">
        <f t="shared" si="3"/>
        <v>0.4498360125</v>
      </c>
      <c r="E7" s="273">
        <f t="shared" ref="E7:E8" si="4">DEGREES(ATAN(F7/($C$14*$C$19)))</f>
        <v>0.0001249544479</v>
      </c>
      <c r="F7" s="267">
        <v>15.0</v>
      </c>
      <c r="G7" s="265" t="s">
        <v>444</v>
      </c>
      <c r="H7" s="274">
        <f t="shared" si="1"/>
        <v>0.0002082574132</v>
      </c>
      <c r="I7" s="270">
        <v>25.0</v>
      </c>
      <c r="J7" s="276" t="s">
        <v>444</v>
      </c>
      <c r="K7" s="4"/>
      <c r="L7" s="4"/>
      <c r="M7" s="4"/>
      <c r="N7" s="4"/>
      <c r="O7" s="34"/>
      <c r="P7" s="34"/>
      <c r="Q7" s="34"/>
      <c r="R7" s="4"/>
      <c r="S7" s="4"/>
      <c r="T7" s="4"/>
      <c r="U7" s="4"/>
      <c r="V7" s="4"/>
      <c r="W7" s="4"/>
      <c r="X7" s="4"/>
      <c r="Y7" s="4"/>
      <c r="Z7" s="4"/>
      <c r="AA7" s="4"/>
      <c r="AB7" s="4"/>
      <c r="AC7" s="4"/>
      <c r="AD7" s="4"/>
      <c r="AE7" s="4"/>
      <c r="AF7" s="4"/>
    </row>
    <row r="8">
      <c r="A8" s="4"/>
      <c r="B8" s="266" t="s">
        <v>453</v>
      </c>
      <c r="C8" s="266" t="s">
        <v>452</v>
      </c>
      <c r="D8" s="267">
        <f t="shared" si="3"/>
        <v>0.6848918819</v>
      </c>
      <c r="E8" s="273">
        <f t="shared" si="4"/>
        <v>0.000190247745</v>
      </c>
      <c r="F8" s="267">
        <f>$C$16*G8/$C$19</f>
        <v>22.83805197</v>
      </c>
      <c r="G8" s="268">
        <v>3.0</v>
      </c>
      <c r="H8" s="274">
        <f t="shared" si="1"/>
        <v>0.0002499088958</v>
      </c>
      <c r="I8" s="270">
        <v>30.0</v>
      </c>
      <c r="J8" s="271">
        <f>I8/$C$16*$C$19</f>
        <v>3.940791453</v>
      </c>
      <c r="K8" s="4"/>
      <c r="L8" s="4"/>
      <c r="M8" s="4"/>
      <c r="N8" s="4"/>
      <c r="O8" s="34"/>
      <c r="P8" s="34"/>
      <c r="Q8" s="34"/>
      <c r="R8" s="4"/>
      <c r="S8" s="4"/>
      <c r="T8" s="4"/>
      <c r="U8" s="4"/>
      <c r="V8" s="4"/>
      <c r="W8" s="4"/>
      <c r="X8" s="4"/>
      <c r="Y8" s="4"/>
      <c r="Z8" s="4"/>
      <c r="AA8" s="4"/>
      <c r="AB8" s="4"/>
      <c r="AC8" s="4"/>
      <c r="AD8" s="4"/>
      <c r="AE8" s="4"/>
      <c r="AF8" s="4"/>
    </row>
    <row r="9">
      <c r="A9" s="4"/>
      <c r="B9" s="266" t="s">
        <v>454</v>
      </c>
      <c r="C9" s="266" t="s">
        <v>452</v>
      </c>
      <c r="D9" s="277">
        <f t="shared" si="3"/>
        <v>419.8463651</v>
      </c>
      <c r="E9" s="277">
        <f>DEGREES(ATAN(F9/($C$14*1000)))</f>
        <v>0.1166239903</v>
      </c>
      <c r="F9" s="277">
        <f>I9</f>
        <v>14000</v>
      </c>
      <c r="G9" s="266" t="s">
        <v>444</v>
      </c>
      <c r="H9" s="274">
        <f>DEGREES(ATAN(I9/($C$14*1000)))</f>
        <v>0.1166239903</v>
      </c>
      <c r="I9" s="270">
        <v>14000.0</v>
      </c>
      <c r="J9" s="276" t="s">
        <v>444</v>
      </c>
      <c r="K9" s="4"/>
      <c r="L9" s="4"/>
      <c r="M9" s="4"/>
      <c r="N9" s="4"/>
      <c r="O9" s="34"/>
      <c r="P9" s="34"/>
      <c r="Q9" s="34"/>
      <c r="R9" s="4"/>
      <c r="S9" s="4"/>
      <c r="T9" s="4"/>
      <c r="U9" s="4"/>
      <c r="V9" s="4"/>
      <c r="W9" s="4"/>
      <c r="X9" s="4"/>
      <c r="Y9" s="4"/>
      <c r="Z9" s="4"/>
      <c r="AA9" s="4"/>
      <c r="AB9" s="4"/>
      <c r="AC9" s="4"/>
      <c r="AD9" s="4"/>
      <c r="AE9" s="4"/>
      <c r="AF9" s="4"/>
    </row>
    <row r="10">
      <c r="A10" s="4"/>
      <c r="B10" s="278" t="s">
        <v>455</v>
      </c>
      <c r="C10" s="278"/>
      <c r="D10" s="279">
        <f t="shared" si="3"/>
        <v>21.24427204</v>
      </c>
      <c r="E10" s="280">
        <f t="shared" ref="E10:F10" si="5">H11-E11</f>
        <v>0.005901186678</v>
      </c>
      <c r="F10" s="281">
        <f t="shared" si="5"/>
        <v>708.4037671</v>
      </c>
      <c r="G10" s="278" t="s">
        <v>444</v>
      </c>
      <c r="H10" s="280">
        <f t="shared" ref="H10:I10" si="6">H11-SUM(H4:H9)</f>
        <v>0.004789883466</v>
      </c>
      <c r="I10" s="281">
        <f t="shared" si="6"/>
        <v>575</v>
      </c>
      <c r="J10" s="278" t="s">
        <v>444</v>
      </c>
      <c r="K10" s="4"/>
      <c r="L10" s="4"/>
      <c r="M10" s="4"/>
      <c r="N10" s="4"/>
      <c r="O10" s="34"/>
      <c r="P10" s="34"/>
      <c r="Q10" s="34"/>
      <c r="R10" s="4"/>
      <c r="S10" s="4"/>
      <c r="T10" s="4"/>
      <c r="U10" s="4"/>
      <c r="V10" s="4"/>
      <c r="W10" s="4"/>
      <c r="X10" s="4"/>
      <c r="Y10" s="4"/>
      <c r="Z10" s="4"/>
      <c r="AA10" s="4"/>
      <c r="AB10" s="4"/>
      <c r="AC10" s="4"/>
      <c r="AD10" s="4"/>
      <c r="AE10" s="4"/>
      <c r="AF10" s="4"/>
    </row>
    <row r="11">
      <c r="A11" s="4"/>
      <c r="B11" s="282" t="s">
        <v>456</v>
      </c>
      <c r="C11" s="283"/>
      <c r="D11" s="284">
        <f t="shared" si="3"/>
        <v>428.5910273</v>
      </c>
      <c r="E11" s="285">
        <f>DEGREES(ATAN(F11/($C$14*1000)))</f>
        <v>0.1190530631</v>
      </c>
      <c r="F11" s="286">
        <f>F4+F9+SQRT(F5^2+F6^2+F7^2+F8^2)</f>
        <v>14291.59623</v>
      </c>
      <c r="G11" s="284">
        <f>SQRT(G6^2+G8^2)</f>
        <v>3.041381265</v>
      </c>
      <c r="H11" s="285">
        <f>DEGREES(ATAN(I11/($C$14*1000)))</f>
        <v>0.1249542498</v>
      </c>
      <c r="I11" s="284">
        <v>15000.0</v>
      </c>
      <c r="J11" s="286">
        <f>J6+J8</f>
        <v>4.607215175</v>
      </c>
      <c r="K11" s="4"/>
      <c r="L11" s="4"/>
      <c r="M11" s="4"/>
      <c r="N11" s="4"/>
      <c r="O11" s="34"/>
      <c r="P11" s="34"/>
      <c r="Q11" s="34"/>
      <c r="R11" s="4"/>
      <c r="S11" s="4"/>
      <c r="T11" s="4"/>
      <c r="U11" s="4"/>
      <c r="V11" s="4"/>
      <c r="W11" s="4"/>
      <c r="X11" s="4"/>
      <c r="Y11" s="4"/>
      <c r="Z11" s="4"/>
      <c r="AA11" s="4"/>
      <c r="AB11" s="4"/>
      <c r="AC11" s="4"/>
      <c r="AD11" s="4"/>
      <c r="AE11" s="4"/>
      <c r="AF11" s="4"/>
    </row>
    <row r="12">
      <c r="A12" s="4"/>
      <c r="B12" s="287" t="s">
        <v>457</v>
      </c>
      <c r="C12" s="86"/>
      <c r="D12" s="86"/>
      <c r="E12" s="86"/>
      <c r="F12" s="86"/>
      <c r="G12" s="86"/>
      <c r="H12" s="86"/>
      <c r="I12" s="86"/>
      <c r="J12" s="88"/>
      <c r="K12" s="4"/>
      <c r="L12" s="4"/>
      <c r="M12" s="4"/>
      <c r="N12" s="4"/>
      <c r="O12" s="4"/>
      <c r="P12" s="4"/>
      <c r="Q12" s="4"/>
      <c r="R12" s="4"/>
      <c r="S12" s="4"/>
      <c r="T12" s="4"/>
      <c r="U12" s="4"/>
      <c r="V12" s="4"/>
      <c r="W12" s="4"/>
      <c r="X12" s="4"/>
      <c r="Y12" s="4"/>
      <c r="Z12" s="4"/>
      <c r="AA12" s="4"/>
      <c r="AB12" s="4"/>
      <c r="AC12" s="4"/>
      <c r="AD12" s="4"/>
      <c r="AE12" s="4"/>
      <c r="AF12" s="4"/>
    </row>
    <row r="13">
      <c r="A13" s="4"/>
      <c r="B13" s="276" t="s">
        <v>458</v>
      </c>
      <c r="C13" s="270">
        <v>500.0</v>
      </c>
      <c r="D13" s="276" t="s">
        <v>37</v>
      </c>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row>
    <row r="14">
      <c r="A14" s="4"/>
      <c r="B14" s="276" t="s">
        <v>459</v>
      </c>
      <c r="C14" s="270">
        <f>C13+6378</f>
        <v>6878</v>
      </c>
      <c r="D14" s="276" t="s">
        <v>37</v>
      </c>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row>
    <row r="15">
      <c r="A15" s="4"/>
      <c r="B15" s="276" t="s">
        <v>460</v>
      </c>
      <c r="C15" s="270">
        <v>0.5</v>
      </c>
      <c r="D15" s="276" t="s">
        <v>461</v>
      </c>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row>
    <row r="16">
      <c r="A16" s="4"/>
      <c r="B16" s="276" t="s">
        <v>462</v>
      </c>
      <c r="C16" s="271">
        <f>SQRT(398600441800000/(C14*C19))</f>
        <v>7612.683989</v>
      </c>
      <c r="D16" s="276" t="s">
        <v>463</v>
      </c>
      <c r="E16" s="4"/>
      <c r="F16" s="4"/>
      <c r="G16" s="4"/>
      <c r="H16" s="288"/>
      <c r="I16" s="289"/>
      <c r="J16" s="226"/>
      <c r="K16" s="4"/>
      <c r="L16" s="4"/>
      <c r="M16" s="4"/>
      <c r="N16" s="226"/>
      <c r="O16" s="4"/>
      <c r="P16" s="4"/>
      <c r="Q16" s="4"/>
      <c r="R16" s="4"/>
      <c r="S16" s="4"/>
      <c r="T16" s="4"/>
      <c r="U16" s="4"/>
      <c r="V16" s="4"/>
      <c r="W16" s="4"/>
      <c r="X16" s="4"/>
      <c r="Y16" s="4"/>
      <c r="Z16" s="4"/>
      <c r="AA16" s="4"/>
      <c r="AB16" s="4"/>
      <c r="AC16" s="4"/>
      <c r="AD16" s="4"/>
      <c r="AE16" s="4"/>
      <c r="AF16" s="4"/>
    </row>
    <row r="17">
      <c r="A17" s="4"/>
      <c r="B17" s="290" t="s">
        <v>464</v>
      </c>
      <c r="C17" s="291"/>
      <c r="D17" s="292"/>
      <c r="E17" s="4"/>
      <c r="F17" s="4"/>
      <c r="G17" s="4"/>
      <c r="H17" s="288"/>
      <c r="I17" s="293"/>
      <c r="J17" s="293"/>
      <c r="K17" s="52"/>
      <c r="L17" s="4"/>
      <c r="M17" s="4"/>
      <c r="N17" s="4"/>
      <c r="O17" s="4"/>
      <c r="P17" s="4"/>
      <c r="Q17" s="4"/>
      <c r="R17" s="4"/>
      <c r="S17" s="4"/>
      <c r="T17" s="4"/>
      <c r="U17" s="4"/>
      <c r="V17" s="4"/>
      <c r="W17" s="4"/>
      <c r="X17" s="4"/>
      <c r="Y17" s="4"/>
      <c r="Z17" s="4"/>
      <c r="AA17" s="4"/>
      <c r="AB17" s="4"/>
      <c r="AC17" s="4"/>
      <c r="AD17" s="4"/>
      <c r="AE17" s="4"/>
      <c r="AF17" s="4"/>
    </row>
    <row r="18">
      <c r="A18" s="4"/>
      <c r="B18" s="276" t="s">
        <v>465</v>
      </c>
      <c r="C18" s="270">
        <v>3600.0</v>
      </c>
      <c r="D18" s="294"/>
      <c r="E18" s="4"/>
      <c r="F18" s="4"/>
      <c r="G18" s="4"/>
      <c r="H18" s="288"/>
      <c r="I18" s="295"/>
      <c r="J18" s="293"/>
      <c r="K18" s="52"/>
      <c r="L18" s="4"/>
      <c r="M18" s="4"/>
      <c r="N18" s="4"/>
      <c r="O18" s="296"/>
      <c r="P18" s="4"/>
      <c r="Q18" s="4"/>
      <c r="R18" s="4"/>
      <c r="S18" s="4"/>
      <c r="T18" s="4"/>
      <c r="U18" s="4"/>
      <c r="V18" s="4"/>
      <c r="W18" s="4"/>
      <c r="X18" s="4"/>
      <c r="Y18" s="4"/>
      <c r="Z18" s="4"/>
      <c r="AA18" s="4"/>
      <c r="AB18" s="4"/>
      <c r="AC18" s="4"/>
      <c r="AD18" s="4"/>
      <c r="AE18" s="4"/>
      <c r="AF18" s="4"/>
    </row>
    <row r="19">
      <c r="A19" s="4"/>
      <c r="B19" s="276" t="s">
        <v>466</v>
      </c>
      <c r="C19" s="270">
        <v>1000.0</v>
      </c>
      <c r="D19" s="276"/>
      <c r="E19" s="4"/>
      <c r="F19" s="4"/>
      <c r="G19" s="4"/>
      <c r="H19" s="288"/>
      <c r="I19" s="4"/>
      <c r="J19" s="4"/>
      <c r="K19" s="52"/>
      <c r="L19" s="52"/>
      <c r="M19" s="52"/>
      <c r="N19" s="52"/>
      <c r="O19" s="4"/>
      <c r="P19" s="4"/>
      <c r="Q19" s="4"/>
      <c r="R19" s="4"/>
      <c r="S19" s="4"/>
      <c r="T19" s="4"/>
      <c r="U19" s="4"/>
      <c r="V19" s="4"/>
      <c r="W19" s="4"/>
      <c r="X19" s="4"/>
      <c r="Y19" s="4"/>
      <c r="Z19" s="4"/>
      <c r="AA19" s="4"/>
      <c r="AB19" s="4"/>
      <c r="AC19" s="4"/>
      <c r="AD19" s="4"/>
      <c r="AE19" s="4"/>
      <c r="AF19" s="4"/>
    </row>
    <row r="20">
      <c r="A20" s="4"/>
      <c r="B20" s="297" t="s">
        <v>467</v>
      </c>
      <c r="C20" s="61"/>
      <c r="D20" s="61"/>
      <c r="E20" s="61"/>
      <c r="F20" s="61"/>
      <c r="G20" s="61"/>
      <c r="H20" s="61"/>
      <c r="I20" s="61"/>
      <c r="J20" s="62"/>
      <c r="K20" s="52"/>
      <c r="L20" s="4"/>
      <c r="M20" s="4"/>
      <c r="N20" s="4"/>
      <c r="O20" s="4"/>
      <c r="P20" s="4"/>
      <c r="Q20" s="4"/>
      <c r="R20" s="4"/>
      <c r="S20" s="4"/>
      <c r="T20" s="4"/>
      <c r="U20" s="4"/>
      <c r="V20" s="4"/>
      <c r="W20" s="4"/>
      <c r="X20" s="4"/>
      <c r="Y20" s="4"/>
      <c r="Z20" s="4"/>
      <c r="AA20" s="4"/>
      <c r="AB20" s="4"/>
      <c r="AC20" s="4"/>
      <c r="AD20" s="4"/>
      <c r="AE20" s="4"/>
      <c r="AF20" s="4"/>
    </row>
    <row r="21" ht="15.75" customHeight="1">
      <c r="A21" s="4"/>
      <c r="B21" s="4"/>
      <c r="C21" s="4"/>
      <c r="D21" s="4"/>
      <c r="E21" s="4"/>
      <c r="F21" s="4"/>
      <c r="G21" s="4"/>
      <c r="H21" s="4"/>
      <c r="I21" s="4"/>
      <c r="J21" s="4"/>
      <c r="K21" s="226"/>
      <c r="L21" s="4"/>
      <c r="M21" s="4"/>
      <c r="N21" s="4"/>
      <c r="O21" s="4"/>
      <c r="P21" s="4"/>
      <c r="Q21" s="4"/>
      <c r="R21" s="4"/>
      <c r="S21" s="4"/>
      <c r="T21" s="4"/>
      <c r="U21" s="4"/>
      <c r="V21" s="4"/>
      <c r="W21" s="4"/>
      <c r="X21" s="4"/>
      <c r="Y21" s="4"/>
      <c r="Z21" s="4"/>
      <c r="AA21" s="4"/>
      <c r="AB21" s="4"/>
      <c r="AC21" s="4"/>
      <c r="AD21" s="4"/>
      <c r="AE21" s="4"/>
      <c r="AF21" s="4"/>
    </row>
    <row r="22" ht="15.75" customHeight="1">
      <c r="A22" s="4"/>
      <c r="B22" s="4"/>
      <c r="C22" s="4"/>
      <c r="D22" s="4"/>
      <c r="E22" s="4"/>
      <c r="F22" s="4"/>
      <c r="G22" s="4"/>
      <c r="H22" s="4"/>
      <c r="I22" s="4"/>
      <c r="J22" s="4"/>
      <c r="K22" s="226"/>
      <c r="L22" s="4"/>
      <c r="M22" s="4"/>
      <c r="N22" s="4"/>
      <c r="O22" s="4"/>
      <c r="P22" s="4"/>
      <c r="Q22" s="4"/>
      <c r="R22" s="4"/>
      <c r="S22" s="4"/>
      <c r="T22" s="4"/>
      <c r="U22" s="4"/>
      <c r="V22" s="4"/>
      <c r="W22" s="4"/>
      <c r="X22" s="4"/>
      <c r="Y22" s="4"/>
      <c r="Z22" s="4"/>
      <c r="AA22" s="4"/>
      <c r="AB22" s="4"/>
      <c r="AC22" s="4"/>
      <c r="AD22" s="4"/>
      <c r="AE22" s="4"/>
      <c r="AF22" s="4"/>
    </row>
    <row r="23" ht="15.75" customHeight="1">
      <c r="A23" s="4"/>
      <c r="B23" s="4"/>
      <c r="C23" s="4"/>
      <c r="D23" s="4"/>
      <c r="E23" s="4"/>
      <c r="F23" s="4"/>
      <c r="G23" s="4"/>
      <c r="H23" s="288"/>
      <c r="I23" s="4"/>
      <c r="J23" s="4"/>
      <c r="K23" s="52"/>
      <c r="L23" s="4"/>
      <c r="M23" s="4"/>
      <c r="N23" s="4"/>
      <c r="O23" s="4"/>
      <c r="P23" s="4"/>
      <c r="Q23" s="4"/>
      <c r="R23" s="4"/>
      <c r="S23" s="4"/>
      <c r="T23" s="4"/>
      <c r="U23" s="4"/>
      <c r="V23" s="4"/>
      <c r="W23" s="4"/>
      <c r="X23" s="4"/>
      <c r="Y23" s="4"/>
      <c r="Z23" s="4"/>
      <c r="AA23" s="4"/>
      <c r="AB23" s="4"/>
      <c r="AC23" s="4"/>
      <c r="AD23" s="4"/>
      <c r="AE23" s="4"/>
      <c r="AF23" s="4"/>
    </row>
    <row r="24" ht="15.75" customHeight="1">
      <c r="A24" s="4"/>
      <c r="B24" s="4"/>
      <c r="C24" s="4"/>
      <c r="D24" s="4"/>
      <c r="E24" s="4"/>
      <c r="F24" s="4"/>
      <c r="G24" s="4"/>
      <c r="H24" s="288"/>
      <c r="I24" s="4"/>
      <c r="J24" s="4"/>
      <c r="K24" s="52"/>
      <c r="L24" s="4"/>
      <c r="M24" s="4"/>
      <c r="N24" s="4"/>
      <c r="O24" s="4"/>
      <c r="P24" s="4"/>
      <c r="Q24" s="4"/>
      <c r="R24" s="4"/>
      <c r="S24" s="4"/>
      <c r="T24" s="4"/>
      <c r="U24" s="4"/>
      <c r="V24" s="4"/>
      <c r="W24" s="4"/>
      <c r="X24" s="4"/>
      <c r="Y24" s="4"/>
      <c r="Z24" s="4"/>
      <c r="AA24" s="4"/>
      <c r="AB24" s="4"/>
      <c r="AC24" s="4"/>
      <c r="AD24" s="4"/>
      <c r="AE24" s="4"/>
      <c r="AF24" s="4"/>
    </row>
    <row r="25" ht="15.75" customHeight="1">
      <c r="A25" s="34"/>
      <c r="B25" s="34"/>
      <c r="C25" s="34"/>
      <c r="D25" s="34"/>
      <c r="E25" s="34"/>
      <c r="F25" s="34"/>
      <c r="G25" s="34"/>
      <c r="H25" s="34"/>
      <c r="I25" s="34"/>
      <c r="J25" s="34"/>
      <c r="K25" s="34"/>
      <c r="L25" s="34"/>
      <c r="M25" s="34"/>
      <c r="N25" s="4"/>
      <c r="O25" s="4"/>
      <c r="P25" s="4"/>
      <c r="Q25" s="4"/>
      <c r="R25" s="4"/>
      <c r="S25" s="4"/>
      <c r="T25" s="4"/>
      <c r="U25" s="4"/>
      <c r="V25" s="4"/>
      <c r="W25" s="4"/>
      <c r="X25" s="4"/>
      <c r="Y25" s="4"/>
      <c r="Z25" s="4"/>
      <c r="AA25" s="4"/>
      <c r="AB25" s="4"/>
      <c r="AC25" s="4"/>
      <c r="AD25" s="4"/>
      <c r="AE25" s="4"/>
      <c r="AF25" s="4"/>
    </row>
    <row r="26" ht="15.75" customHeight="1">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row>
    <row r="27" ht="15.75" customHeight="1">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row>
    <row r="28" ht="15.75" customHeight="1">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row>
    <row r="29" ht="15.75" customHeight="1">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row>
    <row r="30" ht="15.75" customHeight="1">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row>
    <row r="31" ht="15.75" customHeight="1">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row>
    <row r="32" ht="15.75" customHeight="1">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row>
    <row r="33"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row>
    <row r="34"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row>
    <row r="35"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row>
    <row r="3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row>
    <row r="37"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row>
    <row r="38"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row>
    <row r="39"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row>
    <row r="40"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row>
    <row r="41"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row>
    <row r="42"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row>
    <row r="43"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row>
    <row r="44"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row>
    <row r="45"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row>
    <row r="4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row>
    <row r="47"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row>
    <row r="48"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row>
    <row r="49"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row>
    <row r="50"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row>
    <row r="51"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row>
    <row r="52"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row>
    <row r="53"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row>
    <row r="54"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row>
    <row r="55"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row>
    <row r="5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row>
    <row r="57"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row>
    <row r="58"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row>
    <row r="59"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row>
    <row r="60"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row>
    <row r="61"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row>
    <row r="62"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row>
    <row r="63"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row>
    <row r="64"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row>
    <row r="65"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row>
    <row r="6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row>
    <row r="6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row>
    <row r="68"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row>
    <row r="69"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row>
    <row r="7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row>
    <row r="71"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row>
    <row r="72"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row>
    <row r="73"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row>
    <row r="74"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row>
    <row r="75"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row>
    <row r="7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B2:J2"/>
    <mergeCell ref="L2:N2"/>
    <mergeCell ref="B12:J12"/>
    <mergeCell ref="B20:J20"/>
  </mergeCells>
  <hyperlinks>
    <hyperlink r:id="rId2" ref="B12"/>
  </hyperlinks>
  <printOptions/>
  <pageMargins bottom="0.75" footer="0.0" header="0.0" left="0.7" right="0.7" top="0.75"/>
  <pageSetup orientation="landscape"/>
  <drawing r:id="rId3"/>
  <legacyDrawing r:id="rId4"/>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outlineLevelRow="1"/>
  <cols>
    <col customWidth="1" min="1" max="1" width="36.13"/>
    <col customWidth="1" min="4" max="4" width="16.5"/>
    <col customWidth="1" min="5" max="5" width="18.5"/>
    <col customWidth="1" min="6" max="6" width="29.13"/>
    <col customWidth="1" min="7" max="7" width="3.63"/>
    <col customWidth="1" min="8" max="8" width="22.75"/>
    <col customWidth="1" min="9" max="9" width="29.0"/>
  </cols>
  <sheetData>
    <row r="1">
      <c r="A1" s="258" t="s">
        <v>468</v>
      </c>
      <c r="B1" s="259"/>
      <c r="C1" s="259"/>
      <c r="D1" s="259"/>
      <c r="E1" s="259"/>
      <c r="F1" s="260"/>
      <c r="G1" s="11"/>
      <c r="H1" s="300" t="s">
        <v>9</v>
      </c>
      <c r="I1" s="301"/>
      <c r="J1" s="11"/>
      <c r="K1" s="11"/>
      <c r="L1" s="11"/>
      <c r="M1" s="11"/>
      <c r="N1" s="11"/>
      <c r="O1" s="11"/>
      <c r="P1" s="11"/>
      <c r="Q1" s="11"/>
      <c r="R1" s="11"/>
      <c r="S1" s="11"/>
      <c r="T1" s="11"/>
      <c r="U1" s="11"/>
      <c r="V1" s="11"/>
      <c r="W1" s="11"/>
      <c r="X1" s="11"/>
      <c r="Y1" s="11"/>
      <c r="Z1" s="11"/>
      <c r="AA1" s="11"/>
      <c r="AB1" s="11"/>
      <c r="AC1" s="11"/>
      <c r="AD1" s="11"/>
    </row>
    <row r="2">
      <c r="A2" s="264" t="s">
        <v>431</v>
      </c>
      <c r="B2" s="264" t="s">
        <v>432</v>
      </c>
      <c r="C2" s="264" t="s">
        <v>469</v>
      </c>
      <c r="D2" s="264" t="s">
        <v>470</v>
      </c>
      <c r="E2" s="264" t="s">
        <v>471</v>
      </c>
      <c r="F2" s="264" t="s">
        <v>472</v>
      </c>
      <c r="G2" s="11"/>
      <c r="H2" s="276" t="s">
        <v>459</v>
      </c>
      <c r="I2" s="270">
        <v>500.0</v>
      </c>
      <c r="J2" s="276" t="s">
        <v>37</v>
      </c>
      <c r="K2" s="11"/>
      <c r="L2" s="11"/>
      <c r="M2" s="11"/>
      <c r="N2" s="11"/>
      <c r="O2" s="11"/>
      <c r="P2" s="11"/>
      <c r="Q2" s="11"/>
      <c r="R2" s="11"/>
      <c r="S2" s="11"/>
      <c r="T2" s="11"/>
      <c r="U2" s="11"/>
      <c r="V2" s="11"/>
      <c r="W2" s="11"/>
      <c r="X2" s="11"/>
      <c r="Y2" s="11"/>
      <c r="Z2" s="11"/>
      <c r="AA2" s="11"/>
      <c r="AB2" s="11"/>
      <c r="AC2" s="11"/>
      <c r="AD2" s="11"/>
    </row>
    <row r="3">
      <c r="A3" s="266" t="s">
        <v>473</v>
      </c>
      <c r="B3" s="266" t="s">
        <v>452</v>
      </c>
      <c r="C3" s="302">
        <f>$I$3</f>
        <v>15</v>
      </c>
      <c r="D3" s="269">
        <f t="shared" ref="D3:D9" si="1">E3*$I$5</f>
        <v>6.187944186</v>
      </c>
      <c r="E3" s="273">
        <f>DEGREES(ATAN(C3/($I$2*$I$6)))</f>
        <v>0.001718873385</v>
      </c>
      <c r="F3" s="303">
        <v>0.05</v>
      </c>
      <c r="G3" s="11"/>
      <c r="H3" s="276" t="s">
        <v>474</v>
      </c>
      <c r="I3" s="304">
        <v>15.0</v>
      </c>
      <c r="J3" s="276" t="s">
        <v>475</v>
      </c>
      <c r="K3" s="11"/>
      <c r="L3" s="11"/>
      <c r="M3" s="11"/>
      <c r="N3" s="11"/>
      <c r="O3" s="11"/>
      <c r="P3" s="11"/>
      <c r="Q3" s="11"/>
      <c r="R3" s="11"/>
      <c r="S3" s="11"/>
      <c r="T3" s="11"/>
      <c r="U3" s="11"/>
      <c r="V3" s="11"/>
      <c r="W3" s="11"/>
      <c r="X3" s="11"/>
      <c r="Y3" s="11"/>
      <c r="Z3" s="11"/>
      <c r="AA3" s="11"/>
      <c r="AB3" s="11"/>
      <c r="AC3" s="11"/>
      <c r="AD3" s="11"/>
    </row>
    <row r="4">
      <c r="A4" s="266" t="s">
        <v>476</v>
      </c>
      <c r="B4" s="266" t="s">
        <v>443</v>
      </c>
      <c r="C4" s="269">
        <f t="shared" ref="C4:C9" si="2">TAN(RADIANS(E4))*$I$2*$I$6</f>
        <v>2181.67541</v>
      </c>
      <c r="D4" s="267">
        <f t="shared" si="1"/>
        <v>900</v>
      </c>
      <c r="E4" s="273">
        <v>0.25</v>
      </c>
      <c r="F4" s="303">
        <v>0.5</v>
      </c>
      <c r="G4" s="11"/>
      <c r="H4" s="290" t="s">
        <v>464</v>
      </c>
      <c r="I4" s="291"/>
      <c r="J4" s="291"/>
      <c r="K4" s="11"/>
      <c r="L4" s="11"/>
      <c r="M4" s="11"/>
      <c r="N4" s="11"/>
      <c r="O4" s="11"/>
      <c r="P4" s="11"/>
      <c r="Q4" s="11"/>
      <c r="R4" s="11"/>
      <c r="S4" s="11"/>
      <c r="T4" s="11"/>
      <c r="U4" s="11"/>
      <c r="V4" s="11"/>
      <c r="W4" s="11"/>
      <c r="X4" s="11"/>
      <c r="Y4" s="11"/>
      <c r="Z4" s="11"/>
      <c r="AA4" s="11"/>
      <c r="AB4" s="11"/>
      <c r="AC4" s="11"/>
      <c r="AD4" s="11"/>
    </row>
    <row r="5">
      <c r="A5" s="266" t="s">
        <v>477</v>
      </c>
      <c r="B5" s="266" t="s">
        <v>443</v>
      </c>
      <c r="C5" s="269">
        <f t="shared" si="2"/>
        <v>436.3324238</v>
      </c>
      <c r="D5" s="305">
        <f t="shared" si="1"/>
        <v>180</v>
      </c>
      <c r="E5" s="273">
        <v>0.05</v>
      </c>
      <c r="F5" s="303">
        <v>0.1</v>
      </c>
      <c r="G5" s="11"/>
      <c r="H5" s="276" t="s">
        <v>465</v>
      </c>
      <c r="I5" s="270">
        <v>3600.0</v>
      </c>
      <c r="J5" s="306"/>
      <c r="K5" s="11"/>
      <c r="L5" s="11"/>
      <c r="M5" s="11"/>
      <c r="N5" s="11"/>
      <c r="O5" s="11"/>
      <c r="P5" s="11"/>
      <c r="Q5" s="11"/>
      <c r="R5" s="11"/>
      <c r="S5" s="11"/>
      <c r="T5" s="11"/>
      <c r="U5" s="11"/>
      <c r="V5" s="11"/>
      <c r="W5" s="11"/>
      <c r="X5" s="11"/>
      <c r="Y5" s="11"/>
      <c r="Z5" s="11"/>
      <c r="AA5" s="11"/>
      <c r="AB5" s="11"/>
      <c r="AC5" s="11"/>
      <c r="AD5" s="11"/>
    </row>
    <row r="6">
      <c r="A6" s="266" t="s">
        <v>478</v>
      </c>
      <c r="B6" s="266" t="s">
        <v>443</v>
      </c>
      <c r="C6" s="269">
        <f t="shared" si="2"/>
        <v>872.6655121</v>
      </c>
      <c r="D6" s="267">
        <f t="shared" si="1"/>
        <v>360</v>
      </c>
      <c r="E6" s="273">
        <v>0.1</v>
      </c>
      <c r="F6" s="303">
        <v>0.25</v>
      </c>
      <c r="G6" s="11"/>
      <c r="H6" s="276" t="s">
        <v>466</v>
      </c>
      <c r="I6" s="270">
        <v>1000.0</v>
      </c>
      <c r="J6" s="307"/>
      <c r="K6" s="11"/>
      <c r="L6" s="11"/>
      <c r="M6" s="11"/>
      <c r="N6" s="11"/>
      <c r="O6" s="11"/>
      <c r="P6" s="11"/>
      <c r="Q6" s="11"/>
      <c r="R6" s="11"/>
      <c r="S6" s="11"/>
      <c r="T6" s="11"/>
      <c r="U6" s="11"/>
      <c r="V6" s="11"/>
      <c r="W6" s="11"/>
      <c r="X6" s="11"/>
      <c r="Y6" s="11"/>
      <c r="Z6" s="11"/>
      <c r="AA6" s="11"/>
      <c r="AB6" s="11"/>
      <c r="AC6" s="11"/>
      <c r="AD6" s="11"/>
    </row>
    <row r="7">
      <c r="A7" s="266" t="s">
        <v>479</v>
      </c>
      <c r="B7" s="266" t="s">
        <v>443</v>
      </c>
      <c r="C7" s="269">
        <f t="shared" si="2"/>
        <v>1308.99993</v>
      </c>
      <c r="D7" s="267">
        <f t="shared" si="1"/>
        <v>540</v>
      </c>
      <c r="E7" s="273">
        <v>0.15</v>
      </c>
      <c r="F7" s="303">
        <v>0.25</v>
      </c>
      <c r="G7" s="11"/>
      <c r="H7" s="11"/>
      <c r="I7" s="11"/>
      <c r="J7" s="11"/>
      <c r="K7" s="11"/>
      <c r="L7" s="11"/>
      <c r="M7" s="11"/>
      <c r="N7" s="11"/>
      <c r="O7" s="11"/>
      <c r="P7" s="11"/>
      <c r="Q7" s="11"/>
      <c r="R7" s="11"/>
      <c r="S7" s="11"/>
      <c r="T7" s="11"/>
      <c r="U7" s="11"/>
      <c r="V7" s="11"/>
      <c r="W7" s="11"/>
      <c r="X7" s="11"/>
      <c r="Y7" s="11"/>
      <c r="Z7" s="11"/>
      <c r="AA7" s="11"/>
      <c r="AB7" s="11"/>
      <c r="AC7" s="11"/>
      <c r="AD7" s="11"/>
    </row>
    <row r="8">
      <c r="A8" s="266" t="s">
        <v>446</v>
      </c>
      <c r="B8" s="266" t="s">
        <v>443</v>
      </c>
      <c r="C8" s="269">
        <f t="shared" si="2"/>
        <v>24.24262333</v>
      </c>
      <c r="D8" s="267">
        <f t="shared" si="1"/>
        <v>10.0008</v>
      </c>
      <c r="E8" s="273">
        <v>0.002778</v>
      </c>
      <c r="F8" s="303">
        <v>0.1</v>
      </c>
      <c r="G8" s="11"/>
      <c r="H8" s="261" t="s">
        <v>430</v>
      </c>
      <c r="I8" s="262"/>
      <c r="J8" s="263"/>
      <c r="K8" s="11"/>
      <c r="L8" s="11"/>
      <c r="M8" s="11"/>
      <c r="N8" s="11"/>
      <c r="O8" s="11"/>
      <c r="P8" s="11"/>
      <c r="Q8" s="11"/>
      <c r="R8" s="11"/>
      <c r="S8" s="11"/>
      <c r="T8" s="11"/>
      <c r="U8" s="11"/>
      <c r="V8" s="11"/>
      <c r="W8" s="11"/>
      <c r="X8" s="11"/>
      <c r="Y8" s="11"/>
      <c r="Z8" s="11"/>
      <c r="AA8" s="11"/>
      <c r="AB8" s="11"/>
      <c r="AC8" s="11"/>
      <c r="AD8" s="11"/>
    </row>
    <row r="9">
      <c r="A9" s="266" t="s">
        <v>480</v>
      </c>
      <c r="B9" s="266" t="s">
        <v>443</v>
      </c>
      <c r="C9" s="269">
        <f t="shared" si="2"/>
        <v>43744.33176</v>
      </c>
      <c r="D9" s="267">
        <f t="shared" si="1"/>
        <v>18000</v>
      </c>
      <c r="E9" s="273">
        <v>5.0</v>
      </c>
      <c r="F9" s="303">
        <v>6.25</v>
      </c>
      <c r="G9" s="11"/>
      <c r="H9" s="265" t="s">
        <v>440</v>
      </c>
      <c r="I9" s="265" t="s">
        <v>481</v>
      </c>
      <c r="J9" s="308"/>
      <c r="K9" s="11"/>
      <c r="L9" s="11"/>
      <c r="M9" s="11"/>
      <c r="N9" s="11"/>
      <c r="O9" s="11"/>
      <c r="P9" s="11"/>
      <c r="Q9" s="11"/>
      <c r="R9" s="11"/>
      <c r="S9" s="11"/>
      <c r="T9" s="11"/>
      <c r="U9" s="11"/>
      <c r="V9" s="11"/>
      <c r="W9" s="11"/>
      <c r="X9" s="11"/>
      <c r="Y9" s="11"/>
      <c r="Z9" s="11"/>
      <c r="AA9" s="11"/>
      <c r="AB9" s="11"/>
      <c r="AC9" s="11"/>
      <c r="AD9" s="11"/>
    </row>
    <row r="10">
      <c r="A10" s="309"/>
      <c r="B10" s="309"/>
      <c r="C10" s="310"/>
      <c r="D10" s="309"/>
      <c r="E10" s="309"/>
      <c r="F10" s="311"/>
      <c r="G10" s="11"/>
      <c r="H10" s="265" t="s">
        <v>482</v>
      </c>
      <c r="I10" s="273">
        <f>E12</f>
        <v>5.551719645</v>
      </c>
      <c r="J10" s="308"/>
      <c r="K10" s="11"/>
      <c r="L10" s="11"/>
      <c r="M10" s="11"/>
      <c r="N10" s="11"/>
      <c r="O10" s="11"/>
      <c r="P10" s="11"/>
      <c r="Q10" s="11"/>
      <c r="R10" s="11"/>
      <c r="S10" s="11"/>
      <c r="T10" s="11"/>
      <c r="U10" s="11"/>
      <c r="V10" s="11"/>
      <c r="W10" s="11"/>
      <c r="X10" s="11"/>
      <c r="Y10" s="11"/>
      <c r="Z10" s="11"/>
      <c r="AA10" s="11"/>
      <c r="AB10" s="11"/>
      <c r="AC10" s="11"/>
      <c r="AD10" s="11"/>
    </row>
    <row r="11">
      <c r="A11" s="278" t="s">
        <v>483</v>
      </c>
      <c r="B11" s="312"/>
      <c r="C11" s="313">
        <f>TAN(RADIANS(E11))*I2*I6</f>
        <v>21378.28973</v>
      </c>
      <c r="D11" s="279">
        <f>E11*I5</f>
        <v>8813.809278</v>
      </c>
      <c r="E11" s="314">
        <f>F12-E12</f>
        <v>2.448280355</v>
      </c>
      <c r="F11" s="314">
        <f>F12-SUM(F3:F9)</f>
        <v>0.5</v>
      </c>
      <c r="G11" s="11"/>
      <c r="H11" s="265" t="s">
        <v>449</v>
      </c>
      <c r="I11" s="275" t="str">
        <f>"Budget: "&amp;TEXT(E12,"0.0000")&amp;" deg &lt;= "&amp;TEXT(F12,"0.0")&amp;" deg"</f>
        <v>Budget: 5.5517 deg &lt;= 8.0 deg</v>
      </c>
      <c r="J11" s="308"/>
      <c r="K11" s="11"/>
      <c r="L11" s="11"/>
      <c r="M11" s="11"/>
      <c r="N11" s="11"/>
      <c r="O11" s="11"/>
      <c r="P11" s="11"/>
      <c r="Q11" s="11"/>
      <c r="R11" s="11"/>
      <c r="S11" s="11"/>
      <c r="T11" s="11"/>
      <c r="U11" s="11"/>
      <c r="V11" s="11"/>
      <c r="W11" s="11"/>
      <c r="X11" s="11"/>
      <c r="Y11" s="11"/>
      <c r="Z11" s="11"/>
      <c r="AA11" s="11"/>
      <c r="AB11" s="11"/>
      <c r="AC11" s="11"/>
      <c r="AD11" s="11"/>
    </row>
    <row r="12">
      <c r="A12" s="282" t="s">
        <v>456</v>
      </c>
      <c r="B12" s="315"/>
      <c r="C12" s="286">
        <f>TAN(RADIANS(E12))*I2*I6</f>
        <v>48600.08749</v>
      </c>
      <c r="D12" s="284">
        <f>E12*I5</f>
        <v>19986.19072</v>
      </c>
      <c r="E12" s="285">
        <f>SUM(E3:E7)+SQRT(E8^2+E9^2)</f>
        <v>5.551719645</v>
      </c>
      <c r="F12" s="316">
        <v>8.0</v>
      </c>
      <c r="G12" s="11"/>
      <c r="H12" s="11"/>
      <c r="I12" s="11"/>
      <c r="J12" s="11"/>
      <c r="K12" s="11"/>
      <c r="L12" s="11"/>
      <c r="M12" s="11"/>
      <c r="N12" s="11"/>
      <c r="O12" s="11"/>
      <c r="P12" s="11"/>
      <c r="Q12" s="11"/>
      <c r="R12" s="11"/>
      <c r="S12" s="11"/>
      <c r="T12" s="11"/>
      <c r="U12" s="11"/>
      <c r="V12" s="11"/>
      <c r="W12" s="11"/>
      <c r="X12" s="11"/>
      <c r="Y12" s="11"/>
      <c r="Z12" s="11"/>
      <c r="AA12" s="11"/>
      <c r="AB12" s="11"/>
      <c r="AC12" s="11"/>
      <c r="AD12" s="11"/>
    </row>
    <row r="13">
      <c r="A13" s="287" t="s">
        <v>484</v>
      </c>
      <c r="B13" s="86"/>
      <c r="C13" s="86"/>
      <c r="D13" s="86"/>
      <c r="E13" s="86"/>
      <c r="F13" s="88"/>
      <c r="G13" s="11"/>
      <c r="H13" s="326" t="s">
        <v>491</v>
      </c>
      <c r="I13" s="328"/>
      <c r="J13" s="331"/>
      <c r="K13" s="11"/>
      <c r="L13" s="11"/>
      <c r="M13" s="11"/>
      <c r="N13" s="11"/>
      <c r="O13" s="11"/>
      <c r="P13" s="11"/>
      <c r="Q13" s="11"/>
      <c r="R13" s="11"/>
      <c r="S13" s="11"/>
      <c r="T13" s="11"/>
      <c r="U13" s="11"/>
      <c r="V13" s="11"/>
      <c r="W13" s="11"/>
      <c r="X13" s="11"/>
      <c r="Y13" s="11"/>
      <c r="Z13" s="11"/>
      <c r="AA13" s="11"/>
      <c r="AB13" s="11"/>
      <c r="AC13" s="11"/>
      <c r="AD13" s="11"/>
    </row>
    <row r="14">
      <c r="A14" s="335" t="s">
        <v>496</v>
      </c>
      <c r="B14" s="61"/>
      <c r="C14" s="61"/>
      <c r="D14" s="61"/>
      <c r="E14" s="61"/>
      <c r="F14" s="62"/>
      <c r="G14" s="11"/>
      <c r="H14" s="338" t="s">
        <v>499</v>
      </c>
      <c r="I14" s="338" t="s">
        <v>500</v>
      </c>
      <c r="J14" s="338" t="s">
        <v>501</v>
      </c>
      <c r="K14" s="11"/>
      <c r="L14" s="11"/>
      <c r="M14" s="11"/>
      <c r="N14" s="11"/>
      <c r="O14" s="11"/>
      <c r="P14" s="11"/>
      <c r="Q14" s="11"/>
      <c r="R14" s="11"/>
      <c r="S14" s="11"/>
      <c r="T14" s="11"/>
      <c r="U14" s="11"/>
      <c r="V14" s="11"/>
      <c r="W14" s="11"/>
      <c r="X14" s="11"/>
      <c r="Y14" s="11"/>
      <c r="Z14" s="11"/>
      <c r="AA14" s="11"/>
      <c r="AB14" s="11"/>
      <c r="AC14" s="11"/>
      <c r="AD14" s="11"/>
    </row>
    <row r="15">
      <c r="A15" s="261" t="s">
        <v>503</v>
      </c>
      <c r="B15" s="262"/>
      <c r="C15" s="262"/>
      <c r="D15" s="262"/>
      <c r="E15" s="262"/>
      <c r="F15" s="263"/>
      <c r="G15" s="11"/>
      <c r="H15" s="338" t="s">
        <v>507</v>
      </c>
      <c r="I15" s="345">
        <v>10.0</v>
      </c>
      <c r="J15" s="338" t="s">
        <v>461</v>
      </c>
      <c r="K15" s="11"/>
      <c r="L15" s="11"/>
      <c r="M15" s="11"/>
      <c r="N15" s="11"/>
      <c r="O15" s="11"/>
      <c r="P15" s="11"/>
      <c r="Q15" s="11"/>
      <c r="R15" s="11"/>
      <c r="S15" s="11"/>
      <c r="T15" s="11"/>
      <c r="U15" s="11"/>
      <c r="V15" s="11"/>
      <c r="W15" s="11"/>
      <c r="X15" s="11"/>
      <c r="Y15" s="11"/>
      <c r="Z15" s="11"/>
      <c r="AA15" s="11"/>
      <c r="AB15" s="11"/>
      <c r="AC15" s="11"/>
      <c r="AD15" s="11"/>
    </row>
    <row r="16">
      <c r="A16" s="264" t="s">
        <v>303</v>
      </c>
      <c r="B16" s="264" t="s">
        <v>509</v>
      </c>
      <c r="C16" s="264" t="s">
        <v>510</v>
      </c>
      <c r="D16" s="264" t="s">
        <v>511</v>
      </c>
      <c r="E16" s="264" t="s">
        <v>512</v>
      </c>
      <c r="F16" s="264" t="s">
        <v>513</v>
      </c>
      <c r="G16" s="11"/>
      <c r="H16" s="338" t="s">
        <v>514</v>
      </c>
      <c r="I16" s="347" t="s">
        <v>515</v>
      </c>
      <c r="J16" s="338" t="s">
        <v>461</v>
      </c>
      <c r="K16" s="11"/>
      <c r="L16" s="11"/>
      <c r="M16" s="11"/>
      <c r="N16" s="11"/>
      <c r="O16" s="11"/>
      <c r="P16" s="11"/>
      <c r="Q16" s="11"/>
      <c r="R16" s="11"/>
      <c r="S16" s="11"/>
      <c r="T16" s="11"/>
      <c r="U16" s="11"/>
      <c r="V16" s="11"/>
      <c r="W16" s="11"/>
      <c r="X16" s="11"/>
      <c r="Y16" s="11"/>
      <c r="Z16" s="11"/>
      <c r="AA16" s="11"/>
      <c r="AB16" s="11"/>
      <c r="AC16" s="11"/>
      <c r="AD16" s="11"/>
    </row>
    <row r="17">
      <c r="A17" s="276" t="s">
        <v>517</v>
      </c>
      <c r="B17" s="270">
        <v>20.0</v>
      </c>
      <c r="C17" s="270">
        <f t="shared" ref="C17:C18" si="3">B17/2</f>
        <v>10</v>
      </c>
      <c r="D17" s="271">
        <v>0.8</v>
      </c>
      <c r="E17" s="270">
        <f t="shared" ref="E17:E18" si="4">C17*D17</f>
        <v>8</v>
      </c>
      <c r="F17" s="276" t="s">
        <v>520</v>
      </c>
      <c r="G17" s="11"/>
      <c r="H17" s="338" t="s">
        <v>522</v>
      </c>
      <c r="I17" s="352">
        <v>110.0</v>
      </c>
      <c r="J17" s="338" t="s">
        <v>56</v>
      </c>
      <c r="K17" s="11"/>
      <c r="L17" s="11"/>
      <c r="M17" s="11"/>
      <c r="N17" s="11"/>
      <c r="O17" s="11"/>
      <c r="P17" s="11"/>
      <c r="Q17" s="11"/>
      <c r="R17" s="11"/>
      <c r="S17" s="11"/>
      <c r="T17" s="11"/>
      <c r="U17" s="11"/>
      <c r="V17" s="11"/>
      <c r="W17" s="11"/>
      <c r="X17" s="11"/>
      <c r="Y17" s="11"/>
      <c r="Z17" s="11"/>
      <c r="AA17" s="11"/>
      <c r="AB17" s="11"/>
      <c r="AC17" s="11"/>
      <c r="AD17" s="11"/>
    </row>
    <row r="18">
      <c r="A18" s="276" t="s">
        <v>524</v>
      </c>
      <c r="B18" s="270">
        <v>76.0</v>
      </c>
      <c r="C18" s="270">
        <f t="shared" si="3"/>
        <v>38</v>
      </c>
      <c r="D18" s="270">
        <v>0.8</v>
      </c>
      <c r="E18" s="270">
        <f t="shared" si="4"/>
        <v>30.4</v>
      </c>
      <c r="F18" s="276" t="s">
        <v>526</v>
      </c>
      <c r="G18" s="11"/>
      <c r="H18" s="338" t="s">
        <v>527</v>
      </c>
      <c r="I18" s="354" t="s">
        <v>528</v>
      </c>
      <c r="J18" s="338" t="s">
        <v>56</v>
      </c>
      <c r="K18" s="11"/>
      <c r="L18" s="11"/>
      <c r="M18" s="11"/>
      <c r="N18" s="11"/>
      <c r="O18" s="11"/>
      <c r="P18" s="11"/>
      <c r="Q18" s="11"/>
      <c r="R18" s="11"/>
      <c r="S18" s="11"/>
      <c r="T18" s="11"/>
      <c r="U18" s="11"/>
      <c r="V18" s="11"/>
      <c r="W18" s="11"/>
      <c r="X18" s="11"/>
      <c r="Y18" s="11"/>
      <c r="Z18" s="11"/>
      <c r="AA18" s="11"/>
      <c r="AB18" s="11"/>
      <c r="AC18" s="11"/>
      <c r="AD18" s="11"/>
    </row>
    <row r="19">
      <c r="A19" s="356" t="s">
        <v>530</v>
      </c>
      <c r="B19" s="312"/>
      <c r="C19" s="312"/>
      <c r="D19" s="312"/>
      <c r="E19" s="357">
        <f>E17</f>
        <v>8</v>
      </c>
      <c r="F19" s="356" t="s">
        <v>531</v>
      </c>
      <c r="G19" s="11"/>
      <c r="H19" s="338" t="s">
        <v>532</v>
      </c>
      <c r="I19" s="359">
        <f>1440-I17</f>
        <v>1330</v>
      </c>
      <c r="J19" s="338" t="s">
        <v>56</v>
      </c>
      <c r="K19" s="11"/>
      <c r="L19" s="11"/>
      <c r="M19" s="11"/>
      <c r="N19" s="11"/>
      <c r="O19" s="11"/>
      <c r="P19" s="11"/>
      <c r="Q19" s="11"/>
      <c r="R19" s="11"/>
      <c r="S19" s="11"/>
      <c r="T19" s="11"/>
      <c r="U19" s="11"/>
      <c r="V19" s="11"/>
      <c r="W19" s="11"/>
      <c r="X19" s="11"/>
      <c r="Y19" s="11"/>
      <c r="Z19" s="11"/>
      <c r="AA19" s="11"/>
      <c r="AB19" s="11"/>
      <c r="AC19" s="11"/>
      <c r="AD19" s="11"/>
    </row>
    <row r="20" ht="13.5" customHeight="1">
      <c r="A20" s="11"/>
      <c r="B20" s="11"/>
      <c r="C20" s="11"/>
      <c r="D20" s="11"/>
      <c r="E20" s="11"/>
      <c r="F20" s="11"/>
      <c r="G20" s="11"/>
      <c r="H20" s="338" t="s">
        <v>534</v>
      </c>
      <c r="I20" s="338" t="s">
        <v>535</v>
      </c>
      <c r="J20" s="338" t="s">
        <v>537</v>
      </c>
      <c r="K20" s="11"/>
      <c r="L20" s="11"/>
      <c r="M20" s="11"/>
      <c r="N20" s="11"/>
      <c r="O20" s="11"/>
      <c r="P20" s="11"/>
      <c r="Q20" s="11"/>
      <c r="R20" s="11"/>
      <c r="S20" s="11"/>
      <c r="T20" s="11"/>
      <c r="U20" s="11"/>
      <c r="V20" s="11"/>
      <c r="W20" s="11"/>
      <c r="X20" s="11"/>
      <c r="Y20" s="11"/>
      <c r="Z20" s="11"/>
      <c r="AA20" s="11"/>
      <c r="AB20" s="11"/>
      <c r="AC20" s="11"/>
      <c r="AD20" s="11"/>
    </row>
    <row r="21" ht="15.75" customHeight="1">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row>
    <row r="22" ht="15.75" customHeight="1">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row>
    <row r="23" ht="15.75" customHeight="1">
      <c r="A23" s="326" t="s">
        <v>542</v>
      </c>
      <c r="B23" s="328"/>
      <c r="C23" s="328"/>
      <c r="D23" s="328"/>
      <c r="E23" s="33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row>
    <row r="24" ht="15.75" customHeight="1">
      <c r="A24" s="367" t="s">
        <v>545</v>
      </c>
      <c r="B24" s="367" t="s">
        <v>547</v>
      </c>
      <c r="C24" s="367" t="s">
        <v>549</v>
      </c>
      <c r="D24" s="367" t="s">
        <v>551</v>
      </c>
      <c r="E24" s="367" t="s">
        <v>552</v>
      </c>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row>
    <row r="25" ht="15.75" customHeight="1">
      <c r="A25" s="369" t="s">
        <v>554</v>
      </c>
      <c r="B25" s="369" t="s">
        <v>555</v>
      </c>
      <c r="C25" s="369" t="str">
        <f>TEXT($I$17,"0")&amp;" min; "&amp;TEXT($I$19,"#,##0")&amp;" min margin"</f>
        <v>110 min; 1,330 min margin</v>
      </c>
      <c r="D25" s="369" t="s">
        <v>557</v>
      </c>
      <c r="E25" s="369" t="s">
        <v>558</v>
      </c>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row>
    <row r="26" ht="15.75" customHeight="1">
      <c r="A26" s="369" t="s">
        <v>560</v>
      </c>
      <c r="B26" s="369" t="str">
        <f>"&lt;= "&amp;TEXT($E$19,"0.0")&amp;" deg"</f>
        <v>&lt;= 8.0 deg</v>
      </c>
      <c r="C26" s="369" t="str">
        <f>TEXT($E$12,"0.0000")&amp;" deg; "&amp;TEXT($E$11,"0.0000")&amp;" deg margin"</f>
        <v>5.5517 deg; 2.4483 deg margin</v>
      </c>
      <c r="D26" s="369" t="s">
        <v>565</v>
      </c>
      <c r="E26" s="369" t="s">
        <v>566</v>
      </c>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row>
    <row r="27" ht="15.75" customHeight="1">
      <c r="A27" s="369" t="s">
        <v>568</v>
      </c>
      <c r="B27" s="369" t="s">
        <v>569</v>
      </c>
      <c r="C27" s="369" t="str">
        <f>TEXT($B$41,"0.00")&amp;" deg/s design gate"</f>
        <v>0.45 deg/s design gate</v>
      </c>
      <c r="D27" s="369" t="s">
        <v>576</v>
      </c>
      <c r="E27" s="369" t="s">
        <v>577</v>
      </c>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row>
    <row r="28" ht="15.75" customHeight="1">
      <c r="A28" s="369" t="s">
        <v>579</v>
      </c>
      <c r="B28" s="369" t="s">
        <v>580</v>
      </c>
      <c r="C28" s="369" t="str">
        <f>"61 deg command gate gives &gt;= "&amp;TEXT(61-$E$12,"0.000")&amp;" deg"</f>
        <v>61 deg command gate gives &gt;= 55.448 deg</v>
      </c>
      <c r="D28" s="369" t="s">
        <v>582</v>
      </c>
      <c r="E28" s="369" t="s">
        <v>583</v>
      </c>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row>
    <row r="29" ht="15.75" customHeight="1">
      <c r="A29" s="369" t="s">
        <v>585</v>
      </c>
      <c r="B29" s="369" t="s">
        <v>586</v>
      </c>
      <c r="C29" s="369" t="s">
        <v>587</v>
      </c>
      <c r="D29" s="369" t="s">
        <v>588</v>
      </c>
      <c r="E29" s="369" t="s">
        <v>590</v>
      </c>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row>
    <row r="30" ht="15.75" customHeight="1">
      <c r="A30" s="369" t="s">
        <v>591</v>
      </c>
      <c r="B30" s="369" t="s">
        <v>592</v>
      </c>
      <c r="C30" s="369" t="s">
        <v>593</v>
      </c>
      <c r="D30" s="369" t="s">
        <v>595</v>
      </c>
      <c r="E30" s="369" t="s">
        <v>596</v>
      </c>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row>
    <row r="31" ht="15.75" customHeight="1">
      <c r="A31" s="369" t="s">
        <v>598</v>
      </c>
      <c r="B31" s="369" t="s">
        <v>599</v>
      </c>
      <c r="C31" s="369" t="str">
        <f>TEXT($E$12,"0.0000")&amp;" deg; "&amp;TEXT(10-$E$12,"0.0000")&amp;" deg margin"</f>
        <v>5.5517 deg; 4.4483 deg margin</v>
      </c>
      <c r="D31" s="369" t="s">
        <v>601</v>
      </c>
      <c r="E31" s="369" t="s">
        <v>602</v>
      </c>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row>
    <row r="32" ht="15.75" customHeight="1">
      <c r="A32" s="369" t="s">
        <v>604</v>
      </c>
      <c r="B32" s="369" t="s">
        <v>605</v>
      </c>
      <c r="C32" s="369" t="str">
        <f>"FOUND "&amp;TEXT($B$37,"0")&amp;" deg used for blur"</f>
        <v>FOUND 76 deg used for blur</v>
      </c>
      <c r="D32" s="369" t="s">
        <v>608</v>
      </c>
      <c r="E32" s="369" t="s">
        <v>609</v>
      </c>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row>
    <row r="33" ht="15.75" customHeight="1">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row>
    <row r="34" ht="15.75" customHeight="1">
      <c r="A34" s="326" t="s">
        <v>611</v>
      </c>
      <c r="B34" s="328"/>
      <c r="C34" s="328"/>
      <c r="D34" s="328"/>
      <c r="E34" s="33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row>
    <row r="35" ht="15.75" customHeight="1">
      <c r="A35" s="367" t="s">
        <v>614</v>
      </c>
      <c r="B35" s="367" t="s">
        <v>32</v>
      </c>
      <c r="C35" s="367" t="s">
        <v>489</v>
      </c>
      <c r="D35" s="367" t="s">
        <v>615</v>
      </c>
      <c r="E35" s="367" t="s">
        <v>616</v>
      </c>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row>
    <row r="36" ht="15.75" customHeight="1">
      <c r="A36" s="369" t="s">
        <v>617</v>
      </c>
      <c r="B36" s="384">
        <v>2.0</v>
      </c>
      <c r="C36" s="369" t="s">
        <v>620</v>
      </c>
      <c r="D36" s="369" t="s">
        <v>621</v>
      </c>
      <c r="E36" s="369" t="s">
        <v>622</v>
      </c>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row>
    <row r="37" ht="15.75" customHeight="1">
      <c r="A37" s="369" t="s">
        <v>623</v>
      </c>
      <c r="B37" s="386">
        <v>76.0</v>
      </c>
      <c r="C37" s="369" t="s">
        <v>531</v>
      </c>
      <c r="D37" s="369" t="s">
        <v>624</v>
      </c>
      <c r="E37" s="369" t="s">
        <v>625</v>
      </c>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row>
    <row r="38" ht="15.75" customHeight="1">
      <c r="A38" s="369" t="s">
        <v>626</v>
      </c>
      <c r="B38" s="386">
        <v>1280.0</v>
      </c>
      <c r="C38" s="369" t="s">
        <v>627</v>
      </c>
      <c r="D38" s="369" t="s">
        <v>628</v>
      </c>
      <c r="E38" s="369" t="s">
        <v>629</v>
      </c>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row>
    <row r="39" ht="15.75" customHeight="1">
      <c r="A39" s="369" t="s">
        <v>630</v>
      </c>
      <c r="B39" s="388">
        <f>B37/B38</f>
        <v>0.059375</v>
      </c>
      <c r="C39" s="369" t="s">
        <v>632</v>
      </c>
      <c r="D39" s="369" t="s">
        <v>633</v>
      </c>
      <c r="E39" s="369" t="s">
        <v>634</v>
      </c>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row>
    <row r="40" ht="15.75" customHeight="1">
      <c r="A40" s="369" t="s">
        <v>635</v>
      </c>
      <c r="B40" s="390">
        <v>0.001</v>
      </c>
      <c r="C40" s="369" t="s">
        <v>146</v>
      </c>
      <c r="D40" s="369" t="s">
        <v>636</v>
      </c>
      <c r="E40" s="369" t="s">
        <v>637</v>
      </c>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row>
    <row r="41" ht="15.75" customHeight="1">
      <c r="A41" s="369" t="s">
        <v>638</v>
      </c>
      <c r="B41" s="390">
        <v>0.45</v>
      </c>
      <c r="C41" s="369" t="s">
        <v>461</v>
      </c>
      <c r="D41" s="369" t="s">
        <v>639</v>
      </c>
      <c r="E41" s="369" t="s">
        <v>640</v>
      </c>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row>
    <row r="42" ht="15.75" customHeight="1">
      <c r="A42" s="369" t="s">
        <v>643</v>
      </c>
      <c r="B42" s="390">
        <v>0.0634</v>
      </c>
      <c r="C42" s="369" t="s">
        <v>461</v>
      </c>
      <c r="D42" s="369" t="s">
        <v>644</v>
      </c>
      <c r="E42" s="369" t="s">
        <v>645</v>
      </c>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row>
    <row r="43" ht="15.75" customHeight="1">
      <c r="A43" s="369" t="s">
        <v>647</v>
      </c>
      <c r="B43" s="390">
        <v>1.0</v>
      </c>
      <c r="C43" s="369" t="s">
        <v>648</v>
      </c>
      <c r="D43" s="369" t="s">
        <v>639</v>
      </c>
      <c r="E43" s="369" t="s">
        <v>649</v>
      </c>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row>
    <row r="44" ht="15.75" customHeight="1">
      <c r="A44" s="369" t="s">
        <v>650</v>
      </c>
      <c r="B44" s="391">
        <f>((ABS(B41)+ABS(B42))*B40+0.5*ABS(B43)*B40^2)/B39</f>
        <v>0.008655157895</v>
      </c>
      <c r="C44" s="369" t="s">
        <v>620</v>
      </c>
      <c r="D44" s="369" t="s">
        <v>621</v>
      </c>
      <c r="E44" s="369" t="s">
        <v>653</v>
      </c>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row>
    <row r="45" ht="15.75" customHeight="1">
      <c r="A45" s="369" t="s">
        <v>656</v>
      </c>
      <c r="B45" s="391">
        <f>IF(ABS(B43)&gt;0,(-(ABS(B41)+ABS(B42))+SQRT((ABS(B41)+ABS(B42))^2+2*ABS(B43)*B36*B39))/ABS(B43),B36*B39/(ABS(B41)+ABS(B42)))</f>
        <v>0.1944697338</v>
      </c>
      <c r="C45" s="369" t="s">
        <v>146</v>
      </c>
      <c r="D45" s="369" t="s">
        <v>661</v>
      </c>
      <c r="E45" s="369" t="s">
        <v>662</v>
      </c>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row>
    <row r="46" ht="15.75" customHeight="1">
      <c r="A46" s="369" t="s">
        <v>663</v>
      </c>
      <c r="B46" s="391">
        <f>B36-B44</f>
        <v>1.991344842</v>
      </c>
      <c r="C46" s="369" t="s">
        <v>627</v>
      </c>
      <c r="D46" s="369" t="s">
        <v>664</v>
      </c>
      <c r="E46" s="369" t="s">
        <v>665</v>
      </c>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row>
    <row r="47" ht="15.75" customHeight="1">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row>
    <row r="48" ht="15.75" customHeight="1">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row>
    <row r="49" ht="15.75" customHeight="1">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row>
    <row r="50" ht="15.75" customHeight="1">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row>
    <row r="51" ht="15.75" customHeight="1">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row>
    <row r="52" ht="15.75" customHeight="1">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row>
    <row r="53" ht="15.75"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row>
    <row r="54" ht="15.7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row>
    <row r="55" ht="15.75"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row>
    <row r="56" ht="15.7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row>
    <row r="57" ht="15.75" customHeight="1">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row>
    <row r="58" ht="15.75" customHeight="1">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row>
    <row r="59" ht="15.75" customHeight="1">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row>
    <row r="60" ht="15.75" customHeight="1">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row>
    <row r="61" ht="15.75" customHeight="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row>
    <row r="62" ht="15.75" customHeight="1">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row>
    <row r="63" ht="15.75" customHeight="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row>
    <row r="64" ht="15.75"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row>
    <row r="65" ht="15.75" customHeight="1">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row>
    <row r="66" ht="15.75" customHeight="1">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row>
    <row r="67" ht="15.75" customHeight="1">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row>
    <row r="68" ht="15.75" customHeight="1">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row>
    <row r="69" ht="15.75" customHeight="1">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row>
    <row r="70" ht="15.75" customHeight="1">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row>
    <row r="71" ht="15.75" customHeight="1">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row>
    <row r="72" ht="15.75" customHeight="1">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row>
    <row r="73" ht="15.75" customHeight="1">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row>
    <row r="74" ht="15.75" customHeight="1">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row>
    <row r="75" ht="15.75" customHeight="1">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row>
    <row r="76" ht="15.75" customHeight="1">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row>
    <row r="77" ht="15.75" customHeight="1">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row>
    <row r="78" ht="15.75" customHeight="1">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row>
    <row r="79" ht="15.75" customHeight="1">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row>
    <row r="80" ht="15.75" customHeight="1">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row>
    <row r="81" ht="15.75" customHeight="1">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row>
    <row r="82" ht="15.75" customHeight="1">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row>
    <row r="83" ht="15.75" customHeight="1">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row>
    <row r="84" ht="15.75" customHeight="1">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row>
    <row r="85" ht="15.75" customHeight="1">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row>
    <row r="86" ht="15.75" customHeight="1">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row>
    <row r="87" ht="15.75" customHeight="1">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row>
    <row r="88" ht="15.75" customHeight="1">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row>
    <row r="89" ht="15.75" customHeight="1">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row>
    <row r="90" ht="15.75" customHeight="1">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row>
    <row r="91" ht="15.75" customHeight="1">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row>
    <row r="92" ht="15.75" customHeight="1">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row>
    <row r="93" ht="15.75" customHeight="1">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row>
    <row r="94" ht="15.75" customHeight="1">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row>
    <row r="95" ht="15.75" customHeight="1">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row>
    <row r="96" ht="15.75" customHeight="1">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row>
    <row r="97" ht="15.75" customHeight="1">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row>
    <row r="98" ht="15.75" customHeight="1">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row>
    <row r="99" ht="15.75" customHeight="1">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row>
    <row r="100" ht="15.75" customHeight="1">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row>
    <row r="101" ht="15.75" customHeight="1">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row>
    <row r="102" ht="15.75" customHeight="1">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row>
    <row r="103" ht="15.75" customHeight="1">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row>
    <row r="104" ht="15.75" customHeight="1">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row>
    <row r="105" ht="15.75" customHeight="1">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row>
    <row r="106" ht="15.75" customHeight="1">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row>
    <row r="107" ht="15.75" customHeight="1">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row>
    <row r="108" ht="15.75" customHeight="1">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row>
    <row r="109" ht="15.75" customHeight="1">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row>
    <row r="110" ht="15.75" customHeight="1">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row>
    <row r="111" ht="15.75" customHeight="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row>
    <row r="112" ht="15.75" customHeight="1">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row>
    <row r="113" ht="15.75" customHeight="1">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row>
    <row r="114" ht="15.75" customHeight="1">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row>
    <row r="115" ht="15.75" customHeight="1">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row>
    <row r="116" ht="15.75" customHeight="1">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row>
    <row r="117" ht="15.75" customHeight="1">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row>
    <row r="118" ht="15.75" customHeight="1">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row>
    <row r="119" ht="15.75" customHeight="1">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row>
    <row r="120" ht="15.75" customHeight="1">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row>
    <row r="121" ht="15.75" customHeight="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row>
    <row r="122" ht="15.75" customHeight="1">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row>
    <row r="123" ht="15.75" customHeight="1">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row>
    <row r="124" ht="15.75" customHeight="1">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row>
    <row r="125" ht="15.75" customHeight="1">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row>
    <row r="126" ht="15.75" customHeight="1">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row>
    <row r="127" ht="15.75" customHeight="1">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row>
    <row r="128" ht="15.75" customHeight="1">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row>
    <row r="129" ht="15.75" customHeight="1">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row>
    <row r="130" ht="15.75" customHeight="1">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row>
    <row r="131" ht="15.75" customHeight="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row>
    <row r="132" ht="15.75" customHeight="1">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row>
    <row r="133" ht="15.75" customHeight="1">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row>
    <row r="134" ht="15.75" customHeight="1">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row>
    <row r="135" ht="15.75" customHeight="1">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row>
    <row r="136" ht="15.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row>
    <row r="137" ht="15.75" customHeight="1">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row>
    <row r="138" ht="15.75" customHeight="1">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row>
    <row r="139" ht="15.75" customHeight="1">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row>
    <row r="140" ht="15.75" customHeight="1">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row>
    <row r="141" ht="15.75" customHeight="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row>
    <row r="142" ht="15.75" customHeight="1">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row>
    <row r="143" ht="15.75" customHeight="1">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row>
    <row r="144" ht="15.75" customHeight="1">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row>
    <row r="145" ht="15.75" customHeight="1">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row>
    <row r="146" ht="15.75" customHeight="1">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row>
    <row r="147" ht="15.75" customHeight="1">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row>
    <row r="148" ht="15.75" customHeight="1">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row>
    <row r="149" ht="15.75" customHeight="1">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row>
    <row r="150" ht="15.75" customHeight="1">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row>
    <row r="151" ht="15.75" customHeight="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row>
    <row r="152" ht="15.75" customHeight="1">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row>
    <row r="153" ht="15.75" customHeight="1">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row>
    <row r="154" ht="15.75" customHeight="1">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row>
    <row r="155" ht="15.75" customHeight="1">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row>
    <row r="156" ht="15.75" customHeight="1">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row>
    <row r="157" ht="15.75" customHeight="1">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row>
    <row r="158" ht="15.75" customHeight="1">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row>
    <row r="159" ht="15.75" customHeight="1">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row>
    <row r="160" ht="15.75" customHeight="1">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row>
    <row r="161" ht="15.75" customHeight="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row>
    <row r="162" ht="15.75" customHeight="1">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row>
    <row r="163" ht="15.75" customHeight="1">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row>
    <row r="164" ht="15.75" customHeight="1">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row>
    <row r="165" ht="15.75" customHeight="1">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row>
    <row r="166" ht="15.75" customHeight="1">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row>
    <row r="167" ht="15.75" customHeight="1">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row>
    <row r="168" ht="15.75" customHeight="1">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row>
    <row r="169" ht="15.75" customHeight="1">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row>
    <row r="170" ht="15.75" customHeight="1">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row>
    <row r="171" ht="15.75" customHeight="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row>
    <row r="172" ht="15.75" customHeight="1">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row>
    <row r="173" ht="15.75" customHeight="1">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row>
    <row r="174" ht="15.75" customHeight="1">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row>
    <row r="175" ht="15.75" customHeight="1">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row>
    <row r="176" ht="15.75" customHeight="1">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row>
    <row r="177" ht="15.75" customHeight="1">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row>
    <row r="178" ht="15.75" customHeight="1">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row>
    <row r="179" ht="15.75" customHeight="1">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row>
    <row r="180" ht="15.75" customHeight="1">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row>
    <row r="181" ht="15.75" customHeight="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row>
    <row r="182" ht="15.75" customHeight="1">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row>
    <row r="183" ht="15.75" customHeight="1">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row>
    <row r="184" ht="15.75" customHeight="1">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row>
    <row r="185" ht="15.75" customHeight="1">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row>
    <row r="186" ht="15.75" customHeight="1">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row>
    <row r="187" ht="15.75" customHeight="1">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row>
    <row r="188" ht="15.75" customHeight="1">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row>
    <row r="189" ht="15.75" customHeight="1">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row>
    <row r="190" ht="15.75" customHeight="1">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row>
    <row r="191" ht="15.75" customHeight="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row>
    <row r="192" ht="15.75" customHeight="1">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row>
    <row r="193" ht="15.75" customHeight="1">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row>
    <row r="194" ht="15.75" customHeight="1">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row>
    <row r="195" ht="15.75" customHeight="1">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row>
    <row r="196" ht="15.75" customHeight="1">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row>
    <row r="197" ht="15.75" customHeight="1">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row>
    <row r="198" ht="15.75" customHeight="1">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row>
    <row r="199" ht="15.75" customHeight="1">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row>
    <row r="200" ht="15.75" customHeight="1">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row>
    <row r="201" ht="15.75" customHeight="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row>
    <row r="202" ht="15.75" customHeight="1">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row>
    <row r="203" ht="15.75" customHeight="1">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row>
    <row r="204" ht="15.75" customHeight="1">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row>
    <row r="205" ht="15.75" customHeight="1">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row>
    <row r="206" ht="15.75" customHeight="1">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row>
    <row r="207" ht="15.75" customHeight="1">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row>
    <row r="208" ht="15.75" customHeight="1">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row>
    <row r="209" ht="15.75" customHeight="1">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row>
    <row r="210" ht="15.75" customHeight="1">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row>
    <row r="211" ht="15.75" customHeight="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row>
    <row r="212" ht="15.75" customHeight="1">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row>
    <row r="213" ht="15.75" customHeight="1">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row>
    <row r="214" ht="15.75" customHeight="1">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row>
    <row r="215" ht="15.75" customHeight="1">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row>
    <row r="216" ht="15.75" customHeight="1">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row>
    <row r="217" ht="15.75" customHeight="1">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row>
    <row r="218" ht="15.75" customHeight="1">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row>
    <row r="219" ht="15.75" customHeight="1">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row>
    <row r="220" ht="15.75" customHeight="1">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row>
    <row r="221" ht="15.75" customHeight="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row>
    <row r="222" ht="15.75" customHeight="1">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row>
    <row r="223" ht="15.75" customHeight="1">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row>
    <row r="224" ht="15.75" customHeight="1">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row>
    <row r="225" ht="15.75" customHeight="1">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row>
    <row r="226" ht="15.75" customHeight="1">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row>
    <row r="227" ht="15.75" customHeight="1">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row>
    <row r="228" ht="15.75" customHeight="1">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row>
    <row r="229" ht="15.75" customHeight="1">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row>
    <row r="230" ht="15.75" customHeight="1">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c r="AB230" s="11"/>
      <c r="AC230" s="11"/>
      <c r="AD230" s="11"/>
    </row>
    <row r="231" ht="15.75" customHeight="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row>
    <row r="232" ht="15.75" customHeight="1">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row>
    <row r="233" ht="15.75" customHeight="1">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row>
    <row r="234" ht="15.75" customHeight="1">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c r="AB234" s="11"/>
      <c r="AC234" s="11"/>
      <c r="AD234" s="11"/>
    </row>
    <row r="235" ht="15.75" customHeight="1">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c r="AD235" s="11"/>
    </row>
    <row r="236" ht="15.75" customHeight="1">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row>
    <row r="237" ht="15.75" customHeight="1">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row>
    <row r="238" ht="15.75" customHeight="1">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c r="AD238" s="11"/>
    </row>
    <row r="239" ht="15.75" customHeight="1">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c r="AD239" s="11"/>
    </row>
    <row r="240" ht="15.75" customHeight="1">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c r="AD240" s="11"/>
    </row>
    <row r="241" ht="15.75" customHeight="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c r="AD241" s="11"/>
    </row>
    <row r="242" ht="15.75" customHeight="1">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c r="AD242" s="11"/>
    </row>
    <row r="243" ht="15.75" customHeight="1">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c r="AD243" s="11"/>
    </row>
    <row r="244" ht="15.75" customHeight="1">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row>
    <row r="245" ht="15.75" customHeight="1">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row>
    <row r="246" ht="15.75" customHeight="1">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row>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1:F1"/>
    <mergeCell ref="H1:I1"/>
    <mergeCell ref="H8:J8"/>
    <mergeCell ref="A13:F13"/>
    <mergeCell ref="A14:F14"/>
    <mergeCell ref="A15:F15"/>
  </mergeCells>
  <hyperlinks>
    <hyperlink r:id="rId2" ref="A13"/>
  </hyperlinks>
  <printOptions gridLines="1" horizontalCentered="1"/>
  <pageMargins bottom="0.75" footer="0.0" header="0.0" left="0.7" right="0.7" top="0.75"/>
  <pageSetup fitToHeight="0" cellComments="atEnd" orientation="landscape" pageOrder="overThenDown"/>
  <drawing r:id="rId3"/>
  <legacyDrawing r:id="rId4"/>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5588"/>
    <pageSetUpPr/>
  </sheetPr>
  <sheetViews>
    <sheetView showGridLines="0" workbookViewId="0"/>
  </sheetViews>
  <sheetFormatPr customHeight="1" defaultColWidth="12.63" defaultRowHeight="15.0" outlineLevelRow="1"/>
  <cols>
    <col customWidth="1" min="1" max="1" width="24.13"/>
    <col customWidth="1" min="2" max="2" width="15.88"/>
    <col customWidth="1" min="3" max="3" width="9.25"/>
    <col customWidth="1" min="4" max="4" width="74.0"/>
    <col customWidth="1" min="5" max="5" width="1.63"/>
    <col customWidth="1" min="6" max="6" width="10.38"/>
    <col customWidth="1" min="7" max="7" width="10.0"/>
    <col customWidth="1" min="8" max="8" width="1.63"/>
    <col customWidth="1" min="9" max="9" width="17.13"/>
    <col customWidth="1" min="10" max="10" width="1.75"/>
    <col customWidth="1" min="11" max="13" width="7.5"/>
    <col customWidth="1" min="14" max="14" width="7.75"/>
    <col customWidth="1" min="15" max="15" width="7.63"/>
    <col customWidth="1" min="16" max="16" width="9.75"/>
    <col customWidth="1" min="17" max="17" width="7.63"/>
    <col customWidth="1" min="18" max="18" width="8.25"/>
    <col customWidth="1" min="19" max="19" width="8.38"/>
    <col customWidth="1" min="20" max="31" width="7.63"/>
  </cols>
  <sheetData>
    <row r="1">
      <c r="A1" s="317" t="s">
        <v>485</v>
      </c>
      <c r="B1" s="318"/>
      <c r="C1" s="318"/>
      <c r="D1" s="319"/>
      <c r="E1" s="4"/>
      <c r="F1" s="320" t="s">
        <v>486</v>
      </c>
      <c r="G1" s="319"/>
      <c r="H1" s="4"/>
      <c r="I1" s="321" t="s">
        <v>8</v>
      </c>
      <c r="J1" s="4"/>
      <c r="K1" s="322" t="s">
        <v>487</v>
      </c>
      <c r="L1" s="8"/>
      <c r="M1" s="10"/>
    </row>
    <row r="2">
      <c r="A2" s="323" t="s">
        <v>488</v>
      </c>
      <c r="B2" s="324" t="s">
        <v>32</v>
      </c>
      <c r="C2" s="324" t="s">
        <v>489</v>
      </c>
      <c r="D2" s="325" t="s">
        <v>490</v>
      </c>
      <c r="E2" s="4"/>
      <c r="F2" s="327" t="s">
        <v>492</v>
      </c>
      <c r="G2" s="329"/>
      <c r="H2" s="4"/>
      <c r="I2" s="330" t="s">
        <v>49</v>
      </c>
      <c r="J2" s="4"/>
      <c r="K2" s="4" t="s">
        <v>493</v>
      </c>
      <c r="L2" s="4"/>
      <c r="M2" s="4"/>
    </row>
    <row r="3">
      <c r="A3" s="332" t="s">
        <v>494</v>
      </c>
      <c r="B3" s="333"/>
      <c r="C3" s="333"/>
      <c r="D3" s="329"/>
      <c r="E3" s="4"/>
      <c r="F3" s="145" t="s">
        <v>495</v>
      </c>
      <c r="G3" s="334" t="s">
        <v>497</v>
      </c>
      <c r="H3" s="4"/>
      <c r="I3" s="336" t="s">
        <v>51</v>
      </c>
      <c r="J3" s="4"/>
      <c r="K3" s="4"/>
      <c r="L3" s="4"/>
      <c r="M3" s="4"/>
    </row>
    <row r="4">
      <c r="A4" s="337" t="s">
        <v>498</v>
      </c>
      <c r="B4" s="339">
        <v>10.0</v>
      </c>
      <c r="C4" s="340" t="s">
        <v>502</v>
      </c>
      <c r="D4" s="341" t="s">
        <v>504</v>
      </c>
      <c r="E4" s="4"/>
      <c r="F4" s="342" t="s">
        <v>505</v>
      </c>
      <c r="G4" s="343" t="s">
        <v>506</v>
      </c>
      <c r="H4" s="4"/>
      <c r="I4" s="344"/>
      <c r="J4" s="4"/>
      <c r="K4" s="4"/>
      <c r="L4" s="4"/>
      <c r="M4" s="4"/>
    </row>
    <row r="5" ht="14.25" customHeight="1">
      <c r="A5" s="337" t="s">
        <v>508</v>
      </c>
      <c r="B5" s="346">
        <f>'Orbit Info'!G4</f>
        <v>6378</v>
      </c>
      <c r="C5" s="340" t="s">
        <v>37</v>
      </c>
      <c r="D5" s="341"/>
      <c r="E5" s="4"/>
      <c r="F5" s="4"/>
      <c r="G5" s="348"/>
      <c r="H5" s="4"/>
      <c r="I5" s="349"/>
      <c r="J5" s="4"/>
      <c r="K5" s="4"/>
      <c r="L5" s="4"/>
      <c r="M5" s="4"/>
    </row>
    <row r="6" ht="14.25" customHeight="1">
      <c r="A6" s="337" t="s">
        <v>516</v>
      </c>
      <c r="B6" s="346">
        <f>'Orbit Info'!G3</f>
        <v>500</v>
      </c>
      <c r="C6" s="340" t="s">
        <v>37</v>
      </c>
      <c r="D6" s="341"/>
      <c r="E6" s="4"/>
      <c r="F6" s="146" t="s">
        <v>518</v>
      </c>
      <c r="G6" s="147"/>
      <c r="H6" s="147"/>
      <c r="I6" s="147"/>
      <c r="J6" s="147"/>
      <c r="K6" s="147"/>
      <c r="L6" s="147"/>
      <c r="M6" s="148"/>
    </row>
    <row r="7" ht="14.25" hidden="1" customHeight="1">
      <c r="A7" s="350" t="s">
        <v>519</v>
      </c>
      <c r="B7" s="346">
        <v>1.0</v>
      </c>
      <c r="C7" s="340"/>
      <c r="D7" s="351" t="s">
        <v>521</v>
      </c>
      <c r="E7" s="4"/>
      <c r="F7" s="151"/>
      <c r="M7" s="81"/>
    </row>
    <row r="8" ht="14.25" hidden="1" customHeight="1">
      <c r="A8" s="350" t="s">
        <v>523</v>
      </c>
      <c r="B8" s="346">
        <f>-2*B5*COS(PI()/2+B4*PI()/180)</f>
        <v>2215.056154</v>
      </c>
      <c r="C8" s="340"/>
      <c r="D8" s="353"/>
      <c r="E8" s="4"/>
      <c r="F8" s="151"/>
      <c r="M8" s="81"/>
    </row>
    <row r="9" ht="14.25" hidden="1" customHeight="1">
      <c r="A9" s="350" t="s">
        <v>525</v>
      </c>
      <c r="B9" s="346">
        <f>B5^2-(B5+B6)^2</f>
        <v>-6628000</v>
      </c>
      <c r="C9" s="340"/>
      <c r="D9" s="355"/>
      <c r="E9" s="4"/>
      <c r="F9" s="151"/>
      <c r="M9" s="81"/>
    </row>
    <row r="10">
      <c r="A10" s="337" t="s">
        <v>529</v>
      </c>
      <c r="B10" s="358">
        <f>(-B8+SQRT(B8^2-4*B7*B9))/(2*B7)</f>
        <v>1695.081143</v>
      </c>
      <c r="C10" s="340" t="s">
        <v>37</v>
      </c>
      <c r="D10" s="341"/>
      <c r="E10" s="4"/>
      <c r="F10" s="151"/>
      <c r="M10" s="81"/>
    </row>
    <row r="11">
      <c r="A11" s="337" t="s">
        <v>533</v>
      </c>
      <c r="B11" s="360">
        <v>2.99792458E8</v>
      </c>
      <c r="C11" s="340" t="s">
        <v>463</v>
      </c>
      <c r="D11" s="341"/>
      <c r="E11" s="4"/>
      <c r="F11" s="151"/>
      <c r="M11" s="81"/>
    </row>
    <row r="12">
      <c r="A12" s="337" t="s">
        <v>536</v>
      </c>
      <c r="B12" s="361">
        <v>1.380649E-23</v>
      </c>
      <c r="C12" s="340" t="s">
        <v>538</v>
      </c>
      <c r="D12" s="341"/>
      <c r="E12" s="4"/>
      <c r="F12" s="151"/>
      <c r="M12" s="81"/>
    </row>
    <row r="13">
      <c r="A13" s="362"/>
      <c r="B13" s="363">
        <f>10*LOG10(B12)</f>
        <v>-228.5991672</v>
      </c>
      <c r="C13" s="364" t="s">
        <v>539</v>
      </c>
      <c r="D13" s="365" t="s">
        <v>540</v>
      </c>
      <c r="E13" s="4"/>
      <c r="F13" s="151"/>
      <c r="M13" s="81"/>
    </row>
    <row r="14">
      <c r="A14" s="332" t="s">
        <v>541</v>
      </c>
      <c r="B14" s="333"/>
      <c r="C14" s="333"/>
      <c r="D14" s="329"/>
      <c r="E14" s="4"/>
      <c r="F14" s="151"/>
      <c r="M14" s="81"/>
    </row>
    <row r="15">
      <c r="A15" s="337" t="s">
        <v>18</v>
      </c>
      <c r="B15" s="366">
        <v>2.25</v>
      </c>
      <c r="C15" s="340" t="s">
        <v>543</v>
      </c>
      <c r="D15" s="341" t="s">
        <v>544</v>
      </c>
      <c r="E15" s="4"/>
      <c r="F15" s="153"/>
      <c r="G15" s="86"/>
      <c r="H15" s="86"/>
      <c r="I15" s="86"/>
      <c r="J15" s="86"/>
      <c r="K15" s="86"/>
      <c r="L15" s="86"/>
      <c r="M15" s="88"/>
    </row>
    <row r="16">
      <c r="A16" s="337" t="s">
        <v>546</v>
      </c>
      <c r="B16" s="366">
        <v>0.0125</v>
      </c>
      <c r="C16" s="340" t="s">
        <v>548</v>
      </c>
      <c r="D16" s="341" t="s">
        <v>550</v>
      </c>
      <c r="E16" s="4"/>
      <c r="F16" s="368"/>
      <c r="G16" s="368"/>
      <c r="H16" s="368"/>
      <c r="I16" s="368"/>
      <c r="J16" s="368"/>
      <c r="K16" s="368"/>
      <c r="L16" s="368"/>
      <c r="M16" s="368"/>
    </row>
    <row r="17">
      <c r="A17" s="337" t="s">
        <v>553</v>
      </c>
      <c r="B17" s="346">
        <f>B11/(B15*10^9)</f>
        <v>0.1332410924</v>
      </c>
      <c r="C17" s="340" t="s">
        <v>475</v>
      </c>
      <c r="D17" s="341" t="s">
        <v>556</v>
      </c>
      <c r="E17" s="4"/>
      <c r="F17" s="370"/>
      <c r="G17" s="370"/>
      <c r="H17" s="370"/>
      <c r="I17" s="370"/>
      <c r="J17" s="370"/>
      <c r="K17" s="370"/>
      <c r="L17" s="370"/>
      <c r="M17" s="370"/>
      <c r="N17" s="371"/>
      <c r="O17" s="371"/>
      <c r="P17" s="371"/>
      <c r="Q17" s="371"/>
      <c r="R17" s="371"/>
      <c r="S17" s="371"/>
      <c r="T17" s="371"/>
      <c r="U17" s="371"/>
      <c r="V17" s="371"/>
      <c r="W17" s="371"/>
      <c r="X17" s="371"/>
      <c r="Y17" s="371"/>
      <c r="Z17" s="371"/>
      <c r="AA17" s="371"/>
      <c r="AB17" s="371"/>
      <c r="AC17" s="371"/>
      <c r="AD17" s="371"/>
      <c r="AE17" s="371"/>
    </row>
    <row r="18">
      <c r="A18" s="337" t="s">
        <v>559</v>
      </c>
      <c r="B18" s="372">
        <f>'Data DownlinkStorage Budget'!M55/1000000</f>
        <v>0</v>
      </c>
      <c r="C18" s="340" t="s">
        <v>561</v>
      </c>
      <c r="D18" s="341" t="s">
        <v>562</v>
      </c>
      <c r="E18" s="4"/>
      <c r="F18" s="373"/>
      <c r="G18" s="373"/>
      <c r="H18" s="373"/>
      <c r="I18" s="373"/>
      <c r="J18" s="373"/>
      <c r="K18" s="373"/>
      <c r="L18" s="373"/>
      <c r="M18" s="373"/>
      <c r="N18" s="371"/>
      <c r="O18" s="371"/>
      <c r="P18" s="371"/>
      <c r="Q18" s="371"/>
      <c r="R18" s="371"/>
      <c r="S18" s="371"/>
      <c r="T18" s="371"/>
      <c r="U18" s="371"/>
      <c r="V18" s="371"/>
      <c r="W18" s="371"/>
      <c r="X18" s="371"/>
      <c r="Y18" s="371"/>
      <c r="Z18" s="371"/>
      <c r="AA18" s="371"/>
      <c r="AB18" s="371"/>
      <c r="AC18" s="371"/>
      <c r="AD18" s="371"/>
      <c r="AE18" s="371"/>
    </row>
    <row r="19" ht="14.25" customHeight="1">
      <c r="A19" s="337" t="s">
        <v>563</v>
      </c>
      <c r="B19" s="374">
        <v>2.0</v>
      </c>
      <c r="C19" s="340" t="s">
        <v>564</v>
      </c>
      <c r="D19" s="341"/>
      <c r="E19" s="4"/>
      <c r="F19" s="373"/>
      <c r="G19" s="373"/>
      <c r="H19" s="373"/>
      <c r="I19" s="373"/>
      <c r="J19" s="373"/>
      <c r="K19" s="373"/>
      <c r="L19" s="373"/>
      <c r="M19" s="373"/>
      <c r="N19" s="371"/>
      <c r="O19" s="371"/>
      <c r="P19" s="371"/>
      <c r="Q19" s="371"/>
      <c r="R19" s="371"/>
      <c r="S19" s="371"/>
      <c r="T19" s="371"/>
      <c r="U19" s="371"/>
      <c r="V19" s="371"/>
      <c r="W19" s="371"/>
      <c r="X19" s="371"/>
      <c r="Y19" s="371"/>
      <c r="Z19" s="371"/>
      <c r="AA19" s="371"/>
      <c r="AB19" s="371"/>
      <c r="AC19" s="371"/>
      <c r="AD19" s="371"/>
      <c r="AE19" s="371"/>
    </row>
    <row r="20">
      <c r="A20" s="337" t="s">
        <v>563</v>
      </c>
      <c r="B20" s="346">
        <f>10*LOG10(B19*1000)</f>
        <v>33.01029996</v>
      </c>
      <c r="C20" s="340" t="s">
        <v>567</v>
      </c>
      <c r="D20" s="341"/>
      <c r="E20" s="4"/>
      <c r="F20" s="373"/>
      <c r="G20" s="373"/>
      <c r="H20" s="373"/>
      <c r="I20" s="373"/>
      <c r="J20" s="373"/>
      <c r="K20" s="375"/>
      <c r="L20" s="373"/>
      <c r="M20" s="373"/>
      <c r="N20" s="371"/>
      <c r="O20" s="371"/>
      <c r="P20" s="371"/>
      <c r="Q20" s="371"/>
      <c r="R20" s="371"/>
      <c r="S20" s="371"/>
      <c r="T20" s="371"/>
      <c r="U20" s="371"/>
      <c r="V20" s="371"/>
      <c r="W20" s="371"/>
      <c r="X20" s="371"/>
      <c r="Y20" s="371"/>
      <c r="Z20" s="371"/>
      <c r="AA20" s="371"/>
      <c r="AB20" s="371"/>
      <c r="AC20" s="371"/>
      <c r="AD20" s="371"/>
      <c r="AE20" s="371"/>
    </row>
    <row r="21" ht="15.75" customHeight="1">
      <c r="A21" s="337" t="s">
        <v>570</v>
      </c>
      <c r="B21" s="366">
        <v>3.0</v>
      </c>
      <c r="C21" s="340" t="s">
        <v>571</v>
      </c>
      <c r="D21" s="341" t="s">
        <v>572</v>
      </c>
      <c r="E21" s="4"/>
      <c r="F21" s="373"/>
      <c r="G21" s="376"/>
      <c r="H21" s="373"/>
      <c r="I21" s="373"/>
      <c r="J21" s="373"/>
      <c r="K21" s="375"/>
      <c r="L21" s="373"/>
      <c r="M21" s="373"/>
      <c r="N21" s="371"/>
      <c r="O21" s="371"/>
      <c r="P21" s="371"/>
      <c r="Q21" s="371"/>
      <c r="R21" s="371"/>
      <c r="S21" s="371"/>
      <c r="T21" s="371"/>
      <c r="U21" s="371"/>
      <c r="V21" s="371"/>
      <c r="W21" s="371"/>
      <c r="X21" s="371"/>
      <c r="Y21" s="371"/>
      <c r="Z21" s="371"/>
      <c r="AA21" s="371"/>
      <c r="AB21" s="371"/>
      <c r="AC21" s="371"/>
      <c r="AD21" s="371"/>
      <c r="AE21" s="371"/>
    </row>
    <row r="22" ht="15.75" customHeight="1">
      <c r="A22" s="337" t="s">
        <v>573</v>
      </c>
      <c r="B22" s="366">
        <v>-4.0</v>
      </c>
      <c r="C22" s="340" t="s">
        <v>574</v>
      </c>
      <c r="D22" s="341" t="s">
        <v>575</v>
      </c>
      <c r="E22" s="4"/>
      <c r="F22" s="373"/>
      <c r="G22" s="376"/>
      <c r="H22" s="373"/>
      <c r="I22" s="376"/>
      <c r="J22" s="373"/>
      <c r="K22" s="375"/>
      <c r="L22" s="373"/>
      <c r="M22" s="373"/>
      <c r="N22" s="371"/>
      <c r="O22" s="371"/>
      <c r="P22" s="371"/>
      <c r="Q22" s="371"/>
      <c r="R22" s="371"/>
      <c r="S22" s="371"/>
      <c r="T22" s="371"/>
      <c r="U22" s="371"/>
      <c r="V22" s="371"/>
      <c r="W22" s="371"/>
      <c r="X22" s="371"/>
      <c r="Y22" s="371"/>
      <c r="Z22" s="371"/>
      <c r="AA22" s="371"/>
      <c r="AB22" s="371"/>
      <c r="AC22" s="371"/>
      <c r="AD22" s="371"/>
      <c r="AE22" s="371"/>
    </row>
    <row r="23" ht="18.75" customHeight="1">
      <c r="A23" s="337" t="s">
        <v>578</v>
      </c>
      <c r="B23" s="346">
        <f>SUM(B20:B22)</f>
        <v>32.01029996</v>
      </c>
      <c r="C23" s="340" t="s">
        <v>567</v>
      </c>
      <c r="D23" s="341"/>
      <c r="E23" s="4"/>
      <c r="F23" s="373"/>
      <c r="G23" s="373"/>
      <c r="H23" s="373"/>
      <c r="I23" s="376"/>
      <c r="J23" s="373"/>
      <c r="K23" s="373"/>
      <c r="L23" s="373"/>
      <c r="M23" s="373"/>
      <c r="N23" s="371"/>
      <c r="O23" s="371"/>
      <c r="P23" s="371"/>
      <c r="Q23" s="371"/>
      <c r="R23" s="371"/>
      <c r="S23" s="371"/>
      <c r="T23" s="371"/>
      <c r="U23" s="371"/>
      <c r="V23" s="371"/>
      <c r="W23" s="371"/>
      <c r="X23" s="371"/>
      <c r="Y23" s="371"/>
      <c r="Z23" s="371"/>
      <c r="AA23" s="371"/>
      <c r="AB23" s="371"/>
      <c r="AC23" s="371"/>
      <c r="AD23" s="371"/>
      <c r="AE23" s="371"/>
    </row>
    <row r="24" ht="15.75" customHeight="1">
      <c r="A24" s="337" t="s">
        <v>581</v>
      </c>
      <c r="B24" s="377">
        <f>-10*LOG10((4*PI()*B10*10^3*B15*10^9/B11)^2)</f>
        <v>-164.0752434</v>
      </c>
      <c r="C24" s="340" t="s">
        <v>574</v>
      </c>
      <c r="D24" s="341" t="s">
        <v>584</v>
      </c>
      <c r="E24" s="4"/>
      <c r="F24" s="371"/>
      <c r="G24" s="371"/>
      <c r="H24" s="371"/>
      <c r="I24" s="371"/>
      <c r="J24" s="371"/>
      <c r="K24" s="371"/>
      <c r="L24" s="371"/>
      <c r="M24" s="371"/>
      <c r="N24" s="371"/>
      <c r="O24" s="371"/>
      <c r="P24" s="371"/>
      <c r="Q24" s="371"/>
      <c r="R24" s="371"/>
      <c r="S24" s="371"/>
      <c r="T24" s="371"/>
      <c r="U24" s="371"/>
      <c r="V24" s="371"/>
      <c r="W24" s="371"/>
      <c r="X24" s="371"/>
      <c r="Y24" s="371"/>
      <c r="Z24" s="371"/>
      <c r="AA24" s="371"/>
      <c r="AB24" s="371"/>
      <c r="AC24" s="371"/>
      <c r="AD24" s="371"/>
      <c r="AE24" s="371"/>
    </row>
    <row r="25" ht="15.75" customHeight="1">
      <c r="A25" s="332" t="s">
        <v>589</v>
      </c>
      <c r="B25" s="333"/>
      <c r="C25" s="333"/>
      <c r="D25" s="329"/>
      <c r="E25" s="4"/>
      <c r="F25" s="371"/>
      <c r="G25" s="371"/>
      <c r="H25" s="371"/>
      <c r="I25" s="371"/>
      <c r="J25" s="371"/>
      <c r="K25" s="371"/>
      <c r="L25" s="371"/>
      <c r="M25" s="371"/>
      <c r="N25" s="371"/>
      <c r="O25" s="371"/>
      <c r="P25" s="371"/>
      <c r="Q25" s="371"/>
      <c r="R25" s="371"/>
      <c r="S25" s="371"/>
      <c r="T25" s="371"/>
      <c r="U25" s="371"/>
      <c r="V25" s="371"/>
      <c r="W25" s="371"/>
      <c r="X25" s="371"/>
      <c r="Y25" s="371"/>
      <c r="Z25" s="371"/>
      <c r="AA25" s="371"/>
      <c r="AB25" s="371"/>
      <c r="AC25" s="371"/>
      <c r="AD25" s="371"/>
      <c r="AE25" s="371"/>
    </row>
    <row r="26" ht="15.75" customHeight="1">
      <c r="A26" s="337" t="s">
        <v>594</v>
      </c>
      <c r="B26" s="366">
        <v>3.7</v>
      </c>
      <c r="C26" s="378" t="s">
        <v>475</v>
      </c>
      <c r="D26" s="341"/>
      <c r="E26" s="4"/>
      <c r="F26" s="371"/>
      <c r="G26" s="379"/>
      <c r="H26" s="61"/>
      <c r="I26" s="62"/>
      <c r="J26" s="371"/>
      <c r="K26" s="371"/>
      <c r="L26" s="371"/>
      <c r="M26" s="371"/>
      <c r="N26" s="371"/>
      <c r="O26" s="371"/>
      <c r="P26" s="371"/>
      <c r="Q26" s="371"/>
      <c r="R26" s="371"/>
      <c r="S26" s="371"/>
      <c r="T26" s="371"/>
      <c r="U26" s="371"/>
      <c r="V26" s="371"/>
      <c r="W26" s="371"/>
      <c r="X26" s="371"/>
      <c r="Y26" s="371"/>
      <c r="Z26" s="371"/>
      <c r="AA26" s="371"/>
      <c r="AB26" s="371"/>
      <c r="AC26" s="371"/>
      <c r="AD26" s="371"/>
      <c r="AE26" s="371"/>
    </row>
    <row r="27" ht="15.75" customHeight="1">
      <c r="A27" s="337" t="s">
        <v>597</v>
      </c>
      <c r="B27" s="366">
        <v>54.9</v>
      </c>
      <c r="C27" s="378" t="s">
        <v>156</v>
      </c>
      <c r="D27" s="341"/>
      <c r="E27" s="4"/>
      <c r="F27" s="371"/>
      <c r="G27" s="380"/>
      <c r="H27" s="61"/>
      <c r="I27" s="62"/>
      <c r="J27" s="371"/>
      <c r="K27" s="371"/>
      <c r="L27" s="371"/>
      <c r="M27" s="371"/>
      <c r="N27" s="371"/>
      <c r="O27" s="371"/>
      <c r="P27" s="371"/>
      <c r="Q27" s="371"/>
      <c r="R27" s="371"/>
      <c r="S27" s="371"/>
      <c r="T27" s="371"/>
      <c r="U27" s="371"/>
      <c r="V27" s="371"/>
      <c r="W27" s="371"/>
      <c r="X27" s="371"/>
      <c r="Y27" s="371"/>
      <c r="Z27" s="371"/>
      <c r="AA27" s="371"/>
      <c r="AB27" s="371"/>
      <c r="AC27" s="371"/>
      <c r="AD27" s="371"/>
      <c r="AE27" s="371"/>
    </row>
    <row r="28" ht="15.75" customHeight="1">
      <c r="A28" s="337" t="s">
        <v>600</v>
      </c>
      <c r="B28" s="381">
        <f>10*LOG10((B27/100)*4*(PI()*(B26/2)/B17)^2)</f>
        <v>36.20999168</v>
      </c>
      <c r="C28" s="378" t="s">
        <v>571</v>
      </c>
      <c r="D28" s="341" t="s">
        <v>603</v>
      </c>
      <c r="E28" s="4"/>
      <c r="F28" s="371"/>
      <c r="G28" s="380"/>
      <c r="H28" s="61"/>
      <c r="I28" s="62"/>
      <c r="J28" s="371"/>
      <c r="K28" s="371"/>
      <c r="L28" s="371"/>
      <c r="M28" s="371"/>
      <c r="N28" s="371"/>
      <c r="O28" s="371"/>
      <c r="P28" s="371"/>
      <c r="Q28" s="371"/>
      <c r="R28" s="371"/>
      <c r="S28" s="371"/>
      <c r="T28" s="371"/>
      <c r="U28" s="371"/>
      <c r="V28" s="371"/>
      <c r="W28" s="371"/>
      <c r="X28" s="371"/>
      <c r="Y28" s="371"/>
      <c r="Z28" s="371"/>
      <c r="AA28" s="371"/>
      <c r="AB28" s="371"/>
      <c r="AC28" s="371"/>
      <c r="AD28" s="371"/>
      <c r="AE28" s="371"/>
    </row>
    <row r="29" ht="15.75" customHeight="1">
      <c r="A29" s="337" t="s">
        <v>606</v>
      </c>
      <c r="B29" s="374">
        <v>158.5</v>
      </c>
      <c r="C29" s="378" t="s">
        <v>607</v>
      </c>
      <c r="D29" s="341"/>
      <c r="E29" s="4"/>
      <c r="F29" s="371"/>
      <c r="G29" s="380"/>
      <c r="H29" s="61"/>
      <c r="I29" s="62"/>
      <c r="J29" s="371"/>
      <c r="K29" s="371"/>
      <c r="L29" s="371"/>
      <c r="M29" s="371"/>
      <c r="N29" s="371"/>
      <c r="O29" s="371"/>
      <c r="P29" s="371"/>
      <c r="Q29" s="371"/>
      <c r="R29" s="371"/>
      <c r="S29" s="371"/>
      <c r="T29" s="371"/>
      <c r="U29" s="371"/>
      <c r="V29" s="371"/>
      <c r="W29" s="371"/>
      <c r="X29" s="371"/>
      <c r="Y29" s="371"/>
      <c r="Z29" s="371"/>
      <c r="AA29" s="371"/>
      <c r="AB29" s="371"/>
      <c r="AC29" s="371"/>
      <c r="AD29" s="371"/>
      <c r="AE29" s="371"/>
    </row>
    <row r="30" ht="15.75" customHeight="1">
      <c r="A30" s="337" t="s">
        <v>610</v>
      </c>
      <c r="B30" s="382">
        <f>10*LOG10(B12*B29*1000)</f>
        <v>-176.5988745</v>
      </c>
      <c r="C30" s="378" t="s">
        <v>612</v>
      </c>
      <c r="D30" s="341" t="s">
        <v>613</v>
      </c>
      <c r="E30" s="4"/>
      <c r="F30" s="371"/>
      <c r="G30" s="383"/>
      <c r="H30" s="61"/>
      <c r="I30" s="62"/>
      <c r="J30" s="371"/>
      <c r="K30" s="371"/>
      <c r="L30" s="371"/>
      <c r="M30" s="371"/>
      <c r="N30" s="371"/>
      <c r="O30" s="371"/>
      <c r="P30" s="371"/>
      <c r="Q30" s="371"/>
      <c r="R30" s="371"/>
      <c r="S30" s="371"/>
      <c r="T30" s="371"/>
      <c r="U30" s="371"/>
      <c r="V30" s="371"/>
      <c r="W30" s="371"/>
      <c r="X30" s="371"/>
      <c r="Y30" s="371"/>
      <c r="Z30" s="371"/>
      <c r="AA30" s="371"/>
      <c r="AB30" s="371"/>
      <c r="AC30" s="371"/>
      <c r="AD30" s="371"/>
      <c r="AE30" s="371"/>
    </row>
    <row r="31" ht="15.75" customHeight="1">
      <c r="A31" s="337" t="s">
        <v>618</v>
      </c>
      <c r="B31" s="366">
        <v>-4.0</v>
      </c>
      <c r="C31" s="378" t="s">
        <v>574</v>
      </c>
      <c r="D31" s="341" t="s">
        <v>619</v>
      </c>
      <c r="E31" s="4"/>
      <c r="F31" s="371"/>
      <c r="G31" s="385"/>
      <c r="H31" s="387"/>
      <c r="I31" s="387"/>
      <c r="J31" s="371"/>
      <c r="K31" s="371"/>
      <c r="L31" s="371"/>
      <c r="M31" s="371"/>
      <c r="N31" s="371"/>
      <c r="O31" s="371"/>
      <c r="P31" s="371"/>
      <c r="Q31" s="371"/>
      <c r="R31" s="371"/>
      <c r="S31" s="371"/>
      <c r="T31" s="371"/>
      <c r="U31" s="371"/>
      <c r="V31" s="371"/>
      <c r="W31" s="371"/>
      <c r="X31" s="371"/>
      <c r="Y31" s="371"/>
      <c r="Z31" s="371"/>
      <c r="AA31" s="371"/>
      <c r="AB31" s="371"/>
      <c r="AC31" s="371"/>
      <c r="AD31" s="371"/>
      <c r="AE31" s="371"/>
    </row>
    <row r="32" ht="15.75" customHeight="1">
      <c r="A32" s="337" t="s">
        <v>631</v>
      </c>
      <c r="B32" s="381">
        <f>SUM(B23,B28,B24,B31)</f>
        <v>-99.8549518</v>
      </c>
      <c r="C32" s="378" t="s">
        <v>567</v>
      </c>
      <c r="D32" s="389"/>
      <c r="E32" s="4"/>
      <c r="F32" s="371"/>
      <c r="G32" s="379"/>
      <c r="H32" s="61"/>
      <c r="I32" s="62"/>
      <c r="J32" s="371"/>
      <c r="K32" s="371"/>
      <c r="L32" s="371"/>
      <c r="M32" s="371"/>
      <c r="N32" s="371"/>
      <c r="O32" s="371"/>
      <c r="P32" s="371"/>
      <c r="Q32" s="371"/>
      <c r="R32" s="371"/>
      <c r="S32" s="371"/>
      <c r="T32" s="371"/>
      <c r="U32" s="371"/>
      <c r="V32" s="371"/>
      <c r="W32" s="371"/>
      <c r="X32" s="371"/>
      <c r="Y32" s="371"/>
      <c r="Z32" s="371"/>
      <c r="AA32" s="371"/>
      <c r="AB32" s="371"/>
      <c r="AC32" s="371"/>
      <c r="AD32" s="371"/>
      <c r="AE32" s="371"/>
    </row>
    <row r="33" ht="15.75" customHeight="1">
      <c r="A33" s="337" t="s">
        <v>641</v>
      </c>
      <c r="B33" s="366">
        <v>0.0</v>
      </c>
      <c r="C33" s="378" t="s">
        <v>574</v>
      </c>
      <c r="D33" s="341" t="s">
        <v>642</v>
      </c>
      <c r="E33" s="4"/>
      <c r="F33" s="371"/>
      <c r="G33" s="371"/>
      <c r="H33" s="371"/>
      <c r="I33" s="371"/>
      <c r="J33" s="371"/>
      <c r="K33" s="371"/>
      <c r="L33" s="371"/>
      <c r="M33" s="371"/>
      <c r="N33" s="371"/>
      <c r="O33" s="371"/>
      <c r="P33" s="371"/>
      <c r="Q33" s="371"/>
      <c r="R33" s="371"/>
      <c r="S33" s="371"/>
      <c r="T33" s="371"/>
      <c r="U33" s="371"/>
      <c r="V33" s="371"/>
      <c r="W33" s="371"/>
      <c r="X33" s="371"/>
      <c r="Y33" s="371"/>
      <c r="Z33" s="371"/>
      <c r="AA33" s="371"/>
      <c r="AB33" s="371"/>
      <c r="AC33" s="371"/>
      <c r="AD33" s="371"/>
      <c r="AE33" s="371"/>
    </row>
    <row r="34" ht="15.75" customHeight="1">
      <c r="A34" s="332" t="s">
        <v>646</v>
      </c>
      <c r="B34" s="333"/>
      <c r="C34" s="333"/>
      <c r="D34" s="329"/>
      <c r="E34" s="4"/>
      <c r="F34" s="371"/>
      <c r="G34" s="371"/>
      <c r="H34" s="371"/>
      <c r="I34" s="371"/>
      <c r="J34" s="371"/>
      <c r="K34" s="371"/>
      <c r="L34" s="371"/>
      <c r="M34" s="371"/>
      <c r="N34" s="371"/>
      <c r="O34" s="371"/>
      <c r="P34" s="371"/>
      <c r="Q34" s="371"/>
      <c r="R34" s="371"/>
      <c r="S34" s="371"/>
      <c r="T34" s="371"/>
      <c r="U34" s="371"/>
      <c r="V34" s="371"/>
      <c r="W34" s="371"/>
      <c r="X34" s="371"/>
      <c r="Y34" s="371"/>
      <c r="Z34" s="371"/>
      <c r="AA34" s="371"/>
      <c r="AB34" s="371"/>
      <c r="AC34" s="371"/>
      <c r="AD34" s="371"/>
      <c r="AE34" s="371"/>
    </row>
    <row r="35" ht="15.75" customHeight="1">
      <c r="A35" s="337" t="s">
        <v>651</v>
      </c>
      <c r="B35" s="381" t="str">
        <f>B32-B30+B33-10*LOG10(B18*10^6)</f>
        <v>#NUM!</v>
      </c>
      <c r="C35" s="378" t="s">
        <v>574</v>
      </c>
      <c r="D35" s="341" t="s">
        <v>652</v>
      </c>
      <c r="E35" s="4"/>
      <c r="F35" s="371"/>
      <c r="G35" s="371"/>
      <c r="H35" s="371"/>
      <c r="I35" s="371"/>
      <c r="J35" s="371"/>
      <c r="K35" s="371"/>
      <c r="L35" s="371"/>
      <c r="M35" s="371"/>
      <c r="N35" s="371"/>
      <c r="O35" s="371"/>
      <c r="P35" s="371"/>
      <c r="Q35" s="371"/>
      <c r="R35" s="371"/>
      <c r="S35" s="371"/>
      <c r="T35" s="371"/>
      <c r="U35" s="371"/>
      <c r="V35" s="371"/>
      <c r="W35" s="371"/>
      <c r="X35" s="371"/>
      <c r="Y35" s="371"/>
      <c r="Z35" s="371"/>
      <c r="AA35" s="371"/>
      <c r="AB35" s="371"/>
      <c r="AC35" s="371"/>
      <c r="AD35" s="371"/>
      <c r="AE35" s="371"/>
    </row>
    <row r="36" ht="15.75" customHeight="1">
      <c r="A36" s="337" t="s">
        <v>654</v>
      </c>
      <c r="B36" s="374">
        <v>3.0</v>
      </c>
      <c r="C36" s="378" t="s">
        <v>574</v>
      </c>
      <c r="D36" s="341" t="s">
        <v>655</v>
      </c>
      <c r="E36" s="4"/>
      <c r="F36" s="371"/>
      <c r="G36" s="371"/>
      <c r="H36" s="371"/>
      <c r="I36" s="371"/>
      <c r="J36" s="371"/>
      <c r="K36" s="371"/>
      <c r="L36" s="371"/>
      <c r="M36" s="371"/>
      <c r="N36" s="371"/>
      <c r="O36" s="371"/>
      <c r="P36" s="371"/>
      <c r="Q36" s="371"/>
      <c r="R36" s="371"/>
      <c r="S36" s="371"/>
      <c r="T36" s="371"/>
      <c r="U36" s="371"/>
      <c r="V36" s="371"/>
      <c r="W36" s="371"/>
      <c r="X36" s="371"/>
      <c r="Y36" s="371"/>
      <c r="Z36" s="371"/>
      <c r="AA36" s="371"/>
      <c r="AB36" s="371"/>
      <c r="AC36" s="371"/>
      <c r="AD36" s="371"/>
      <c r="AE36" s="371"/>
    </row>
    <row r="37" ht="15.75" customHeight="1">
      <c r="A37" s="337" t="s">
        <v>657</v>
      </c>
      <c r="B37" s="392" t="str">
        <f>B35-B36</f>
        <v>#NUM!</v>
      </c>
      <c r="C37" s="378" t="s">
        <v>574</v>
      </c>
      <c r="D37" s="341" t="s">
        <v>658</v>
      </c>
      <c r="E37" s="4"/>
      <c r="F37" s="371"/>
      <c r="G37" s="371"/>
      <c r="H37" s="371"/>
      <c r="I37" s="371"/>
      <c r="J37" s="371"/>
      <c r="K37" s="371"/>
      <c r="L37" s="371"/>
      <c r="M37" s="371"/>
      <c r="N37" s="371"/>
      <c r="O37" s="371"/>
      <c r="P37" s="371"/>
      <c r="Q37" s="371"/>
      <c r="R37" s="371"/>
      <c r="S37" s="371"/>
      <c r="T37" s="371"/>
      <c r="U37" s="371"/>
      <c r="V37" s="371"/>
      <c r="W37" s="371"/>
      <c r="X37" s="371"/>
      <c r="Y37" s="371"/>
      <c r="Z37" s="371"/>
      <c r="AA37" s="371"/>
      <c r="AB37" s="371"/>
      <c r="AC37" s="371"/>
      <c r="AD37" s="371"/>
      <c r="AE37" s="371"/>
    </row>
    <row r="38" ht="15.75" customHeight="1">
      <c r="A38" s="393" t="s">
        <v>659</v>
      </c>
      <c r="B38" s="394">
        <v>6.0</v>
      </c>
      <c r="C38" s="395" t="s">
        <v>574</v>
      </c>
      <c r="D38" s="396" t="s">
        <v>660</v>
      </c>
      <c r="E38" s="4"/>
      <c r="F38" s="371"/>
      <c r="G38" s="371"/>
      <c r="H38" s="371"/>
      <c r="I38" s="371"/>
      <c r="J38" s="371"/>
      <c r="K38" s="371"/>
      <c r="L38" s="371"/>
      <c r="M38" s="371"/>
      <c r="N38" s="371"/>
      <c r="O38" s="371"/>
      <c r="P38" s="371"/>
      <c r="Q38" s="371"/>
      <c r="R38" s="371"/>
      <c r="S38" s="371"/>
      <c r="T38" s="371"/>
      <c r="U38" s="371"/>
      <c r="V38" s="371"/>
      <c r="W38" s="371"/>
      <c r="X38" s="371"/>
      <c r="Y38" s="371"/>
      <c r="Z38" s="371"/>
      <c r="AA38" s="371"/>
      <c r="AB38" s="371"/>
      <c r="AC38" s="371"/>
      <c r="AD38" s="371"/>
      <c r="AE38" s="371"/>
    </row>
    <row r="39" ht="15.75" customHeight="1">
      <c r="A39" s="397"/>
      <c r="B39" s="397"/>
      <c r="C39" s="397"/>
      <c r="D39" s="398"/>
      <c r="E39" s="4"/>
      <c r="F39" s="371"/>
      <c r="G39" s="371"/>
      <c r="H39" s="371"/>
      <c r="I39" s="371"/>
      <c r="J39" s="371"/>
      <c r="K39" s="371"/>
      <c r="L39" s="371"/>
      <c r="M39" s="371"/>
      <c r="N39" s="371"/>
      <c r="O39" s="371"/>
      <c r="P39" s="371"/>
      <c r="Q39" s="371"/>
      <c r="R39" s="371"/>
      <c r="S39" s="371"/>
      <c r="T39" s="371"/>
      <c r="U39" s="371"/>
      <c r="V39" s="371"/>
      <c r="W39" s="371"/>
      <c r="X39" s="371"/>
      <c r="Y39" s="371"/>
      <c r="Z39" s="371"/>
      <c r="AA39" s="371"/>
      <c r="AB39" s="371"/>
      <c r="AC39" s="371"/>
      <c r="AD39" s="371"/>
      <c r="AE39" s="371"/>
    </row>
    <row r="40" ht="15.75" customHeight="1">
      <c r="A40" s="397"/>
      <c r="B40" s="399"/>
      <c r="C40" s="397"/>
      <c r="D40" s="400"/>
      <c r="E40" s="4"/>
      <c r="F40" s="371"/>
      <c r="G40" s="371"/>
      <c r="H40" s="371"/>
      <c r="I40" s="371"/>
      <c r="J40" s="371"/>
      <c r="K40" s="371"/>
      <c r="L40" s="371"/>
      <c r="M40" s="371"/>
      <c r="N40" s="371"/>
      <c r="O40" s="371"/>
      <c r="P40" s="371"/>
      <c r="Q40" s="371"/>
      <c r="R40" s="371"/>
      <c r="S40" s="371"/>
      <c r="T40" s="371"/>
      <c r="U40" s="371"/>
      <c r="V40" s="371"/>
      <c r="W40" s="371"/>
      <c r="X40" s="371"/>
      <c r="Y40" s="371"/>
      <c r="Z40" s="371"/>
      <c r="AA40" s="371"/>
      <c r="AB40" s="371"/>
      <c r="AC40" s="371"/>
      <c r="AD40" s="371"/>
      <c r="AE40" s="371"/>
    </row>
    <row r="41" ht="15.75" customHeight="1">
      <c r="A41" s="397"/>
      <c r="B41" s="397"/>
      <c r="C41" s="397"/>
      <c r="D41" s="398"/>
      <c r="E41" s="4"/>
      <c r="F41" s="371"/>
      <c r="G41" s="371"/>
      <c r="H41" s="371"/>
      <c r="I41" s="371"/>
      <c r="J41" s="371"/>
      <c r="K41" s="371"/>
      <c r="L41" s="371"/>
      <c r="M41" s="371"/>
      <c r="N41" s="371"/>
      <c r="O41" s="371"/>
      <c r="P41" s="371"/>
      <c r="Q41" s="371"/>
      <c r="R41" s="371"/>
      <c r="S41" s="371"/>
      <c r="T41" s="371"/>
      <c r="U41" s="371"/>
      <c r="V41" s="371"/>
      <c r="W41" s="371"/>
      <c r="X41" s="371"/>
      <c r="Y41" s="371"/>
      <c r="Z41" s="371"/>
      <c r="AA41" s="371"/>
      <c r="AB41" s="371"/>
      <c r="AC41" s="371"/>
      <c r="AD41" s="371"/>
      <c r="AE41" s="371"/>
    </row>
    <row r="42" ht="15.75" customHeight="1">
      <c r="A42" s="397"/>
      <c r="B42" s="397"/>
      <c r="C42" s="397"/>
      <c r="D42" s="400"/>
      <c r="E42" s="4"/>
      <c r="F42" s="371"/>
      <c r="G42" s="371"/>
      <c r="H42" s="371"/>
      <c r="I42" s="371"/>
      <c r="J42" s="371"/>
      <c r="K42" s="371"/>
      <c r="L42" s="371"/>
      <c r="M42" s="371"/>
      <c r="N42" s="371"/>
      <c r="O42" s="371"/>
      <c r="P42" s="371"/>
      <c r="Q42" s="371"/>
      <c r="R42" s="371"/>
      <c r="S42" s="371"/>
      <c r="T42" s="371"/>
      <c r="U42" s="371"/>
      <c r="V42" s="371"/>
      <c r="W42" s="371"/>
      <c r="X42" s="371"/>
      <c r="Y42" s="371"/>
      <c r="Z42" s="371"/>
      <c r="AA42" s="371"/>
      <c r="AB42" s="371"/>
      <c r="AC42" s="371"/>
      <c r="AD42" s="371"/>
      <c r="AE42" s="371"/>
    </row>
    <row r="43" ht="15.75" customHeight="1">
      <c r="A43" s="397"/>
      <c r="B43" s="397"/>
      <c r="C43" s="397"/>
      <c r="D43" s="398"/>
      <c r="E43" s="4"/>
      <c r="F43" s="371"/>
      <c r="G43" s="371"/>
      <c r="H43" s="371"/>
      <c r="I43" s="371"/>
      <c r="J43" s="371"/>
      <c r="K43" s="371"/>
      <c r="L43" s="371"/>
      <c r="M43" s="371"/>
      <c r="N43" s="371"/>
      <c r="O43" s="371"/>
      <c r="P43" s="371"/>
      <c r="Q43" s="371"/>
      <c r="R43" s="371"/>
      <c r="S43" s="371"/>
      <c r="T43" s="371"/>
      <c r="U43" s="371"/>
      <c r="V43" s="371"/>
      <c r="W43" s="371"/>
      <c r="X43" s="371"/>
      <c r="Y43" s="371"/>
      <c r="Z43" s="371"/>
      <c r="AA43" s="371"/>
      <c r="AB43" s="371"/>
      <c r="AC43" s="371"/>
      <c r="AD43" s="371"/>
      <c r="AE43" s="371"/>
    </row>
    <row r="44" ht="15.75" customHeight="1">
      <c r="A44" s="397"/>
      <c r="B44" s="397"/>
      <c r="C44" s="397"/>
      <c r="D44" s="401"/>
      <c r="E44" s="4"/>
      <c r="F44" s="371"/>
      <c r="G44" s="371"/>
      <c r="H44" s="371"/>
      <c r="I44" s="371"/>
      <c r="J44" s="371"/>
      <c r="K44" s="371"/>
      <c r="L44" s="371"/>
      <c r="M44" s="371"/>
      <c r="N44" s="371"/>
      <c r="O44" s="371"/>
      <c r="P44" s="371"/>
      <c r="Q44" s="371"/>
      <c r="R44" s="371"/>
      <c r="S44" s="371"/>
      <c r="T44" s="371"/>
      <c r="U44" s="371"/>
      <c r="V44" s="371"/>
      <c r="W44" s="371"/>
      <c r="X44" s="371"/>
      <c r="Y44" s="371"/>
      <c r="Z44" s="371"/>
      <c r="AA44" s="371"/>
      <c r="AB44" s="371"/>
      <c r="AC44" s="371"/>
      <c r="AD44" s="371"/>
      <c r="AE44" s="371"/>
    </row>
    <row r="45" ht="15.75" customHeight="1">
      <c r="A45" s="397"/>
      <c r="B45" s="402"/>
      <c r="C45" s="397"/>
      <c r="D45" s="403"/>
      <c r="E45" s="4"/>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row>
    <row r="46" ht="15.75" customHeight="1">
      <c r="A46" s="397"/>
      <c r="B46" s="397"/>
      <c r="C46" s="397"/>
      <c r="D46" s="398"/>
      <c r="E46" s="4"/>
      <c r="F46" s="371"/>
      <c r="G46" s="371"/>
      <c r="H46" s="371"/>
      <c r="I46" s="371"/>
      <c r="J46" s="371"/>
      <c r="K46" s="371"/>
      <c r="L46" s="371"/>
      <c r="M46" s="371"/>
      <c r="N46" s="371"/>
      <c r="O46" s="371"/>
      <c r="P46" s="371"/>
      <c r="Q46" s="371"/>
      <c r="R46" s="371"/>
      <c r="S46" s="371"/>
      <c r="T46" s="371"/>
      <c r="U46" s="371"/>
      <c r="V46" s="371"/>
      <c r="W46" s="371"/>
      <c r="X46" s="371"/>
      <c r="Y46" s="371"/>
      <c r="Z46" s="371"/>
      <c r="AA46" s="371"/>
      <c r="AB46" s="371"/>
      <c r="AC46" s="371"/>
      <c r="AD46" s="371"/>
      <c r="AE46" s="371"/>
    </row>
    <row r="47" ht="15.75" customHeight="1">
      <c r="A47" s="397"/>
      <c r="B47" s="397"/>
      <c r="C47" s="404"/>
      <c r="E47" s="4"/>
      <c r="F47" s="371"/>
      <c r="G47" s="371"/>
      <c r="H47" s="371"/>
      <c r="I47" s="371"/>
      <c r="J47" s="371"/>
      <c r="K47" s="371"/>
      <c r="L47" s="371"/>
      <c r="M47" s="371"/>
      <c r="N47" s="371"/>
      <c r="O47" s="371"/>
      <c r="P47" s="371"/>
      <c r="Q47" s="371"/>
      <c r="R47" s="371"/>
      <c r="S47" s="371"/>
      <c r="T47" s="371"/>
      <c r="U47" s="371"/>
      <c r="V47" s="371"/>
      <c r="W47" s="371"/>
      <c r="X47" s="371"/>
      <c r="Y47" s="371"/>
      <c r="Z47" s="371"/>
      <c r="AA47" s="371"/>
      <c r="AB47" s="371"/>
      <c r="AC47" s="371"/>
      <c r="AD47" s="371"/>
      <c r="AE47" s="371"/>
    </row>
    <row r="48" ht="15.75" customHeight="1">
      <c r="A48" s="397"/>
      <c r="B48" s="405"/>
      <c r="E48" s="4"/>
      <c r="F48" s="371"/>
      <c r="G48" s="371"/>
      <c r="H48" s="371"/>
      <c r="I48" s="371"/>
      <c r="J48" s="371"/>
      <c r="K48" s="371"/>
      <c r="L48" s="371"/>
      <c r="M48" s="371"/>
      <c r="N48" s="379"/>
      <c r="O48" s="61"/>
      <c r="P48" s="62"/>
      <c r="Q48" s="379"/>
      <c r="R48" s="61"/>
      <c r="S48" s="62"/>
      <c r="T48" s="371"/>
      <c r="U48" s="371"/>
      <c r="V48" s="371"/>
      <c r="W48" s="371"/>
      <c r="X48" s="371"/>
      <c r="Y48" s="371"/>
      <c r="Z48" s="371"/>
      <c r="AA48" s="371"/>
      <c r="AB48" s="371"/>
      <c r="AC48" s="371"/>
      <c r="AD48" s="371"/>
      <c r="AE48" s="371"/>
    </row>
    <row r="49" ht="15.75" customHeight="1">
      <c r="A49" s="397"/>
      <c r="B49" s="397"/>
      <c r="E49" s="4"/>
      <c r="F49" s="371"/>
      <c r="G49" s="371"/>
      <c r="H49" s="371"/>
      <c r="I49" s="371"/>
      <c r="J49" s="371"/>
      <c r="K49" s="371"/>
      <c r="L49" s="371"/>
      <c r="M49" s="371"/>
      <c r="N49" s="371"/>
      <c r="O49" s="371"/>
      <c r="P49" s="371"/>
      <c r="Q49" s="371"/>
      <c r="R49" s="371"/>
      <c r="S49" s="371"/>
      <c r="T49" s="371"/>
      <c r="U49" s="371"/>
      <c r="V49" s="371"/>
      <c r="W49" s="371"/>
      <c r="X49" s="371"/>
      <c r="Y49" s="371"/>
      <c r="Z49" s="371"/>
      <c r="AA49" s="371"/>
      <c r="AB49" s="371"/>
      <c r="AC49" s="371"/>
      <c r="AD49" s="371"/>
      <c r="AE49" s="371"/>
    </row>
    <row r="50" ht="15.75" customHeight="1">
      <c r="A50" s="397"/>
      <c r="B50" s="397"/>
      <c r="C50" s="397"/>
      <c r="D50" s="398"/>
      <c r="E50" s="4"/>
      <c r="F50" s="371"/>
      <c r="G50" s="371"/>
      <c r="H50" s="371"/>
      <c r="I50" s="371"/>
      <c r="J50" s="371"/>
      <c r="K50" s="371"/>
      <c r="L50" s="371"/>
      <c r="M50" s="371"/>
      <c r="N50" s="371"/>
      <c r="O50" s="371"/>
      <c r="P50" s="371"/>
      <c r="Q50" s="371"/>
      <c r="R50" s="371"/>
      <c r="S50" s="371"/>
      <c r="T50" s="371"/>
      <c r="U50" s="371"/>
      <c r="V50" s="371"/>
      <c r="W50" s="371"/>
      <c r="X50" s="371"/>
      <c r="Y50" s="371"/>
      <c r="Z50" s="371"/>
      <c r="AA50" s="371"/>
      <c r="AB50" s="371"/>
      <c r="AC50" s="371"/>
      <c r="AD50" s="371"/>
      <c r="AE50" s="371"/>
    </row>
    <row r="51" ht="15.75" customHeight="1">
      <c r="A51" s="397"/>
      <c r="B51" s="397"/>
      <c r="C51" s="397"/>
      <c r="D51" s="401"/>
      <c r="E51" s="4"/>
      <c r="F51" s="371"/>
      <c r="G51" s="371"/>
      <c r="H51" s="371"/>
      <c r="I51" s="371"/>
      <c r="J51" s="371"/>
      <c r="K51" s="371"/>
      <c r="L51" s="371"/>
      <c r="M51" s="371"/>
      <c r="N51" s="371"/>
      <c r="O51" s="371"/>
      <c r="P51" s="371"/>
      <c r="Q51" s="371"/>
      <c r="R51" s="371"/>
      <c r="S51" s="371"/>
      <c r="T51" s="371"/>
      <c r="U51" s="371"/>
      <c r="V51" s="371"/>
      <c r="W51" s="371"/>
      <c r="X51" s="371"/>
      <c r="Y51" s="371"/>
      <c r="Z51" s="371"/>
      <c r="AA51" s="371"/>
      <c r="AB51" s="371"/>
      <c r="AC51" s="371"/>
      <c r="AD51" s="371"/>
      <c r="AE51" s="371"/>
    </row>
    <row r="52" ht="15.75" customHeight="1">
      <c r="A52" s="397"/>
      <c r="B52" s="397"/>
      <c r="C52" s="397"/>
      <c r="D52" s="401"/>
      <c r="E52" s="4"/>
      <c r="F52" s="371"/>
      <c r="G52" s="371"/>
      <c r="H52" s="371"/>
      <c r="I52" s="371"/>
      <c r="J52" s="371"/>
      <c r="K52" s="371"/>
      <c r="L52" s="371"/>
      <c r="M52" s="371"/>
      <c r="N52" s="371"/>
      <c r="O52" s="371"/>
      <c r="P52" s="371"/>
      <c r="Q52" s="371"/>
      <c r="R52" s="371"/>
      <c r="S52" s="371"/>
      <c r="T52" s="371"/>
      <c r="U52" s="371"/>
      <c r="V52" s="371"/>
      <c r="W52" s="371"/>
      <c r="X52" s="371"/>
      <c r="Y52" s="371"/>
      <c r="Z52" s="371"/>
      <c r="AA52" s="371"/>
      <c r="AB52" s="371"/>
      <c r="AC52" s="371"/>
      <c r="AD52" s="371"/>
      <c r="AE52" s="371"/>
    </row>
    <row r="53" ht="15.75" customHeight="1">
      <c r="A53" s="397"/>
      <c r="B53" s="397"/>
      <c r="C53" s="397"/>
      <c r="D53" s="398"/>
      <c r="E53" s="4"/>
      <c r="F53" s="371"/>
      <c r="G53" s="371"/>
      <c r="H53" s="371"/>
      <c r="I53" s="371"/>
      <c r="J53" s="371"/>
      <c r="K53" s="371"/>
      <c r="L53" s="371"/>
      <c r="M53" s="371"/>
      <c r="N53" s="371"/>
      <c r="O53" s="371"/>
      <c r="P53" s="371"/>
      <c r="Q53" s="371"/>
      <c r="R53" s="371"/>
      <c r="S53" s="371"/>
      <c r="T53" s="371"/>
      <c r="U53" s="371"/>
      <c r="V53" s="371"/>
      <c r="W53" s="371"/>
      <c r="X53" s="371"/>
      <c r="Y53" s="371"/>
      <c r="Z53" s="371"/>
      <c r="AA53" s="371"/>
      <c r="AB53" s="371"/>
      <c r="AC53" s="371"/>
      <c r="AD53" s="371"/>
      <c r="AE53" s="371"/>
    </row>
    <row r="54" ht="15.75" customHeight="1">
      <c r="A54" s="397"/>
      <c r="B54" s="397"/>
      <c r="C54" s="397"/>
      <c r="D54" s="398"/>
      <c r="E54" s="4"/>
      <c r="F54" s="371"/>
      <c r="G54" s="371"/>
      <c r="H54" s="371"/>
      <c r="I54" s="371"/>
      <c r="J54" s="371"/>
      <c r="K54" s="371"/>
      <c r="L54" s="371"/>
      <c r="M54" s="371"/>
      <c r="N54" s="371"/>
      <c r="O54" s="371"/>
      <c r="P54" s="371"/>
      <c r="Q54" s="371"/>
      <c r="R54" s="371"/>
      <c r="S54" s="371"/>
      <c r="T54" s="371"/>
      <c r="U54" s="371"/>
      <c r="V54" s="371"/>
      <c r="W54" s="371"/>
      <c r="X54" s="371"/>
      <c r="Y54" s="371"/>
      <c r="Z54" s="371"/>
      <c r="AA54" s="371"/>
      <c r="AB54" s="371"/>
      <c r="AC54" s="371"/>
      <c r="AD54" s="371"/>
      <c r="AE54" s="371"/>
    </row>
    <row r="55" ht="15.75" customHeight="1">
      <c r="A55" s="397"/>
      <c r="B55" s="397"/>
      <c r="C55" s="397"/>
      <c r="D55" s="398"/>
      <c r="E55" s="4"/>
      <c r="F55" s="371"/>
      <c r="G55" s="371"/>
      <c r="H55" s="371"/>
      <c r="I55" s="371"/>
      <c r="J55" s="371"/>
      <c r="K55" s="371"/>
      <c r="L55" s="371"/>
      <c r="M55" s="371"/>
      <c r="N55" s="371"/>
      <c r="O55" s="371"/>
      <c r="P55" s="371"/>
      <c r="Q55" s="371"/>
      <c r="R55" s="371"/>
      <c r="S55" s="371"/>
      <c r="T55" s="371"/>
      <c r="U55" s="371"/>
      <c r="V55" s="371"/>
      <c r="W55" s="371"/>
      <c r="X55" s="371"/>
      <c r="Y55" s="371"/>
      <c r="Z55" s="371"/>
      <c r="AA55" s="371"/>
      <c r="AB55" s="371"/>
      <c r="AC55" s="371"/>
      <c r="AD55" s="371"/>
      <c r="AE55" s="371"/>
    </row>
    <row r="56" ht="15.75" customHeight="1">
      <c r="A56" s="397"/>
      <c r="B56" s="397"/>
      <c r="C56" s="397"/>
      <c r="D56" s="398"/>
      <c r="E56" s="4"/>
      <c r="F56" s="371"/>
      <c r="G56" s="371"/>
      <c r="H56" s="371"/>
      <c r="I56" s="371"/>
      <c r="J56" s="371"/>
      <c r="K56" s="371"/>
      <c r="L56" s="371"/>
      <c r="M56" s="371"/>
      <c r="N56" s="371"/>
      <c r="O56" s="371"/>
      <c r="P56" s="371"/>
      <c r="Q56" s="371"/>
      <c r="R56" s="371"/>
      <c r="S56" s="371"/>
      <c r="T56" s="371"/>
      <c r="U56" s="371"/>
      <c r="V56" s="371"/>
      <c r="W56" s="371"/>
      <c r="X56" s="371"/>
      <c r="Y56" s="371"/>
      <c r="Z56" s="371"/>
      <c r="AA56" s="371"/>
      <c r="AB56" s="371"/>
      <c r="AC56" s="371"/>
      <c r="AD56" s="371"/>
      <c r="AE56" s="371"/>
    </row>
    <row r="57" ht="15.75" customHeight="1">
      <c r="A57" s="397"/>
      <c r="B57" s="397"/>
      <c r="C57" s="397"/>
      <c r="D57" s="398"/>
      <c r="E57" s="4"/>
      <c r="F57" s="371"/>
      <c r="G57" s="371"/>
      <c r="H57" s="371"/>
      <c r="I57" s="371"/>
      <c r="J57" s="371"/>
      <c r="K57" s="371"/>
      <c r="L57" s="371"/>
      <c r="M57" s="371"/>
      <c r="N57" s="371"/>
      <c r="O57" s="371"/>
      <c r="P57" s="371"/>
      <c r="Q57" s="371"/>
      <c r="R57" s="371"/>
      <c r="S57" s="371"/>
      <c r="T57" s="371"/>
      <c r="U57" s="371"/>
      <c r="V57" s="371"/>
      <c r="W57" s="371"/>
      <c r="X57" s="371"/>
      <c r="Y57" s="371"/>
      <c r="Z57" s="371"/>
      <c r="AA57" s="371"/>
      <c r="AB57" s="371"/>
      <c r="AC57" s="371"/>
      <c r="AD57" s="371"/>
      <c r="AE57" s="371"/>
    </row>
    <row r="58" ht="15.75" customHeight="1">
      <c r="A58" s="397"/>
      <c r="B58" s="397"/>
      <c r="C58" s="397"/>
      <c r="D58" s="398"/>
      <c r="E58" s="4"/>
      <c r="F58" s="371"/>
      <c r="G58" s="371"/>
      <c r="H58" s="371"/>
      <c r="I58" s="371"/>
      <c r="J58" s="371"/>
      <c r="K58" s="371"/>
      <c r="L58" s="371"/>
      <c r="M58" s="371"/>
      <c r="N58" s="371"/>
      <c r="O58" s="371"/>
      <c r="P58" s="371"/>
      <c r="Q58" s="371"/>
      <c r="R58" s="371"/>
      <c r="S58" s="371"/>
      <c r="T58" s="371"/>
      <c r="U58" s="371"/>
      <c r="V58" s="371"/>
      <c r="W58" s="371"/>
      <c r="X58" s="371"/>
      <c r="Y58" s="371"/>
      <c r="Z58" s="371"/>
      <c r="AA58" s="371"/>
      <c r="AB58" s="371"/>
      <c r="AC58" s="371"/>
      <c r="AD58" s="371"/>
      <c r="AE58" s="371"/>
    </row>
    <row r="59" ht="15.75" customHeight="1">
      <c r="A59" s="397"/>
      <c r="B59" s="397"/>
      <c r="C59" s="397"/>
      <c r="D59" s="398"/>
      <c r="E59" s="4"/>
      <c r="F59" s="371"/>
      <c r="G59" s="371"/>
      <c r="H59" s="371"/>
      <c r="I59" s="371"/>
      <c r="J59" s="371"/>
      <c r="K59" s="371"/>
      <c r="L59" s="371"/>
      <c r="M59" s="371"/>
      <c r="N59" s="371"/>
      <c r="O59" s="371"/>
      <c r="P59" s="371"/>
      <c r="Q59" s="371"/>
      <c r="R59" s="371"/>
      <c r="S59" s="371"/>
      <c r="T59" s="371"/>
      <c r="U59" s="371"/>
      <c r="V59" s="371"/>
      <c r="W59" s="371"/>
      <c r="X59" s="371"/>
      <c r="Y59" s="371"/>
      <c r="Z59" s="371"/>
      <c r="AA59" s="371"/>
      <c r="AB59" s="371"/>
      <c r="AC59" s="371"/>
      <c r="AD59" s="371"/>
      <c r="AE59" s="371"/>
    </row>
    <row r="60" ht="15.75" customHeight="1">
      <c r="A60" s="397"/>
      <c r="B60" s="397"/>
      <c r="C60" s="397"/>
      <c r="D60" s="398"/>
      <c r="E60" s="4"/>
      <c r="F60" s="371"/>
      <c r="G60" s="371"/>
      <c r="H60" s="371"/>
      <c r="I60" s="371"/>
      <c r="J60" s="371"/>
      <c r="K60" s="371"/>
      <c r="L60" s="371"/>
      <c r="M60" s="371"/>
      <c r="N60" s="371"/>
      <c r="O60" s="371"/>
      <c r="P60" s="371"/>
      <c r="Q60" s="371"/>
      <c r="R60" s="371"/>
      <c r="S60" s="371"/>
      <c r="T60" s="371"/>
      <c r="U60" s="371"/>
      <c r="V60" s="371"/>
      <c r="W60" s="371"/>
      <c r="X60" s="371"/>
      <c r="Y60" s="371"/>
      <c r="Z60" s="371"/>
      <c r="AA60" s="371"/>
      <c r="AB60" s="371"/>
      <c r="AC60" s="371"/>
      <c r="AD60" s="371"/>
      <c r="AE60" s="371"/>
    </row>
    <row r="61" ht="15.75" customHeight="1">
      <c r="A61" s="397"/>
      <c r="B61" s="397"/>
      <c r="C61" s="397"/>
      <c r="D61" s="398"/>
      <c r="E61" s="4"/>
      <c r="F61" s="371"/>
      <c r="G61" s="371"/>
      <c r="H61" s="371"/>
      <c r="I61" s="371"/>
      <c r="J61" s="371"/>
      <c r="K61" s="371"/>
      <c r="L61" s="371"/>
      <c r="M61" s="371"/>
      <c r="N61" s="371"/>
      <c r="O61" s="371"/>
      <c r="P61" s="371"/>
      <c r="Q61" s="371"/>
      <c r="R61" s="371"/>
      <c r="S61" s="371"/>
      <c r="T61" s="371"/>
      <c r="U61" s="371"/>
      <c r="V61" s="371"/>
      <c r="W61" s="371"/>
      <c r="X61" s="371"/>
      <c r="Y61" s="371"/>
      <c r="Z61" s="371"/>
      <c r="AA61" s="371"/>
      <c r="AB61" s="371"/>
      <c r="AC61" s="371"/>
      <c r="AD61" s="371"/>
      <c r="AE61" s="371"/>
    </row>
    <row r="62" ht="15.75" customHeight="1">
      <c r="A62" s="397"/>
      <c r="B62" s="397"/>
      <c r="C62" s="397"/>
      <c r="D62" s="398"/>
      <c r="E62" s="4"/>
      <c r="F62" s="371"/>
      <c r="G62" s="371"/>
      <c r="H62" s="371"/>
      <c r="I62" s="371"/>
      <c r="J62" s="371"/>
      <c r="K62" s="371"/>
      <c r="L62" s="371"/>
      <c r="M62" s="371"/>
      <c r="N62" s="371"/>
      <c r="O62" s="371"/>
      <c r="P62" s="371"/>
      <c r="Q62" s="371"/>
      <c r="R62" s="371"/>
      <c r="S62" s="371"/>
      <c r="T62" s="371"/>
      <c r="U62" s="371"/>
      <c r="V62" s="371"/>
      <c r="W62" s="371"/>
      <c r="X62" s="371"/>
      <c r="Y62" s="371"/>
      <c r="Z62" s="371"/>
      <c r="AA62" s="371"/>
      <c r="AB62" s="371"/>
      <c r="AC62" s="371"/>
      <c r="AD62" s="371"/>
      <c r="AE62" s="371"/>
    </row>
    <row r="63" ht="15.75" customHeight="1">
      <c r="A63" s="397"/>
      <c r="B63" s="397"/>
      <c r="C63" s="397"/>
      <c r="D63" s="398"/>
      <c r="E63" s="4"/>
      <c r="F63" s="371"/>
      <c r="G63" s="371"/>
      <c r="H63" s="371"/>
      <c r="I63" s="371"/>
      <c r="J63" s="371"/>
      <c r="K63" s="371"/>
      <c r="L63" s="371"/>
      <c r="M63" s="371"/>
      <c r="N63" s="371"/>
      <c r="O63" s="371"/>
      <c r="P63" s="371"/>
      <c r="Q63" s="371"/>
      <c r="R63" s="371"/>
      <c r="S63" s="371"/>
      <c r="T63" s="371"/>
      <c r="U63" s="371"/>
      <c r="V63" s="371"/>
      <c r="W63" s="371"/>
      <c r="X63" s="371"/>
      <c r="Y63" s="371"/>
      <c r="Z63" s="371"/>
      <c r="AA63" s="371"/>
      <c r="AB63" s="371"/>
      <c r="AC63" s="371"/>
      <c r="AD63" s="371"/>
      <c r="AE63" s="371"/>
    </row>
    <row r="64" ht="15.75" customHeight="1">
      <c r="A64" s="397"/>
      <c r="B64" s="397"/>
      <c r="C64" s="397"/>
      <c r="D64" s="398"/>
      <c r="E64" s="4"/>
      <c r="F64" s="371"/>
      <c r="G64" s="371"/>
      <c r="H64" s="371"/>
      <c r="I64" s="371"/>
      <c r="J64" s="371"/>
      <c r="K64" s="371"/>
      <c r="L64" s="371"/>
      <c r="M64" s="371"/>
      <c r="N64" s="371"/>
      <c r="O64" s="371"/>
      <c r="P64" s="371"/>
      <c r="Q64" s="371"/>
      <c r="R64" s="371"/>
      <c r="S64" s="371"/>
      <c r="T64" s="371"/>
      <c r="U64" s="371"/>
      <c r="V64" s="371"/>
      <c r="W64" s="371"/>
      <c r="X64" s="371"/>
      <c r="Y64" s="371"/>
      <c r="Z64" s="371"/>
      <c r="AA64" s="371"/>
      <c r="AB64" s="371"/>
      <c r="AC64" s="371"/>
      <c r="AD64" s="371"/>
      <c r="AE64" s="371"/>
    </row>
    <row r="65" ht="15.75" customHeight="1">
      <c r="A65" s="397"/>
      <c r="B65" s="397"/>
      <c r="C65" s="397"/>
      <c r="D65" s="398"/>
      <c r="E65" s="4"/>
      <c r="F65" s="371"/>
      <c r="G65" s="371"/>
      <c r="H65" s="371"/>
      <c r="I65" s="371"/>
      <c r="J65" s="371"/>
      <c r="K65" s="371"/>
      <c r="L65" s="371"/>
      <c r="M65" s="371"/>
      <c r="N65" s="371"/>
      <c r="O65" s="371"/>
      <c r="P65" s="371"/>
      <c r="Q65" s="371"/>
      <c r="R65" s="371"/>
      <c r="S65" s="371"/>
      <c r="T65" s="371"/>
      <c r="U65" s="371"/>
      <c r="V65" s="371"/>
      <c r="W65" s="371"/>
      <c r="X65" s="371"/>
      <c r="Y65" s="371"/>
      <c r="Z65" s="371"/>
      <c r="AA65" s="371"/>
      <c r="AB65" s="371"/>
      <c r="AC65" s="371"/>
      <c r="AD65" s="371"/>
      <c r="AE65" s="371"/>
    </row>
    <row r="66" ht="15.75" customHeight="1">
      <c r="A66" s="397"/>
      <c r="B66" s="397"/>
      <c r="C66" s="397"/>
      <c r="D66" s="398"/>
      <c r="E66" s="4"/>
      <c r="F66" s="371"/>
      <c r="G66" s="371"/>
      <c r="H66" s="371"/>
      <c r="I66" s="371"/>
      <c r="J66" s="371"/>
      <c r="K66" s="371"/>
      <c r="L66" s="371"/>
      <c r="M66" s="371"/>
      <c r="N66" s="371"/>
      <c r="O66" s="371"/>
      <c r="P66" s="371"/>
      <c r="Q66" s="371"/>
      <c r="R66" s="371"/>
      <c r="S66" s="371"/>
      <c r="T66" s="371"/>
      <c r="U66" s="371"/>
      <c r="V66" s="371"/>
      <c r="W66" s="371"/>
      <c r="X66" s="371"/>
      <c r="Y66" s="371"/>
      <c r="Z66" s="371"/>
      <c r="AA66" s="371"/>
      <c r="AB66" s="371"/>
      <c r="AC66" s="371"/>
      <c r="AD66" s="371"/>
      <c r="AE66" s="371"/>
    </row>
    <row r="67" ht="15.75" customHeight="1">
      <c r="A67" s="397"/>
      <c r="B67" s="397"/>
      <c r="C67" s="397"/>
      <c r="D67" s="398"/>
      <c r="E67" s="4"/>
      <c r="F67" s="371"/>
      <c r="G67" s="371"/>
      <c r="H67" s="371"/>
      <c r="I67" s="371"/>
      <c r="J67" s="371"/>
      <c r="K67" s="371"/>
      <c r="L67" s="371"/>
      <c r="M67" s="371"/>
      <c r="N67" s="371"/>
      <c r="O67" s="371"/>
      <c r="P67" s="371"/>
      <c r="Q67" s="371"/>
      <c r="R67" s="371"/>
      <c r="S67" s="371"/>
      <c r="T67" s="371"/>
      <c r="U67" s="371"/>
      <c r="V67" s="371"/>
      <c r="W67" s="371"/>
      <c r="X67" s="371"/>
      <c r="Y67" s="371"/>
      <c r="Z67" s="371"/>
      <c r="AA67" s="371"/>
      <c r="AB67" s="371"/>
      <c r="AC67" s="371"/>
      <c r="AD67" s="371"/>
      <c r="AE67" s="371"/>
    </row>
    <row r="68" ht="15.75" customHeight="1">
      <c r="A68" s="397"/>
      <c r="B68" s="397"/>
      <c r="C68" s="397"/>
      <c r="D68" s="398"/>
      <c r="E68" s="4"/>
      <c r="F68" s="371"/>
      <c r="G68" s="371"/>
      <c r="H68" s="371"/>
      <c r="I68" s="371"/>
      <c r="J68" s="371"/>
      <c r="K68" s="371"/>
      <c r="L68" s="371"/>
      <c r="M68" s="371"/>
      <c r="N68" s="371"/>
      <c r="O68" s="371"/>
      <c r="P68" s="371"/>
      <c r="Q68" s="371"/>
      <c r="R68" s="371"/>
      <c r="S68" s="371"/>
      <c r="T68" s="371"/>
      <c r="U68" s="371"/>
      <c r="V68" s="371"/>
      <c r="W68" s="371"/>
      <c r="X68" s="371"/>
      <c r="Y68" s="371"/>
      <c r="Z68" s="371"/>
      <c r="AA68" s="371"/>
      <c r="AB68" s="371"/>
      <c r="AC68" s="371"/>
      <c r="AD68" s="371"/>
      <c r="AE68" s="371"/>
    </row>
    <row r="69" ht="15.75" customHeight="1">
      <c r="A69" s="397"/>
      <c r="B69" s="397"/>
      <c r="C69" s="397"/>
      <c r="D69" s="398"/>
      <c r="E69" s="4"/>
      <c r="F69" s="371"/>
      <c r="G69" s="371"/>
      <c r="H69" s="371"/>
      <c r="I69" s="371"/>
      <c r="J69" s="371"/>
      <c r="K69" s="371"/>
      <c r="L69" s="371"/>
      <c r="M69" s="371"/>
      <c r="N69" s="371"/>
      <c r="O69" s="371"/>
      <c r="P69" s="371"/>
      <c r="Q69" s="371"/>
      <c r="R69" s="371"/>
      <c r="S69" s="371"/>
      <c r="T69" s="371"/>
      <c r="U69" s="371"/>
      <c r="V69" s="371"/>
      <c r="W69" s="371"/>
      <c r="X69" s="371"/>
      <c r="Y69" s="371"/>
      <c r="Z69" s="371"/>
      <c r="AA69" s="371"/>
      <c r="AB69" s="371"/>
      <c r="AC69" s="371"/>
      <c r="AD69" s="371"/>
      <c r="AE69" s="371"/>
    </row>
    <row r="70" ht="15.75" customHeight="1">
      <c r="A70" s="397"/>
      <c r="B70" s="397"/>
      <c r="C70" s="397"/>
      <c r="D70" s="398"/>
      <c r="E70" s="4"/>
      <c r="F70" s="4"/>
      <c r="G70" s="4"/>
      <c r="H70" s="4"/>
      <c r="I70" s="4"/>
      <c r="J70" s="4"/>
      <c r="K70" s="4"/>
      <c r="L70" s="4"/>
      <c r="M70" s="4"/>
    </row>
    <row r="71" ht="15.75" customHeight="1">
      <c r="A71" s="397"/>
      <c r="B71" s="397"/>
      <c r="C71" s="397"/>
      <c r="D71" s="398"/>
      <c r="E71" s="4"/>
      <c r="F71" s="4"/>
      <c r="G71" s="4"/>
      <c r="H71" s="4"/>
      <c r="I71" s="4"/>
      <c r="J71" s="4"/>
      <c r="K71" s="4"/>
      <c r="L71" s="4"/>
      <c r="M71" s="4"/>
    </row>
    <row r="72" ht="15.75" customHeight="1">
      <c r="A72" s="397"/>
      <c r="B72" s="397"/>
      <c r="C72" s="397"/>
      <c r="D72" s="398"/>
      <c r="E72" s="4"/>
      <c r="F72" s="4"/>
      <c r="G72" s="4"/>
      <c r="H72" s="4"/>
      <c r="I72" s="4"/>
      <c r="J72" s="4"/>
      <c r="K72" s="4"/>
      <c r="L72" s="4"/>
      <c r="M72" s="4"/>
    </row>
    <row r="73" ht="15.75" customHeight="1">
      <c r="A73" s="397"/>
      <c r="B73" s="397"/>
      <c r="C73" s="397"/>
      <c r="D73" s="398"/>
      <c r="E73" s="4"/>
      <c r="F73" s="4"/>
      <c r="G73" s="4"/>
      <c r="H73" s="4"/>
      <c r="I73" s="4"/>
      <c r="J73" s="4"/>
      <c r="K73" s="4"/>
      <c r="L73" s="4"/>
      <c r="M73" s="4"/>
    </row>
    <row r="74" ht="15.75" customHeight="1">
      <c r="A74" s="397"/>
      <c r="B74" s="397"/>
      <c r="C74" s="397"/>
      <c r="D74" s="398"/>
      <c r="E74" s="4"/>
      <c r="F74" s="4"/>
      <c r="G74" s="4"/>
      <c r="H74" s="4"/>
      <c r="I74" s="4"/>
      <c r="J74" s="4"/>
      <c r="K74" s="4"/>
      <c r="L74" s="4"/>
      <c r="M74" s="4"/>
    </row>
    <row r="75" ht="15.75" customHeight="1">
      <c r="A75" s="397"/>
      <c r="B75" s="397"/>
      <c r="C75" s="397"/>
      <c r="D75" s="398"/>
      <c r="E75" s="4"/>
      <c r="F75" s="4"/>
      <c r="G75" s="4"/>
      <c r="H75" s="4"/>
      <c r="I75" s="4"/>
      <c r="J75" s="4"/>
      <c r="K75" s="4"/>
      <c r="L75" s="4"/>
      <c r="M75" s="4"/>
    </row>
    <row r="76" ht="15.75" customHeight="1">
      <c r="A76" s="397"/>
      <c r="B76" s="397"/>
      <c r="C76" s="397"/>
      <c r="D76" s="398"/>
      <c r="E76" s="4"/>
      <c r="F76" s="4"/>
      <c r="G76" s="4"/>
      <c r="H76" s="4"/>
      <c r="I76" s="4"/>
      <c r="J76" s="4"/>
      <c r="K76" s="4"/>
      <c r="L76" s="4"/>
      <c r="M76" s="4"/>
    </row>
    <row r="77" ht="15.75" customHeight="1">
      <c r="A77" s="397"/>
      <c r="B77" s="397"/>
      <c r="C77" s="397"/>
      <c r="D77" s="398"/>
      <c r="E77" s="4"/>
      <c r="F77" s="4"/>
      <c r="G77" s="4"/>
      <c r="H77" s="4"/>
      <c r="I77" s="4"/>
      <c r="J77" s="4"/>
      <c r="K77" s="4"/>
      <c r="L77" s="4"/>
      <c r="M77" s="4"/>
    </row>
    <row r="78" ht="15.75" customHeight="1">
      <c r="A78" s="397"/>
      <c r="B78" s="397"/>
      <c r="C78" s="397"/>
      <c r="D78" s="398"/>
      <c r="E78" s="4"/>
      <c r="F78" s="4"/>
      <c r="G78" s="4"/>
      <c r="H78" s="4"/>
      <c r="I78" s="4"/>
      <c r="J78" s="4"/>
      <c r="K78" s="4"/>
      <c r="L78" s="4"/>
      <c r="M78" s="4"/>
    </row>
    <row r="79" ht="15.75" customHeight="1">
      <c r="A79" s="397"/>
      <c r="B79" s="397"/>
      <c r="C79" s="397"/>
      <c r="D79" s="398"/>
      <c r="E79" s="4"/>
      <c r="F79" s="4"/>
      <c r="G79" s="4"/>
      <c r="H79" s="4"/>
      <c r="I79" s="4"/>
      <c r="J79" s="4"/>
      <c r="K79" s="4"/>
      <c r="L79" s="4"/>
      <c r="M79" s="4"/>
    </row>
    <row r="80" ht="15.75" customHeight="1">
      <c r="A80" s="397"/>
      <c r="B80" s="397"/>
      <c r="C80" s="397"/>
      <c r="D80" s="398"/>
      <c r="E80" s="4"/>
      <c r="F80" s="4"/>
      <c r="G80" s="4"/>
      <c r="H80" s="4"/>
      <c r="I80" s="4"/>
      <c r="J80" s="4"/>
      <c r="K80" s="4"/>
      <c r="L80" s="4"/>
      <c r="M80" s="4"/>
    </row>
    <row r="81" ht="15.75" customHeight="1">
      <c r="A81" s="397"/>
      <c r="B81" s="397"/>
      <c r="C81" s="397"/>
      <c r="D81" s="398"/>
      <c r="E81" s="4"/>
      <c r="F81" s="4"/>
      <c r="G81" s="4"/>
      <c r="H81" s="4"/>
      <c r="I81" s="4"/>
      <c r="J81" s="4"/>
      <c r="K81" s="4"/>
      <c r="L81" s="4"/>
      <c r="M81" s="4"/>
    </row>
    <row r="82" ht="15.75" customHeight="1">
      <c r="A82" s="397"/>
      <c r="B82" s="397"/>
      <c r="C82" s="397"/>
      <c r="D82" s="398"/>
      <c r="E82" s="4"/>
      <c r="F82" s="4"/>
      <c r="G82" s="4"/>
      <c r="H82" s="4"/>
      <c r="I82" s="4"/>
      <c r="J82" s="4"/>
      <c r="K82" s="4"/>
      <c r="L82" s="4"/>
      <c r="M82" s="4"/>
    </row>
    <row r="83" ht="15.75" customHeight="1">
      <c r="A83" s="397"/>
      <c r="B83" s="397"/>
      <c r="C83" s="397"/>
      <c r="D83" s="398"/>
      <c r="E83" s="4"/>
      <c r="F83" s="4"/>
      <c r="G83" s="4"/>
      <c r="H83" s="4"/>
      <c r="I83" s="4"/>
      <c r="J83" s="4"/>
      <c r="K83" s="4"/>
      <c r="L83" s="4"/>
      <c r="M83" s="4"/>
    </row>
    <row r="84" ht="15.75" customHeight="1">
      <c r="A84" s="397"/>
      <c r="B84" s="397"/>
      <c r="C84" s="397"/>
      <c r="D84" s="398"/>
      <c r="E84" s="4"/>
      <c r="F84" s="4"/>
      <c r="G84" s="4"/>
      <c r="H84" s="4"/>
      <c r="I84" s="4"/>
      <c r="J84" s="4"/>
      <c r="K84" s="4"/>
      <c r="L84" s="4"/>
      <c r="M84" s="4"/>
    </row>
    <row r="85" ht="15.75" customHeight="1">
      <c r="A85" s="397"/>
      <c r="B85" s="397"/>
      <c r="C85" s="397"/>
      <c r="D85" s="398"/>
      <c r="E85" s="4"/>
      <c r="F85" s="4"/>
      <c r="G85" s="4"/>
      <c r="H85" s="4"/>
      <c r="I85" s="4"/>
      <c r="J85" s="4"/>
      <c r="K85" s="4"/>
      <c r="L85" s="4"/>
      <c r="M85" s="4"/>
    </row>
    <row r="86" ht="15.75" customHeight="1">
      <c r="A86" s="397"/>
      <c r="B86" s="397"/>
      <c r="C86" s="397"/>
      <c r="D86" s="398"/>
      <c r="E86" s="4"/>
      <c r="F86" s="4"/>
      <c r="G86" s="4"/>
      <c r="H86" s="4"/>
      <c r="I86" s="4"/>
      <c r="J86" s="4"/>
      <c r="K86" s="4"/>
      <c r="L86" s="4"/>
      <c r="M86" s="4"/>
    </row>
    <row r="87" ht="15.75" customHeight="1">
      <c r="A87" s="397"/>
      <c r="B87" s="397"/>
      <c r="C87" s="397"/>
      <c r="D87" s="398"/>
      <c r="E87" s="4"/>
      <c r="F87" s="4"/>
      <c r="G87" s="4"/>
      <c r="H87" s="4"/>
      <c r="I87" s="4"/>
      <c r="J87" s="4"/>
      <c r="K87" s="4"/>
      <c r="L87" s="4"/>
      <c r="M87" s="4"/>
    </row>
    <row r="88" ht="15.75" customHeight="1">
      <c r="A88" s="397"/>
      <c r="B88" s="397"/>
      <c r="C88" s="397"/>
      <c r="D88" s="398"/>
      <c r="E88" s="4"/>
      <c r="F88" s="4"/>
      <c r="G88" s="4"/>
      <c r="H88" s="4"/>
      <c r="I88" s="4"/>
      <c r="J88" s="4"/>
      <c r="K88" s="4"/>
      <c r="L88" s="4"/>
      <c r="M88" s="4"/>
    </row>
    <row r="89" ht="15.75" customHeight="1">
      <c r="A89" s="397"/>
      <c r="B89" s="397"/>
      <c r="C89" s="397"/>
      <c r="D89" s="398"/>
      <c r="E89" s="4"/>
      <c r="F89" s="4"/>
      <c r="G89" s="4"/>
      <c r="H89" s="4"/>
      <c r="I89" s="4"/>
      <c r="J89" s="4"/>
      <c r="K89" s="4"/>
      <c r="L89" s="4"/>
      <c r="M89" s="4"/>
    </row>
    <row r="90" ht="15.75" customHeight="1">
      <c r="A90" s="397"/>
      <c r="B90" s="397"/>
      <c r="C90" s="397"/>
      <c r="D90" s="398"/>
      <c r="E90" s="4"/>
      <c r="F90" s="4"/>
      <c r="G90" s="4"/>
      <c r="H90" s="4"/>
      <c r="I90" s="4"/>
      <c r="J90" s="4"/>
      <c r="K90" s="4"/>
      <c r="L90" s="4"/>
      <c r="M90" s="4"/>
    </row>
    <row r="91" ht="15.75" customHeight="1">
      <c r="A91" s="397"/>
      <c r="B91" s="397"/>
      <c r="C91" s="397"/>
      <c r="D91" s="398"/>
      <c r="E91" s="4"/>
      <c r="F91" s="4"/>
      <c r="G91" s="4"/>
      <c r="H91" s="4"/>
      <c r="I91" s="4"/>
      <c r="J91" s="4"/>
      <c r="K91" s="4"/>
      <c r="L91" s="4"/>
      <c r="M91" s="4"/>
    </row>
    <row r="92" ht="15.75" customHeight="1">
      <c r="A92" s="397"/>
      <c r="B92" s="397"/>
      <c r="C92" s="397"/>
      <c r="D92" s="398"/>
      <c r="E92" s="4"/>
      <c r="F92" s="4"/>
      <c r="G92" s="4"/>
      <c r="H92" s="4"/>
      <c r="I92" s="4"/>
      <c r="J92" s="4"/>
      <c r="K92" s="4"/>
      <c r="L92" s="4"/>
      <c r="M92" s="4"/>
    </row>
    <row r="93" ht="15.75" customHeight="1">
      <c r="A93" s="397"/>
      <c r="B93" s="397"/>
      <c r="C93" s="397"/>
      <c r="D93" s="398"/>
      <c r="E93" s="4"/>
      <c r="F93" s="4"/>
      <c r="G93" s="4"/>
      <c r="H93" s="4"/>
      <c r="I93" s="4"/>
      <c r="J93" s="4"/>
      <c r="K93" s="4"/>
      <c r="L93" s="4"/>
      <c r="M93" s="4"/>
    </row>
    <row r="94" ht="15.75" customHeight="1">
      <c r="A94" s="397"/>
      <c r="B94" s="397"/>
      <c r="C94" s="397"/>
      <c r="D94" s="398"/>
      <c r="E94" s="4"/>
      <c r="F94" s="4"/>
      <c r="G94" s="4"/>
      <c r="H94" s="4"/>
      <c r="I94" s="4"/>
      <c r="J94" s="4"/>
      <c r="K94" s="4"/>
      <c r="L94" s="4"/>
      <c r="M94" s="4"/>
    </row>
    <row r="95" ht="15.75" customHeight="1">
      <c r="A95" s="397"/>
      <c r="B95" s="397"/>
      <c r="C95" s="397"/>
      <c r="D95" s="398"/>
      <c r="E95" s="4"/>
      <c r="F95" s="4"/>
      <c r="G95" s="4"/>
      <c r="H95" s="4"/>
      <c r="I95" s="4"/>
      <c r="J95" s="4"/>
      <c r="K95" s="4"/>
      <c r="L95" s="4"/>
      <c r="M95" s="4"/>
    </row>
    <row r="96" ht="15.75" customHeight="1">
      <c r="A96" s="397"/>
      <c r="B96" s="397"/>
      <c r="C96" s="397"/>
      <c r="D96" s="398"/>
      <c r="E96" s="4"/>
      <c r="F96" s="4"/>
      <c r="G96" s="4"/>
      <c r="H96" s="4"/>
      <c r="I96" s="4"/>
      <c r="J96" s="4"/>
      <c r="K96" s="4"/>
      <c r="L96" s="4"/>
      <c r="M96" s="4"/>
    </row>
    <row r="97" ht="15.75" customHeight="1">
      <c r="A97" s="397"/>
      <c r="B97" s="397"/>
      <c r="C97" s="397"/>
      <c r="D97" s="398"/>
      <c r="E97" s="4"/>
      <c r="F97" s="4"/>
      <c r="G97" s="4"/>
      <c r="H97" s="4"/>
      <c r="I97" s="4"/>
      <c r="J97" s="4"/>
      <c r="K97" s="4"/>
      <c r="L97" s="4"/>
      <c r="M97" s="4"/>
    </row>
    <row r="98" ht="15.75" customHeight="1">
      <c r="A98" s="397"/>
      <c r="B98" s="397"/>
      <c r="C98" s="397"/>
      <c r="D98" s="398"/>
      <c r="E98" s="4"/>
      <c r="F98" s="4"/>
      <c r="G98" s="4"/>
      <c r="H98" s="4"/>
      <c r="I98" s="4"/>
      <c r="J98" s="4"/>
      <c r="K98" s="4"/>
      <c r="L98" s="4"/>
      <c r="M98" s="4"/>
    </row>
    <row r="99" ht="15.75" customHeight="1">
      <c r="A99" s="397"/>
      <c r="B99" s="397"/>
      <c r="C99" s="397"/>
      <c r="D99" s="398"/>
      <c r="E99" s="4"/>
      <c r="F99" s="4"/>
      <c r="G99" s="4"/>
      <c r="H99" s="4"/>
      <c r="I99" s="4"/>
      <c r="J99" s="4"/>
      <c r="K99" s="4"/>
      <c r="L99" s="4"/>
      <c r="M99" s="4"/>
    </row>
    <row r="100" ht="15.75" customHeight="1">
      <c r="A100" s="397"/>
      <c r="B100" s="397"/>
      <c r="C100" s="397"/>
      <c r="D100" s="398"/>
      <c r="E100" s="4"/>
      <c r="F100" s="4"/>
      <c r="G100" s="4"/>
      <c r="H100" s="4"/>
      <c r="I100" s="4"/>
      <c r="J100" s="4"/>
      <c r="K100" s="4"/>
      <c r="L100" s="4"/>
      <c r="M100" s="4"/>
    </row>
    <row r="101" ht="15.75" customHeight="1">
      <c r="A101" s="397"/>
      <c r="B101" s="397"/>
      <c r="C101" s="397"/>
      <c r="D101" s="398"/>
      <c r="E101" s="4"/>
      <c r="F101" s="4"/>
      <c r="G101" s="4"/>
      <c r="H101" s="4"/>
      <c r="I101" s="4"/>
      <c r="J101" s="4"/>
      <c r="K101" s="4"/>
      <c r="L101" s="4"/>
      <c r="M101" s="4"/>
    </row>
    <row r="102" ht="15.75" customHeight="1">
      <c r="A102" s="397"/>
      <c r="B102" s="397"/>
      <c r="C102" s="397"/>
      <c r="D102" s="398"/>
      <c r="E102" s="4"/>
      <c r="F102" s="4"/>
      <c r="G102" s="4"/>
      <c r="H102" s="4"/>
      <c r="I102" s="4"/>
      <c r="J102" s="4"/>
      <c r="K102" s="4"/>
      <c r="L102" s="4"/>
      <c r="M102" s="4"/>
    </row>
    <row r="103" ht="15.75" customHeight="1">
      <c r="A103" s="397"/>
      <c r="B103" s="397"/>
      <c r="C103" s="397"/>
      <c r="D103" s="398"/>
      <c r="E103" s="4"/>
      <c r="F103" s="4"/>
      <c r="G103" s="4"/>
      <c r="H103" s="4"/>
      <c r="I103" s="4"/>
      <c r="J103" s="4"/>
      <c r="K103" s="4"/>
      <c r="L103" s="4"/>
      <c r="M103" s="4"/>
    </row>
    <row r="104" ht="15.75" customHeight="1">
      <c r="A104" s="397"/>
      <c r="B104" s="397"/>
      <c r="C104" s="397"/>
      <c r="D104" s="398"/>
      <c r="E104" s="4"/>
      <c r="F104" s="4"/>
      <c r="G104" s="4"/>
      <c r="H104" s="4"/>
      <c r="I104" s="4"/>
      <c r="J104" s="4"/>
      <c r="K104" s="4"/>
      <c r="L104" s="4"/>
      <c r="M104" s="4"/>
    </row>
    <row r="105" ht="15.75" customHeight="1">
      <c r="A105" s="397"/>
      <c r="B105" s="397"/>
      <c r="C105" s="397"/>
      <c r="D105" s="398"/>
      <c r="E105" s="4"/>
      <c r="F105" s="4"/>
      <c r="G105" s="4"/>
      <c r="H105" s="4"/>
      <c r="I105" s="4"/>
      <c r="J105" s="4"/>
      <c r="K105" s="4"/>
      <c r="L105" s="4"/>
      <c r="M105" s="4"/>
    </row>
    <row r="106" ht="15.75" customHeight="1">
      <c r="A106" s="397"/>
      <c r="B106" s="397"/>
      <c r="C106" s="397"/>
      <c r="D106" s="398"/>
      <c r="E106" s="4"/>
      <c r="F106" s="4"/>
      <c r="G106" s="4"/>
      <c r="H106" s="4"/>
      <c r="I106" s="4"/>
      <c r="J106" s="4"/>
      <c r="K106" s="4"/>
      <c r="L106" s="4"/>
      <c r="M106" s="4"/>
    </row>
    <row r="107" ht="15.75" customHeight="1">
      <c r="A107" s="397"/>
      <c r="B107" s="397"/>
      <c r="C107" s="397"/>
      <c r="D107" s="398"/>
      <c r="E107" s="4"/>
      <c r="F107" s="4"/>
      <c r="G107" s="4"/>
      <c r="H107" s="4"/>
      <c r="I107" s="4"/>
      <c r="J107" s="4"/>
      <c r="K107" s="4"/>
      <c r="L107" s="4"/>
      <c r="M107" s="4"/>
    </row>
    <row r="108" ht="15.75" customHeight="1">
      <c r="A108" s="397"/>
      <c r="B108" s="397"/>
      <c r="C108" s="397"/>
      <c r="D108" s="398"/>
      <c r="E108" s="4"/>
      <c r="F108" s="4"/>
      <c r="G108" s="4"/>
      <c r="H108" s="4"/>
      <c r="I108" s="4"/>
      <c r="J108" s="4"/>
      <c r="K108" s="4"/>
      <c r="L108" s="4"/>
      <c r="M108" s="4"/>
    </row>
    <row r="109" ht="15.75" customHeight="1">
      <c r="A109" s="397"/>
      <c r="B109" s="397"/>
      <c r="C109" s="397"/>
      <c r="D109" s="398"/>
      <c r="E109" s="4"/>
      <c r="F109" s="4"/>
      <c r="G109" s="4"/>
      <c r="H109" s="4"/>
      <c r="I109" s="4"/>
      <c r="J109" s="4"/>
      <c r="K109" s="4"/>
      <c r="L109" s="4"/>
      <c r="M109" s="4"/>
    </row>
    <row r="110" ht="15.75" customHeight="1">
      <c r="A110" s="397"/>
      <c r="B110" s="397"/>
      <c r="C110" s="397"/>
      <c r="D110" s="398"/>
      <c r="E110" s="4"/>
      <c r="F110" s="4"/>
      <c r="G110" s="4"/>
      <c r="H110" s="4"/>
      <c r="I110" s="4"/>
      <c r="J110" s="4"/>
      <c r="K110" s="4"/>
      <c r="L110" s="4"/>
      <c r="M110" s="4"/>
    </row>
    <row r="111" ht="15.75" customHeight="1">
      <c r="A111" s="397"/>
      <c r="B111" s="397"/>
      <c r="C111" s="397"/>
      <c r="D111" s="398"/>
      <c r="E111" s="4"/>
      <c r="F111" s="4"/>
      <c r="G111" s="4"/>
      <c r="H111" s="4"/>
      <c r="I111" s="4"/>
      <c r="J111" s="4"/>
      <c r="K111" s="4"/>
      <c r="L111" s="4"/>
      <c r="M111" s="4"/>
    </row>
    <row r="112" ht="15.75" customHeight="1">
      <c r="A112" s="397"/>
      <c r="B112" s="397"/>
      <c r="C112" s="397"/>
      <c r="D112" s="398"/>
      <c r="E112" s="4"/>
      <c r="F112" s="4"/>
      <c r="G112" s="4"/>
      <c r="H112" s="4"/>
      <c r="I112" s="4"/>
      <c r="J112" s="4"/>
      <c r="K112" s="4"/>
      <c r="L112" s="4"/>
      <c r="M112" s="4"/>
    </row>
    <row r="113" ht="15.75" customHeight="1">
      <c r="A113" s="397"/>
      <c r="B113" s="397"/>
      <c r="C113" s="397"/>
      <c r="D113" s="398"/>
      <c r="E113" s="4"/>
      <c r="F113" s="4"/>
      <c r="G113" s="4"/>
      <c r="H113" s="4"/>
      <c r="I113" s="4"/>
      <c r="J113" s="4"/>
      <c r="K113" s="4"/>
      <c r="L113" s="4"/>
      <c r="M113" s="4"/>
    </row>
    <row r="114" ht="15.75" customHeight="1">
      <c r="A114" s="397"/>
      <c r="B114" s="397"/>
      <c r="C114" s="397"/>
      <c r="D114" s="398"/>
      <c r="E114" s="4"/>
      <c r="F114" s="4"/>
      <c r="G114" s="4"/>
      <c r="H114" s="4"/>
      <c r="I114" s="4"/>
      <c r="J114" s="4"/>
      <c r="K114" s="4"/>
      <c r="L114" s="4"/>
      <c r="M114" s="4"/>
    </row>
    <row r="115" ht="15.75" customHeight="1">
      <c r="A115" s="397"/>
      <c r="B115" s="397"/>
      <c r="C115" s="397"/>
      <c r="D115" s="398"/>
      <c r="E115" s="4"/>
      <c r="F115" s="4"/>
      <c r="G115" s="4"/>
      <c r="H115" s="4"/>
      <c r="I115" s="4"/>
      <c r="J115" s="4"/>
      <c r="K115" s="4"/>
      <c r="L115" s="4"/>
      <c r="M115" s="4"/>
    </row>
    <row r="116" ht="15.75" customHeight="1">
      <c r="A116" s="397"/>
      <c r="B116" s="397"/>
      <c r="C116" s="397"/>
      <c r="D116" s="398"/>
      <c r="E116" s="4"/>
      <c r="F116" s="4"/>
      <c r="G116" s="4"/>
      <c r="H116" s="4"/>
      <c r="I116" s="4"/>
      <c r="J116" s="4"/>
      <c r="K116" s="4"/>
      <c r="L116" s="4"/>
      <c r="M116" s="4"/>
    </row>
    <row r="117" ht="15.75" customHeight="1">
      <c r="A117" s="397"/>
      <c r="B117" s="397"/>
      <c r="C117" s="397"/>
      <c r="D117" s="398"/>
      <c r="E117" s="4"/>
      <c r="F117" s="4"/>
      <c r="G117" s="4"/>
      <c r="H117" s="4"/>
      <c r="I117" s="4"/>
      <c r="J117" s="4"/>
      <c r="K117" s="4"/>
      <c r="L117" s="4"/>
      <c r="M117" s="4"/>
    </row>
    <row r="118" ht="15.75" customHeight="1">
      <c r="A118" s="397"/>
      <c r="B118" s="397"/>
      <c r="C118" s="397"/>
      <c r="D118" s="398"/>
      <c r="E118" s="4"/>
      <c r="F118" s="4"/>
      <c r="G118" s="4"/>
      <c r="H118" s="4"/>
      <c r="I118" s="4"/>
      <c r="J118" s="4"/>
      <c r="K118" s="4"/>
      <c r="L118" s="4"/>
      <c r="M118" s="4"/>
    </row>
    <row r="119" ht="15.75" customHeight="1">
      <c r="A119" s="397"/>
      <c r="B119" s="397"/>
      <c r="C119" s="397"/>
      <c r="D119" s="398"/>
      <c r="E119" s="4"/>
      <c r="F119" s="4"/>
      <c r="G119" s="4"/>
      <c r="H119" s="4"/>
      <c r="I119" s="4"/>
      <c r="J119" s="4"/>
      <c r="K119" s="4"/>
      <c r="L119" s="4"/>
      <c r="M119" s="4"/>
    </row>
    <row r="120" ht="15.75" customHeight="1">
      <c r="A120" s="397"/>
      <c r="B120" s="397"/>
      <c r="C120" s="397"/>
      <c r="D120" s="398"/>
      <c r="E120" s="4"/>
      <c r="F120" s="4"/>
      <c r="G120" s="4"/>
      <c r="H120" s="4"/>
      <c r="I120" s="4"/>
      <c r="J120" s="4"/>
      <c r="K120" s="4"/>
      <c r="L120" s="4"/>
      <c r="M120" s="4"/>
    </row>
    <row r="121" ht="15.75" customHeight="1">
      <c r="A121" s="397"/>
      <c r="B121" s="397"/>
      <c r="C121" s="397"/>
      <c r="D121" s="398"/>
      <c r="E121" s="4"/>
      <c r="F121" s="4"/>
      <c r="G121" s="4"/>
      <c r="H121" s="4"/>
      <c r="I121" s="4"/>
      <c r="J121" s="4"/>
      <c r="K121" s="4"/>
      <c r="L121" s="4"/>
      <c r="M121" s="4"/>
    </row>
    <row r="122" ht="15.75" customHeight="1">
      <c r="A122" s="397"/>
      <c r="B122" s="397"/>
      <c r="C122" s="397"/>
      <c r="D122" s="398"/>
      <c r="E122" s="4"/>
      <c r="F122" s="4"/>
      <c r="G122" s="4"/>
      <c r="H122" s="4"/>
      <c r="I122" s="4"/>
      <c r="J122" s="4"/>
      <c r="K122" s="4"/>
      <c r="L122" s="4"/>
      <c r="M122" s="4"/>
    </row>
    <row r="123" ht="15.75" customHeight="1">
      <c r="A123" s="397"/>
      <c r="B123" s="397"/>
      <c r="C123" s="397"/>
      <c r="D123" s="398"/>
      <c r="E123" s="4"/>
      <c r="F123" s="4"/>
      <c r="G123" s="4"/>
      <c r="H123" s="4"/>
      <c r="I123" s="4"/>
      <c r="J123" s="4"/>
      <c r="K123" s="4"/>
      <c r="L123" s="4"/>
      <c r="M123" s="4"/>
    </row>
    <row r="124" ht="15.75" customHeight="1">
      <c r="A124" s="397"/>
      <c r="B124" s="397"/>
      <c r="C124" s="397"/>
      <c r="D124" s="398"/>
      <c r="E124" s="4"/>
      <c r="F124" s="4"/>
      <c r="G124" s="4"/>
      <c r="H124" s="4"/>
      <c r="I124" s="4"/>
      <c r="J124" s="4"/>
      <c r="K124" s="4"/>
      <c r="L124" s="4"/>
      <c r="M124" s="4"/>
    </row>
    <row r="125" ht="15.75" customHeight="1">
      <c r="A125" s="397"/>
      <c r="B125" s="397"/>
      <c r="C125" s="397"/>
      <c r="D125" s="398"/>
      <c r="E125" s="4"/>
      <c r="F125" s="4"/>
      <c r="G125" s="4"/>
      <c r="H125" s="4"/>
      <c r="I125" s="4"/>
      <c r="J125" s="4"/>
      <c r="K125" s="4"/>
      <c r="L125" s="4"/>
      <c r="M125" s="4"/>
    </row>
    <row r="126" ht="15.75" customHeight="1">
      <c r="A126" s="397"/>
      <c r="B126" s="397"/>
      <c r="C126" s="397"/>
      <c r="D126" s="398"/>
      <c r="E126" s="4"/>
      <c r="F126" s="4"/>
      <c r="G126" s="4"/>
      <c r="H126" s="4"/>
      <c r="I126" s="4"/>
      <c r="J126" s="4"/>
      <c r="K126" s="4"/>
      <c r="L126" s="4"/>
      <c r="M126" s="4"/>
    </row>
    <row r="127" ht="15.75" customHeight="1">
      <c r="A127" s="397"/>
      <c r="B127" s="397"/>
      <c r="C127" s="397"/>
      <c r="D127" s="398"/>
      <c r="E127" s="4"/>
      <c r="F127" s="4"/>
      <c r="G127" s="4"/>
      <c r="H127" s="4"/>
      <c r="I127" s="4"/>
      <c r="J127" s="4"/>
      <c r="K127" s="4"/>
      <c r="L127" s="4"/>
      <c r="M127" s="4"/>
    </row>
    <row r="128" ht="15.75" customHeight="1">
      <c r="A128" s="397"/>
      <c r="B128" s="397"/>
      <c r="C128" s="397"/>
      <c r="D128" s="398"/>
      <c r="E128" s="4"/>
      <c r="F128" s="4"/>
      <c r="G128" s="4"/>
      <c r="H128" s="4"/>
      <c r="I128" s="4"/>
      <c r="J128" s="4"/>
      <c r="K128" s="4"/>
      <c r="L128" s="4"/>
      <c r="M128" s="4"/>
    </row>
    <row r="129" ht="15.75" customHeight="1">
      <c r="A129" s="397"/>
      <c r="B129" s="397"/>
      <c r="C129" s="397"/>
      <c r="D129" s="398"/>
      <c r="E129" s="4"/>
      <c r="F129" s="4"/>
      <c r="G129" s="4"/>
      <c r="H129" s="4"/>
      <c r="I129" s="4"/>
      <c r="J129" s="4"/>
      <c r="K129" s="4"/>
      <c r="L129" s="4"/>
      <c r="M129" s="4"/>
    </row>
    <row r="130" ht="15.75" customHeight="1">
      <c r="A130" s="397"/>
      <c r="B130" s="397"/>
      <c r="C130" s="397"/>
      <c r="D130" s="398"/>
      <c r="E130" s="4"/>
      <c r="F130" s="4"/>
      <c r="G130" s="4"/>
      <c r="H130" s="4"/>
      <c r="I130" s="4"/>
      <c r="J130" s="4"/>
      <c r="K130" s="4"/>
      <c r="L130" s="4"/>
      <c r="M130" s="4"/>
    </row>
    <row r="131" ht="15.75" customHeight="1">
      <c r="A131" s="397"/>
      <c r="B131" s="397"/>
      <c r="C131" s="397"/>
      <c r="D131" s="398"/>
      <c r="E131" s="4"/>
      <c r="F131" s="4"/>
      <c r="G131" s="4"/>
      <c r="H131" s="4"/>
      <c r="I131" s="4"/>
      <c r="J131" s="4"/>
      <c r="K131" s="4"/>
      <c r="L131" s="4"/>
      <c r="M131" s="4"/>
    </row>
    <row r="132" ht="15.75" customHeight="1">
      <c r="A132" s="397"/>
      <c r="B132" s="397"/>
      <c r="C132" s="397"/>
      <c r="D132" s="398"/>
      <c r="E132" s="4"/>
      <c r="F132" s="4"/>
      <c r="G132" s="4"/>
      <c r="H132" s="4"/>
      <c r="I132" s="4"/>
      <c r="J132" s="4"/>
      <c r="K132" s="4"/>
      <c r="L132" s="4"/>
      <c r="M132" s="4"/>
    </row>
    <row r="133" ht="15.75" customHeight="1">
      <c r="A133" s="397"/>
      <c r="B133" s="397"/>
      <c r="C133" s="397"/>
      <c r="D133" s="398"/>
      <c r="E133" s="4"/>
      <c r="F133" s="4"/>
      <c r="G133" s="4"/>
      <c r="H133" s="4"/>
      <c r="I133" s="4"/>
      <c r="J133" s="4"/>
      <c r="K133" s="4"/>
      <c r="L133" s="4"/>
      <c r="M133" s="4"/>
    </row>
    <row r="134" ht="15.75" customHeight="1">
      <c r="A134" s="397"/>
      <c r="B134" s="397"/>
      <c r="C134" s="397"/>
      <c r="D134" s="398"/>
      <c r="E134" s="4"/>
      <c r="F134" s="4"/>
      <c r="G134" s="4"/>
      <c r="H134" s="4"/>
      <c r="I134" s="4"/>
      <c r="J134" s="4"/>
      <c r="K134" s="4"/>
      <c r="L134" s="4"/>
      <c r="M134" s="4"/>
    </row>
    <row r="135" ht="15.75" customHeight="1">
      <c r="A135" s="397"/>
      <c r="B135" s="397"/>
      <c r="C135" s="397"/>
      <c r="D135" s="398"/>
      <c r="E135" s="4"/>
      <c r="F135" s="4"/>
      <c r="G135" s="4"/>
      <c r="H135" s="4"/>
      <c r="I135" s="4"/>
      <c r="J135" s="4"/>
      <c r="K135" s="4"/>
      <c r="L135" s="4"/>
      <c r="M135" s="4"/>
    </row>
    <row r="136" ht="15.75" customHeight="1">
      <c r="A136" s="397"/>
      <c r="B136" s="397"/>
      <c r="C136" s="397"/>
      <c r="D136" s="398"/>
      <c r="E136" s="4"/>
      <c r="F136" s="4"/>
      <c r="G136" s="4"/>
      <c r="H136" s="4"/>
      <c r="I136" s="4"/>
      <c r="J136" s="4"/>
      <c r="K136" s="4"/>
      <c r="L136" s="4"/>
      <c r="M136" s="4"/>
    </row>
    <row r="137" ht="15.75" customHeight="1">
      <c r="A137" s="397"/>
      <c r="B137" s="397"/>
      <c r="C137" s="397"/>
      <c r="D137" s="398"/>
      <c r="E137" s="4"/>
      <c r="F137" s="4"/>
      <c r="G137" s="4"/>
      <c r="H137" s="4"/>
      <c r="I137" s="4"/>
      <c r="J137" s="4"/>
      <c r="K137" s="4"/>
      <c r="L137" s="4"/>
      <c r="M137" s="4"/>
    </row>
    <row r="138" ht="15.75" customHeight="1">
      <c r="A138" s="397"/>
      <c r="B138" s="397"/>
      <c r="C138" s="397"/>
      <c r="D138" s="398"/>
      <c r="E138" s="4"/>
      <c r="F138" s="4"/>
      <c r="G138" s="4"/>
      <c r="H138" s="4"/>
      <c r="I138" s="4"/>
      <c r="J138" s="4"/>
      <c r="K138" s="4"/>
      <c r="L138" s="4"/>
      <c r="M138" s="4"/>
    </row>
    <row r="139" ht="15.75" customHeight="1">
      <c r="A139" s="397"/>
      <c r="B139" s="397"/>
      <c r="C139" s="397"/>
      <c r="D139" s="398"/>
      <c r="E139" s="4"/>
      <c r="F139" s="4"/>
      <c r="G139" s="4"/>
      <c r="H139" s="4"/>
      <c r="I139" s="4"/>
      <c r="J139" s="4"/>
      <c r="K139" s="4"/>
      <c r="L139" s="4"/>
      <c r="M139" s="4"/>
    </row>
    <row r="140" ht="15.75" customHeight="1">
      <c r="A140" s="397"/>
      <c r="B140" s="397"/>
      <c r="C140" s="397"/>
      <c r="D140" s="398"/>
      <c r="E140" s="4"/>
      <c r="F140" s="4"/>
      <c r="G140" s="4"/>
      <c r="H140" s="4"/>
      <c r="I140" s="4"/>
      <c r="J140" s="4"/>
      <c r="K140" s="4"/>
      <c r="L140" s="4"/>
      <c r="M140" s="4"/>
    </row>
    <row r="141" ht="15.75" customHeight="1">
      <c r="A141" s="397"/>
      <c r="B141" s="397"/>
      <c r="C141" s="397"/>
      <c r="D141" s="398"/>
      <c r="E141" s="4"/>
      <c r="F141" s="4"/>
      <c r="G141" s="4"/>
      <c r="H141" s="4"/>
      <c r="I141" s="4"/>
      <c r="J141" s="4"/>
      <c r="K141" s="4"/>
      <c r="L141" s="4"/>
      <c r="M141" s="4"/>
    </row>
    <row r="142" ht="15.75" customHeight="1">
      <c r="A142" s="397"/>
      <c r="B142" s="397"/>
      <c r="C142" s="397"/>
      <c r="D142" s="398"/>
      <c r="E142" s="4"/>
      <c r="F142" s="4"/>
      <c r="G142" s="4"/>
      <c r="H142" s="4"/>
      <c r="I142" s="4"/>
      <c r="J142" s="4"/>
      <c r="K142" s="4"/>
      <c r="L142" s="4"/>
      <c r="M142" s="4"/>
    </row>
    <row r="143" ht="15.75" customHeight="1">
      <c r="A143" s="397"/>
      <c r="B143" s="397"/>
      <c r="C143" s="397"/>
      <c r="D143" s="398"/>
      <c r="E143" s="4"/>
      <c r="F143" s="4"/>
      <c r="G143" s="4"/>
      <c r="H143" s="4"/>
      <c r="I143" s="4"/>
      <c r="J143" s="4"/>
      <c r="K143" s="4"/>
      <c r="L143" s="4"/>
      <c r="M143" s="4"/>
    </row>
    <row r="144" ht="15.75" customHeight="1">
      <c r="A144" s="397"/>
      <c r="B144" s="397"/>
      <c r="C144" s="397"/>
      <c r="D144" s="398"/>
      <c r="E144" s="4"/>
      <c r="F144" s="4"/>
      <c r="G144" s="4"/>
      <c r="H144" s="4"/>
      <c r="I144" s="4"/>
      <c r="J144" s="4"/>
      <c r="K144" s="4"/>
      <c r="L144" s="4"/>
      <c r="M144" s="4"/>
    </row>
    <row r="145" ht="15.75" customHeight="1">
      <c r="A145" s="397"/>
      <c r="B145" s="397"/>
      <c r="C145" s="397"/>
      <c r="D145" s="398"/>
      <c r="E145" s="4"/>
      <c r="F145" s="4"/>
      <c r="G145" s="4"/>
      <c r="H145" s="4"/>
      <c r="I145" s="4"/>
      <c r="J145" s="4"/>
      <c r="K145" s="4"/>
      <c r="L145" s="4"/>
      <c r="M145" s="4"/>
    </row>
    <row r="146" ht="15.75" customHeight="1">
      <c r="A146" s="397"/>
      <c r="B146" s="397"/>
      <c r="C146" s="397"/>
      <c r="D146" s="398"/>
      <c r="E146" s="4"/>
      <c r="F146" s="4"/>
      <c r="G146" s="4"/>
      <c r="H146" s="4"/>
      <c r="I146" s="4"/>
      <c r="J146" s="4"/>
      <c r="K146" s="4"/>
      <c r="L146" s="4"/>
      <c r="M146" s="4"/>
    </row>
    <row r="147" ht="15.75" customHeight="1">
      <c r="A147" s="397"/>
      <c r="B147" s="397"/>
      <c r="C147" s="397"/>
      <c r="D147" s="398"/>
      <c r="E147" s="4"/>
      <c r="F147" s="4"/>
      <c r="G147" s="4"/>
      <c r="H147" s="4"/>
      <c r="I147" s="4"/>
      <c r="J147" s="4"/>
      <c r="K147" s="4"/>
      <c r="L147" s="4"/>
      <c r="M147" s="4"/>
    </row>
    <row r="148" ht="15.75" customHeight="1">
      <c r="A148" s="397"/>
      <c r="B148" s="397"/>
      <c r="C148" s="397"/>
      <c r="D148" s="398"/>
      <c r="E148" s="4"/>
      <c r="F148" s="4"/>
      <c r="G148" s="4"/>
      <c r="H148" s="4"/>
      <c r="I148" s="4"/>
      <c r="J148" s="4"/>
      <c r="K148" s="4"/>
      <c r="L148" s="4"/>
      <c r="M148" s="4"/>
    </row>
    <row r="149" ht="15.75" customHeight="1">
      <c r="A149" s="397"/>
      <c r="B149" s="397"/>
      <c r="C149" s="397"/>
      <c r="D149" s="398"/>
      <c r="E149" s="4"/>
      <c r="F149" s="4"/>
      <c r="G149" s="4"/>
      <c r="H149" s="4"/>
      <c r="I149" s="4"/>
      <c r="J149" s="4"/>
      <c r="K149" s="4"/>
      <c r="L149" s="4"/>
      <c r="M149" s="4"/>
    </row>
    <row r="150" ht="15.75" customHeight="1">
      <c r="A150" s="397"/>
      <c r="B150" s="397"/>
      <c r="C150" s="397"/>
      <c r="D150" s="398"/>
      <c r="E150" s="4"/>
      <c r="F150" s="4"/>
      <c r="G150" s="4"/>
      <c r="H150" s="4"/>
      <c r="I150" s="4"/>
      <c r="J150" s="4"/>
      <c r="K150" s="4"/>
      <c r="L150" s="4"/>
      <c r="M150" s="4"/>
    </row>
    <row r="151" ht="15.75" customHeight="1">
      <c r="A151" s="397"/>
      <c r="B151" s="397"/>
      <c r="C151" s="397"/>
      <c r="D151" s="398"/>
      <c r="E151" s="4"/>
      <c r="F151" s="4"/>
      <c r="G151" s="4"/>
      <c r="H151" s="4"/>
      <c r="I151" s="4"/>
      <c r="J151" s="4"/>
      <c r="K151" s="4"/>
      <c r="L151" s="4"/>
      <c r="M151" s="4"/>
    </row>
    <row r="152" ht="15.75" customHeight="1">
      <c r="A152" s="397"/>
      <c r="B152" s="397"/>
      <c r="C152" s="397"/>
      <c r="D152" s="398"/>
      <c r="E152" s="4"/>
      <c r="F152" s="4"/>
      <c r="G152" s="4"/>
      <c r="H152" s="4"/>
      <c r="I152" s="4"/>
      <c r="J152" s="4"/>
      <c r="K152" s="4"/>
      <c r="L152" s="4"/>
      <c r="M152" s="4"/>
    </row>
    <row r="153" ht="15.75" customHeight="1">
      <c r="A153" s="397"/>
      <c r="B153" s="397"/>
      <c r="C153" s="397"/>
      <c r="D153" s="398"/>
      <c r="E153" s="4"/>
      <c r="F153" s="4"/>
      <c r="G153" s="4"/>
      <c r="H153" s="4"/>
      <c r="I153" s="4"/>
      <c r="J153" s="4"/>
      <c r="K153" s="4"/>
      <c r="L153" s="4"/>
      <c r="M153" s="4"/>
    </row>
    <row r="154" ht="15.75" customHeight="1">
      <c r="A154" s="397"/>
      <c r="B154" s="397"/>
      <c r="C154" s="397"/>
      <c r="D154" s="398"/>
      <c r="E154" s="4"/>
      <c r="F154" s="4"/>
      <c r="G154" s="4"/>
      <c r="H154" s="4"/>
      <c r="I154" s="4"/>
      <c r="J154" s="4"/>
      <c r="K154" s="4"/>
      <c r="L154" s="4"/>
      <c r="M154" s="4"/>
    </row>
    <row r="155" ht="15.75" customHeight="1">
      <c r="A155" s="397"/>
      <c r="B155" s="397"/>
      <c r="C155" s="397"/>
      <c r="D155" s="398"/>
      <c r="E155" s="4"/>
      <c r="F155" s="4"/>
      <c r="G155" s="4"/>
      <c r="H155" s="4"/>
      <c r="I155" s="4"/>
      <c r="J155" s="4"/>
      <c r="K155" s="4"/>
      <c r="L155" s="4"/>
      <c r="M155" s="4"/>
    </row>
    <row r="156" ht="15.75" customHeight="1">
      <c r="A156" s="397"/>
      <c r="B156" s="397"/>
      <c r="C156" s="397"/>
      <c r="D156" s="398"/>
      <c r="E156" s="4"/>
      <c r="F156" s="4"/>
      <c r="G156" s="4"/>
      <c r="H156" s="4"/>
      <c r="I156" s="4"/>
      <c r="J156" s="4"/>
      <c r="K156" s="4"/>
      <c r="L156" s="4"/>
      <c r="M156" s="4"/>
    </row>
    <row r="157" ht="15.75" customHeight="1">
      <c r="A157" s="397"/>
      <c r="B157" s="397"/>
      <c r="C157" s="397"/>
      <c r="D157" s="398"/>
      <c r="E157" s="4"/>
      <c r="F157" s="4"/>
      <c r="G157" s="4"/>
      <c r="H157" s="4"/>
      <c r="I157" s="4"/>
      <c r="J157" s="4"/>
      <c r="K157" s="4"/>
      <c r="L157" s="4"/>
      <c r="M157" s="4"/>
    </row>
    <row r="158" ht="15.75" customHeight="1">
      <c r="A158" s="397"/>
      <c r="B158" s="397"/>
      <c r="C158" s="397"/>
      <c r="D158" s="398"/>
      <c r="E158" s="4"/>
      <c r="F158" s="4"/>
      <c r="G158" s="4"/>
      <c r="H158" s="4"/>
      <c r="I158" s="4"/>
      <c r="J158" s="4"/>
      <c r="K158" s="4"/>
      <c r="L158" s="4"/>
      <c r="M158" s="4"/>
    </row>
    <row r="159" ht="15.75" customHeight="1">
      <c r="A159" s="397"/>
      <c r="B159" s="397"/>
      <c r="C159" s="397"/>
      <c r="D159" s="398"/>
      <c r="E159" s="4"/>
      <c r="F159" s="4"/>
      <c r="G159" s="4"/>
      <c r="H159" s="4"/>
      <c r="I159" s="4"/>
      <c r="J159" s="4"/>
      <c r="K159" s="4"/>
      <c r="L159" s="4"/>
      <c r="M159" s="4"/>
    </row>
    <row r="160" ht="15.75" customHeight="1">
      <c r="A160" s="397"/>
      <c r="B160" s="397"/>
      <c r="C160" s="397"/>
      <c r="D160" s="398"/>
      <c r="E160" s="4"/>
      <c r="F160" s="4"/>
      <c r="G160" s="4"/>
      <c r="H160" s="4"/>
      <c r="I160" s="4"/>
      <c r="J160" s="4"/>
      <c r="K160" s="4"/>
      <c r="L160" s="4"/>
      <c r="M160" s="4"/>
    </row>
    <row r="161" ht="15.75" customHeight="1">
      <c r="A161" s="397"/>
      <c r="B161" s="397"/>
      <c r="C161" s="397"/>
      <c r="D161" s="398"/>
      <c r="E161" s="4"/>
      <c r="F161" s="4"/>
      <c r="G161" s="4"/>
      <c r="H161" s="4"/>
      <c r="I161" s="4"/>
      <c r="J161" s="4"/>
      <c r="K161" s="4"/>
      <c r="L161" s="4"/>
      <c r="M161" s="4"/>
    </row>
    <row r="162" ht="15.75" customHeight="1">
      <c r="A162" s="397"/>
      <c r="B162" s="397"/>
      <c r="C162" s="397"/>
      <c r="D162" s="398"/>
      <c r="E162" s="4"/>
      <c r="F162" s="4"/>
      <c r="G162" s="4"/>
      <c r="H162" s="4"/>
      <c r="I162" s="4"/>
      <c r="J162" s="4"/>
      <c r="K162" s="4"/>
      <c r="L162" s="4"/>
      <c r="M162" s="4"/>
    </row>
    <row r="163" ht="15.75" customHeight="1">
      <c r="A163" s="397"/>
      <c r="B163" s="397"/>
      <c r="C163" s="397"/>
      <c r="D163" s="398"/>
      <c r="E163" s="4"/>
      <c r="F163" s="4"/>
      <c r="G163" s="4"/>
      <c r="H163" s="4"/>
      <c r="I163" s="4"/>
      <c r="J163" s="4"/>
      <c r="K163" s="4"/>
      <c r="L163" s="4"/>
      <c r="M163" s="4"/>
    </row>
    <row r="164" ht="15.75" customHeight="1">
      <c r="A164" s="397"/>
      <c r="B164" s="397"/>
      <c r="C164" s="397"/>
      <c r="D164" s="398"/>
      <c r="E164" s="4"/>
      <c r="F164" s="4"/>
      <c r="G164" s="4"/>
      <c r="H164" s="4"/>
      <c r="I164" s="4"/>
      <c r="J164" s="4"/>
      <c r="K164" s="4"/>
      <c r="L164" s="4"/>
      <c r="M164" s="4"/>
    </row>
    <row r="165" ht="15.75" customHeight="1">
      <c r="A165" s="397"/>
      <c r="B165" s="397"/>
      <c r="C165" s="397"/>
      <c r="D165" s="398"/>
      <c r="E165" s="4"/>
      <c r="F165" s="4"/>
      <c r="G165" s="4"/>
      <c r="H165" s="4"/>
      <c r="I165" s="4"/>
      <c r="J165" s="4"/>
      <c r="K165" s="4"/>
      <c r="L165" s="4"/>
      <c r="M165" s="4"/>
    </row>
    <row r="166" ht="15.75" customHeight="1">
      <c r="A166" s="397"/>
      <c r="B166" s="397"/>
      <c r="C166" s="397"/>
      <c r="D166" s="398"/>
      <c r="E166" s="4"/>
      <c r="F166" s="4"/>
      <c r="G166" s="4"/>
      <c r="H166" s="4"/>
      <c r="I166" s="4"/>
      <c r="J166" s="4"/>
      <c r="K166" s="4"/>
      <c r="L166" s="4"/>
      <c r="M166" s="4"/>
    </row>
    <row r="167" ht="15.75" customHeight="1">
      <c r="A167" s="397"/>
      <c r="B167" s="397"/>
      <c r="C167" s="397"/>
      <c r="D167" s="398"/>
      <c r="E167" s="4"/>
      <c r="F167" s="4"/>
      <c r="G167" s="4"/>
      <c r="H167" s="4"/>
      <c r="I167" s="4"/>
      <c r="J167" s="4"/>
      <c r="K167" s="4"/>
      <c r="L167" s="4"/>
      <c r="M167" s="4"/>
    </row>
    <row r="168" ht="15.75" customHeight="1">
      <c r="A168" s="397"/>
      <c r="B168" s="397"/>
      <c r="C168" s="397"/>
      <c r="D168" s="398"/>
      <c r="E168" s="4"/>
      <c r="F168" s="4"/>
      <c r="G168" s="4"/>
      <c r="H168" s="4"/>
      <c r="I168" s="4"/>
      <c r="J168" s="4"/>
      <c r="K168" s="4"/>
      <c r="L168" s="4"/>
      <c r="M168" s="4"/>
    </row>
    <row r="169" ht="15.75" customHeight="1">
      <c r="A169" s="397"/>
      <c r="B169" s="397"/>
      <c r="C169" s="397"/>
      <c r="D169" s="398"/>
      <c r="E169" s="4"/>
      <c r="F169" s="4"/>
      <c r="G169" s="4"/>
      <c r="H169" s="4"/>
      <c r="I169" s="4"/>
      <c r="J169" s="4"/>
      <c r="K169" s="4"/>
      <c r="L169" s="4"/>
      <c r="M169" s="4"/>
    </row>
    <row r="170" ht="15.75" customHeight="1">
      <c r="A170" s="397"/>
      <c r="B170" s="397"/>
      <c r="C170" s="397"/>
      <c r="D170" s="398"/>
      <c r="E170" s="4"/>
      <c r="F170" s="4"/>
      <c r="G170" s="4"/>
      <c r="H170" s="4"/>
      <c r="I170" s="4"/>
      <c r="J170" s="4"/>
      <c r="K170" s="4"/>
      <c r="L170" s="4"/>
      <c r="M170" s="4"/>
    </row>
    <row r="171" ht="15.75" customHeight="1">
      <c r="A171" s="397"/>
      <c r="B171" s="397"/>
      <c r="C171" s="397"/>
      <c r="D171" s="398"/>
      <c r="E171" s="4"/>
      <c r="F171" s="4"/>
      <c r="G171" s="4"/>
      <c r="H171" s="4"/>
      <c r="I171" s="4"/>
      <c r="J171" s="4"/>
      <c r="K171" s="4"/>
      <c r="L171" s="4"/>
      <c r="M171" s="4"/>
    </row>
    <row r="172" ht="15.75" customHeight="1">
      <c r="A172" s="397"/>
      <c r="B172" s="397"/>
      <c r="C172" s="397"/>
      <c r="D172" s="398"/>
      <c r="E172" s="4"/>
      <c r="F172" s="4"/>
      <c r="G172" s="4"/>
      <c r="H172" s="4"/>
      <c r="I172" s="4"/>
      <c r="J172" s="4"/>
      <c r="K172" s="4"/>
      <c r="L172" s="4"/>
      <c r="M172" s="4"/>
    </row>
    <row r="173" ht="15.75" customHeight="1">
      <c r="A173" s="397"/>
      <c r="B173" s="397"/>
      <c r="C173" s="397"/>
      <c r="D173" s="398"/>
      <c r="E173" s="4"/>
      <c r="F173" s="4"/>
      <c r="G173" s="4"/>
      <c r="H173" s="4"/>
      <c r="I173" s="4"/>
      <c r="J173" s="4"/>
      <c r="K173" s="4"/>
      <c r="L173" s="4"/>
      <c r="M173" s="4"/>
    </row>
    <row r="174" ht="15.75" customHeight="1">
      <c r="A174" s="397"/>
      <c r="B174" s="397"/>
      <c r="C174" s="397"/>
      <c r="D174" s="398"/>
      <c r="E174" s="4"/>
      <c r="F174" s="4"/>
      <c r="G174" s="4"/>
      <c r="H174" s="4"/>
      <c r="I174" s="4"/>
      <c r="J174" s="4"/>
      <c r="K174" s="4"/>
      <c r="L174" s="4"/>
      <c r="M174" s="4"/>
    </row>
    <row r="175" ht="15.75" customHeight="1">
      <c r="A175" s="397"/>
      <c r="B175" s="397"/>
      <c r="C175" s="397"/>
      <c r="D175" s="398"/>
      <c r="E175" s="4"/>
      <c r="F175" s="4"/>
      <c r="G175" s="4"/>
      <c r="H175" s="4"/>
      <c r="I175" s="4"/>
      <c r="J175" s="4"/>
      <c r="K175" s="4"/>
      <c r="L175" s="4"/>
      <c r="M175" s="4"/>
    </row>
    <row r="176" ht="15.75" customHeight="1">
      <c r="A176" s="397"/>
      <c r="B176" s="397"/>
      <c r="C176" s="397"/>
      <c r="D176" s="398"/>
      <c r="E176" s="4"/>
      <c r="F176" s="4"/>
      <c r="G176" s="4"/>
      <c r="H176" s="4"/>
      <c r="I176" s="4"/>
      <c r="J176" s="4"/>
      <c r="K176" s="4"/>
      <c r="L176" s="4"/>
      <c r="M176" s="4"/>
    </row>
    <row r="177" ht="15.75" customHeight="1">
      <c r="A177" s="397"/>
      <c r="B177" s="397"/>
      <c r="C177" s="397"/>
      <c r="D177" s="398"/>
      <c r="E177" s="4"/>
      <c r="F177" s="4"/>
      <c r="G177" s="4"/>
      <c r="H177" s="4"/>
      <c r="I177" s="4"/>
      <c r="J177" s="4"/>
      <c r="K177" s="4"/>
      <c r="L177" s="4"/>
      <c r="M177" s="4"/>
    </row>
    <row r="178" ht="15.75" customHeight="1">
      <c r="A178" s="397"/>
      <c r="B178" s="397"/>
      <c r="C178" s="397"/>
      <c r="D178" s="398"/>
      <c r="E178" s="4"/>
      <c r="F178" s="4"/>
      <c r="G178" s="4"/>
      <c r="H178" s="4"/>
      <c r="I178" s="4"/>
      <c r="J178" s="4"/>
      <c r="K178" s="4"/>
      <c r="L178" s="4"/>
      <c r="M178" s="4"/>
    </row>
    <row r="179" ht="15.75" customHeight="1">
      <c r="A179" s="397"/>
      <c r="B179" s="397"/>
      <c r="C179" s="397"/>
      <c r="D179" s="398"/>
      <c r="E179" s="4"/>
      <c r="F179" s="4"/>
      <c r="G179" s="4"/>
      <c r="H179" s="4"/>
      <c r="I179" s="4"/>
      <c r="J179" s="4"/>
      <c r="K179" s="4"/>
      <c r="L179" s="4"/>
      <c r="M179" s="4"/>
    </row>
    <row r="180" ht="15.75" customHeight="1">
      <c r="A180" s="397"/>
      <c r="B180" s="397"/>
      <c r="C180" s="397"/>
      <c r="D180" s="398"/>
      <c r="E180" s="4"/>
      <c r="F180" s="4"/>
      <c r="G180" s="4"/>
      <c r="H180" s="4"/>
      <c r="I180" s="4"/>
      <c r="J180" s="4"/>
      <c r="K180" s="4"/>
      <c r="L180" s="4"/>
      <c r="M180" s="4"/>
    </row>
    <row r="181" ht="15.75" customHeight="1">
      <c r="A181" s="397"/>
      <c r="B181" s="397"/>
      <c r="C181" s="397"/>
      <c r="D181" s="398"/>
      <c r="E181" s="4"/>
      <c r="F181" s="4"/>
      <c r="G181" s="4"/>
      <c r="H181" s="4"/>
      <c r="I181" s="4"/>
      <c r="J181" s="4"/>
      <c r="K181" s="4"/>
      <c r="L181" s="4"/>
      <c r="M181" s="4"/>
    </row>
    <row r="182" ht="15.75" customHeight="1">
      <c r="A182" s="397"/>
      <c r="B182" s="397"/>
      <c r="C182" s="397"/>
      <c r="D182" s="398"/>
      <c r="E182" s="4"/>
      <c r="F182" s="4"/>
      <c r="G182" s="4"/>
      <c r="H182" s="4"/>
      <c r="I182" s="4"/>
      <c r="J182" s="4"/>
      <c r="K182" s="4"/>
      <c r="L182" s="4"/>
      <c r="M182" s="4"/>
    </row>
    <row r="183" ht="15.75" customHeight="1">
      <c r="A183" s="397"/>
      <c r="B183" s="397"/>
      <c r="C183" s="397"/>
      <c r="D183" s="398"/>
      <c r="E183" s="4"/>
      <c r="F183" s="4"/>
      <c r="G183" s="4"/>
      <c r="H183" s="4"/>
      <c r="I183" s="4"/>
      <c r="J183" s="4"/>
      <c r="K183" s="4"/>
      <c r="L183" s="4"/>
      <c r="M183" s="4"/>
    </row>
    <row r="184" ht="15.75" customHeight="1">
      <c r="A184" s="397"/>
      <c r="B184" s="397"/>
      <c r="C184" s="397"/>
      <c r="D184" s="398"/>
      <c r="E184" s="4"/>
      <c r="F184" s="4"/>
      <c r="G184" s="4"/>
      <c r="H184" s="4"/>
      <c r="I184" s="4"/>
      <c r="J184" s="4"/>
      <c r="K184" s="4"/>
      <c r="L184" s="4"/>
      <c r="M184" s="4"/>
    </row>
    <row r="185" ht="15.75" customHeight="1">
      <c r="A185" s="397"/>
      <c r="B185" s="397"/>
      <c r="C185" s="397"/>
      <c r="D185" s="398"/>
      <c r="E185" s="4"/>
      <c r="F185" s="4"/>
      <c r="G185" s="4"/>
      <c r="H185" s="4"/>
      <c r="I185" s="4"/>
      <c r="J185" s="4"/>
      <c r="K185" s="4"/>
      <c r="L185" s="4"/>
      <c r="M185" s="4"/>
    </row>
    <row r="186" ht="15.75" customHeight="1">
      <c r="A186" s="397"/>
      <c r="B186" s="397"/>
      <c r="C186" s="397"/>
      <c r="D186" s="398"/>
      <c r="E186" s="4"/>
      <c r="F186" s="4"/>
      <c r="G186" s="4"/>
      <c r="H186" s="4"/>
      <c r="I186" s="4"/>
      <c r="J186" s="4"/>
      <c r="K186" s="4"/>
      <c r="L186" s="4"/>
      <c r="M186" s="4"/>
    </row>
    <row r="187" ht="15.75" customHeight="1">
      <c r="A187" s="397"/>
      <c r="B187" s="397"/>
      <c r="C187" s="397"/>
      <c r="D187" s="398"/>
      <c r="E187" s="4"/>
      <c r="F187" s="4"/>
      <c r="G187" s="4"/>
      <c r="H187" s="4"/>
      <c r="I187" s="4"/>
      <c r="J187" s="4"/>
      <c r="K187" s="4"/>
      <c r="L187" s="4"/>
      <c r="M187" s="4"/>
    </row>
    <row r="188" ht="15.75" customHeight="1">
      <c r="A188" s="397"/>
      <c r="B188" s="397"/>
      <c r="C188" s="397"/>
      <c r="D188" s="398"/>
      <c r="E188" s="4"/>
      <c r="F188" s="4"/>
      <c r="G188" s="4"/>
      <c r="H188" s="4"/>
      <c r="I188" s="4"/>
      <c r="J188" s="4"/>
      <c r="K188" s="4"/>
      <c r="L188" s="4"/>
      <c r="M188" s="4"/>
    </row>
    <row r="189" ht="15.75" customHeight="1">
      <c r="A189" s="397"/>
      <c r="B189" s="397"/>
      <c r="C189" s="397"/>
      <c r="D189" s="398"/>
      <c r="E189" s="4"/>
      <c r="F189" s="4"/>
      <c r="G189" s="4"/>
      <c r="H189" s="4"/>
      <c r="I189" s="4"/>
      <c r="J189" s="4"/>
      <c r="K189" s="4"/>
      <c r="L189" s="4"/>
      <c r="M189" s="4"/>
    </row>
    <row r="190" ht="15.75" customHeight="1">
      <c r="A190" s="397"/>
      <c r="B190" s="397"/>
      <c r="C190" s="397"/>
      <c r="D190" s="398"/>
      <c r="E190" s="4"/>
      <c r="F190" s="4"/>
      <c r="G190" s="4"/>
      <c r="H190" s="4"/>
      <c r="I190" s="4"/>
      <c r="J190" s="4"/>
      <c r="K190" s="4"/>
      <c r="L190" s="4"/>
      <c r="M190" s="4"/>
    </row>
    <row r="191" ht="15.75" customHeight="1">
      <c r="A191" s="397"/>
      <c r="B191" s="397"/>
      <c r="C191" s="397"/>
      <c r="D191" s="398"/>
      <c r="E191" s="4"/>
      <c r="F191" s="4"/>
      <c r="G191" s="4"/>
      <c r="H191" s="4"/>
      <c r="I191" s="4"/>
      <c r="J191" s="4"/>
      <c r="K191" s="4"/>
      <c r="L191" s="4"/>
      <c r="M191" s="4"/>
    </row>
    <row r="192" ht="15.75" customHeight="1">
      <c r="A192" s="397"/>
      <c r="B192" s="397"/>
      <c r="C192" s="397"/>
      <c r="D192" s="398"/>
      <c r="E192" s="4"/>
      <c r="F192" s="4"/>
      <c r="G192" s="4"/>
      <c r="H192" s="4"/>
      <c r="I192" s="4"/>
      <c r="J192" s="4"/>
      <c r="K192" s="4"/>
      <c r="L192" s="4"/>
      <c r="M192" s="4"/>
    </row>
    <row r="193" ht="15.75" customHeight="1">
      <c r="A193" s="397"/>
      <c r="B193" s="397"/>
      <c r="C193" s="397"/>
      <c r="D193" s="398"/>
      <c r="E193" s="4"/>
      <c r="F193" s="4"/>
      <c r="G193" s="4"/>
      <c r="H193" s="4"/>
      <c r="I193" s="4"/>
      <c r="J193" s="4"/>
      <c r="K193" s="4"/>
      <c r="L193" s="4"/>
      <c r="M193" s="4"/>
    </row>
    <row r="194" ht="15.75" customHeight="1">
      <c r="A194" s="397"/>
      <c r="B194" s="397"/>
      <c r="C194" s="397"/>
      <c r="D194" s="398"/>
      <c r="E194" s="4"/>
      <c r="F194" s="4"/>
      <c r="G194" s="4"/>
      <c r="H194" s="4"/>
      <c r="I194" s="4"/>
      <c r="J194" s="4"/>
      <c r="K194" s="4"/>
      <c r="L194" s="4"/>
      <c r="M194" s="4"/>
    </row>
    <row r="195" ht="15.75" customHeight="1">
      <c r="A195" s="397"/>
      <c r="B195" s="397"/>
      <c r="C195" s="397"/>
      <c r="D195" s="398"/>
      <c r="E195" s="4"/>
      <c r="F195" s="4"/>
      <c r="G195" s="4"/>
      <c r="H195" s="4"/>
      <c r="I195" s="4"/>
      <c r="J195" s="4"/>
      <c r="K195" s="4"/>
      <c r="L195" s="4"/>
      <c r="M195" s="4"/>
    </row>
    <row r="196" ht="15.75" customHeight="1">
      <c r="A196" s="397"/>
      <c r="B196" s="397"/>
      <c r="C196" s="397"/>
      <c r="D196" s="398"/>
      <c r="E196" s="4"/>
      <c r="F196" s="4"/>
      <c r="G196" s="4"/>
      <c r="H196" s="4"/>
      <c r="I196" s="4"/>
      <c r="J196" s="4"/>
      <c r="K196" s="4"/>
      <c r="L196" s="4"/>
      <c r="M196" s="4"/>
    </row>
    <row r="197" ht="15.75" customHeight="1">
      <c r="A197" s="397"/>
      <c r="B197" s="397"/>
      <c r="C197" s="397"/>
      <c r="D197" s="398"/>
      <c r="E197" s="4"/>
      <c r="F197" s="4"/>
      <c r="G197" s="4"/>
      <c r="H197" s="4"/>
      <c r="I197" s="4"/>
      <c r="J197" s="4"/>
      <c r="K197" s="4"/>
      <c r="L197" s="4"/>
      <c r="M197" s="4"/>
    </row>
    <row r="198" ht="15.75" customHeight="1">
      <c r="A198" s="397"/>
      <c r="B198" s="397"/>
      <c r="C198" s="397"/>
      <c r="D198" s="398"/>
      <c r="E198" s="4"/>
      <c r="F198" s="4"/>
      <c r="G198" s="4"/>
      <c r="H198" s="4"/>
      <c r="I198" s="4"/>
      <c r="J198" s="4"/>
      <c r="K198" s="4"/>
      <c r="L198" s="4"/>
      <c r="M198" s="4"/>
    </row>
    <row r="199" ht="15.75" customHeight="1">
      <c r="A199" s="397"/>
      <c r="B199" s="397"/>
      <c r="C199" s="397"/>
      <c r="D199" s="398"/>
      <c r="E199" s="4"/>
      <c r="F199" s="4"/>
      <c r="G199" s="4"/>
      <c r="H199" s="4"/>
      <c r="I199" s="4"/>
      <c r="J199" s="4"/>
      <c r="K199" s="4"/>
      <c r="L199" s="4"/>
      <c r="M199" s="4"/>
    </row>
    <row r="200" ht="15.75" customHeight="1">
      <c r="A200" s="397"/>
      <c r="B200" s="397"/>
      <c r="C200" s="397"/>
      <c r="D200" s="398"/>
      <c r="E200" s="4"/>
      <c r="F200" s="4"/>
      <c r="G200" s="4"/>
      <c r="H200" s="4"/>
      <c r="I200" s="4"/>
      <c r="J200" s="4"/>
      <c r="K200" s="4"/>
      <c r="L200" s="4"/>
      <c r="M200" s="4"/>
    </row>
    <row r="201" ht="15.75" customHeight="1">
      <c r="A201" s="397"/>
      <c r="B201" s="397"/>
      <c r="C201" s="397"/>
      <c r="D201" s="398"/>
      <c r="E201" s="4"/>
      <c r="F201" s="4"/>
      <c r="G201" s="4"/>
      <c r="H201" s="4"/>
      <c r="I201" s="4"/>
      <c r="J201" s="4"/>
      <c r="K201" s="4"/>
      <c r="L201" s="4"/>
      <c r="M201" s="4"/>
    </row>
    <row r="202" ht="15.75" customHeight="1">
      <c r="A202" s="397"/>
      <c r="B202" s="397"/>
      <c r="C202" s="397"/>
      <c r="D202" s="398"/>
      <c r="E202" s="4"/>
      <c r="F202" s="4"/>
      <c r="G202" s="4"/>
      <c r="H202" s="4"/>
      <c r="I202" s="4"/>
      <c r="J202" s="4"/>
      <c r="K202" s="4"/>
      <c r="L202" s="4"/>
      <c r="M202" s="4"/>
    </row>
    <row r="203" ht="15.75" customHeight="1">
      <c r="A203" s="397"/>
      <c r="B203" s="397"/>
      <c r="C203" s="397"/>
      <c r="D203" s="398"/>
      <c r="E203" s="4"/>
      <c r="F203" s="4"/>
      <c r="G203" s="4"/>
      <c r="H203" s="4"/>
      <c r="I203" s="4"/>
      <c r="J203" s="4"/>
      <c r="K203" s="4"/>
      <c r="L203" s="4"/>
      <c r="M203" s="4"/>
    </row>
    <row r="204" ht="15.75" customHeight="1">
      <c r="A204" s="397"/>
      <c r="B204" s="397"/>
      <c r="C204" s="397"/>
      <c r="D204" s="398"/>
      <c r="E204" s="4"/>
      <c r="F204" s="4"/>
      <c r="G204" s="4"/>
      <c r="H204" s="4"/>
      <c r="I204" s="4"/>
      <c r="J204" s="4"/>
      <c r="K204" s="4"/>
      <c r="L204" s="4"/>
      <c r="M204" s="4"/>
    </row>
    <row r="205" ht="15.75" customHeight="1">
      <c r="A205" s="397"/>
      <c r="B205" s="397"/>
      <c r="C205" s="397"/>
      <c r="D205" s="398"/>
      <c r="E205" s="4"/>
      <c r="F205" s="4"/>
      <c r="G205" s="4"/>
      <c r="H205" s="4"/>
      <c r="I205" s="4"/>
      <c r="J205" s="4"/>
      <c r="K205" s="4"/>
      <c r="L205" s="4"/>
      <c r="M205" s="4"/>
    </row>
    <row r="206" ht="15.75" customHeight="1">
      <c r="A206" s="397"/>
      <c r="B206" s="397"/>
      <c r="C206" s="397"/>
      <c r="D206" s="398"/>
      <c r="E206" s="4"/>
      <c r="F206" s="4"/>
      <c r="G206" s="4"/>
      <c r="H206" s="4"/>
      <c r="I206" s="4"/>
      <c r="J206" s="4"/>
      <c r="K206" s="4"/>
      <c r="L206" s="4"/>
      <c r="M206" s="4"/>
    </row>
    <row r="207" ht="15.75" customHeight="1">
      <c r="A207" s="397"/>
      <c r="B207" s="397"/>
      <c r="C207" s="397"/>
      <c r="D207" s="398"/>
      <c r="E207" s="4"/>
      <c r="F207" s="4"/>
      <c r="G207" s="4"/>
      <c r="H207" s="4"/>
      <c r="I207" s="4"/>
      <c r="J207" s="4"/>
      <c r="K207" s="4"/>
      <c r="L207" s="4"/>
      <c r="M207" s="4"/>
    </row>
    <row r="208" ht="15.75" customHeight="1">
      <c r="A208" s="397"/>
      <c r="B208" s="397"/>
      <c r="C208" s="397"/>
      <c r="D208" s="398"/>
      <c r="E208" s="4"/>
      <c r="F208" s="4"/>
      <c r="G208" s="4"/>
      <c r="H208" s="4"/>
      <c r="I208" s="4"/>
      <c r="J208" s="4"/>
      <c r="K208" s="4"/>
      <c r="L208" s="4"/>
      <c r="M208" s="4"/>
    </row>
    <row r="209" ht="15.75" customHeight="1">
      <c r="A209" s="397"/>
      <c r="B209" s="397"/>
      <c r="C209" s="397"/>
      <c r="D209" s="398"/>
      <c r="E209" s="4"/>
      <c r="F209" s="4"/>
      <c r="G209" s="4"/>
      <c r="H209" s="4"/>
      <c r="I209" s="4"/>
      <c r="J209" s="4"/>
      <c r="K209" s="4"/>
      <c r="L209" s="4"/>
      <c r="M209" s="4"/>
    </row>
    <row r="210" ht="15.75" customHeight="1">
      <c r="A210" s="397"/>
      <c r="B210" s="397"/>
      <c r="C210" s="397"/>
      <c r="D210" s="398"/>
      <c r="E210" s="4"/>
      <c r="F210" s="4"/>
      <c r="G210" s="4"/>
      <c r="H210" s="4"/>
      <c r="I210" s="4"/>
      <c r="J210" s="4"/>
      <c r="K210" s="4"/>
      <c r="L210" s="4"/>
      <c r="M210" s="4"/>
    </row>
    <row r="211" ht="15.75" customHeight="1">
      <c r="A211" s="397"/>
      <c r="B211" s="397"/>
      <c r="C211" s="397"/>
      <c r="D211" s="398"/>
      <c r="E211" s="4"/>
      <c r="F211" s="4"/>
      <c r="G211" s="4"/>
      <c r="H211" s="4"/>
      <c r="I211" s="4"/>
      <c r="J211" s="4"/>
      <c r="K211" s="4"/>
      <c r="L211" s="4"/>
      <c r="M211" s="4"/>
    </row>
    <row r="212" ht="15.75" customHeight="1">
      <c r="A212" s="397"/>
      <c r="B212" s="397"/>
      <c r="C212" s="397"/>
      <c r="D212" s="398"/>
      <c r="E212" s="4"/>
      <c r="F212" s="4"/>
      <c r="G212" s="4"/>
      <c r="H212" s="4"/>
      <c r="I212" s="4"/>
      <c r="J212" s="4"/>
      <c r="K212" s="4"/>
      <c r="L212" s="4"/>
      <c r="M212" s="4"/>
    </row>
    <row r="213" ht="15.75" customHeight="1">
      <c r="A213" s="397"/>
      <c r="B213" s="397"/>
      <c r="C213" s="397"/>
      <c r="D213" s="398"/>
      <c r="E213" s="4"/>
      <c r="F213" s="4"/>
      <c r="G213" s="4"/>
      <c r="H213" s="4"/>
      <c r="I213" s="4"/>
      <c r="J213" s="4"/>
      <c r="K213" s="4"/>
      <c r="L213" s="4"/>
      <c r="M213" s="4"/>
    </row>
    <row r="214" ht="15.75" customHeight="1">
      <c r="A214" s="397"/>
      <c r="B214" s="397"/>
      <c r="C214" s="397"/>
      <c r="D214" s="398"/>
      <c r="E214" s="4"/>
      <c r="F214" s="4"/>
      <c r="G214" s="4"/>
      <c r="H214" s="4"/>
      <c r="I214" s="4"/>
      <c r="J214" s="4"/>
      <c r="K214" s="4"/>
      <c r="L214" s="4"/>
      <c r="M214" s="4"/>
    </row>
    <row r="215" ht="15.75" customHeight="1">
      <c r="A215" s="397"/>
      <c r="B215" s="397"/>
      <c r="C215" s="397"/>
      <c r="D215" s="398"/>
      <c r="E215" s="4"/>
      <c r="F215" s="4"/>
      <c r="G215" s="4"/>
      <c r="H215" s="4"/>
      <c r="I215" s="4"/>
      <c r="J215" s="4"/>
      <c r="K215" s="4"/>
      <c r="L215" s="4"/>
      <c r="M215" s="4"/>
    </row>
    <row r="216" ht="15.75" customHeight="1">
      <c r="A216" s="397"/>
      <c r="B216" s="397"/>
      <c r="C216" s="397"/>
      <c r="D216" s="398"/>
      <c r="E216" s="4"/>
      <c r="F216" s="4"/>
      <c r="G216" s="4"/>
      <c r="H216" s="4"/>
      <c r="I216" s="4"/>
      <c r="J216" s="4"/>
      <c r="K216" s="4"/>
      <c r="L216" s="4"/>
      <c r="M216" s="4"/>
    </row>
    <row r="217" ht="15.75" customHeight="1">
      <c r="A217" s="397"/>
      <c r="B217" s="397"/>
      <c r="C217" s="397"/>
      <c r="D217" s="398"/>
      <c r="E217" s="4"/>
      <c r="F217" s="4"/>
      <c r="G217" s="4"/>
      <c r="H217" s="4"/>
      <c r="I217" s="4"/>
      <c r="J217" s="4"/>
      <c r="K217" s="4"/>
      <c r="L217" s="4"/>
      <c r="M217" s="4"/>
    </row>
    <row r="218" ht="15.75" customHeight="1">
      <c r="A218" s="397"/>
      <c r="B218" s="397"/>
      <c r="C218" s="397"/>
      <c r="D218" s="398"/>
      <c r="E218" s="4"/>
      <c r="F218" s="4"/>
      <c r="G218" s="4"/>
      <c r="H218" s="4"/>
      <c r="I218" s="4"/>
      <c r="J218" s="4"/>
      <c r="K218" s="4"/>
      <c r="L218" s="4"/>
      <c r="M218" s="4"/>
    </row>
    <row r="219" ht="15.75" customHeight="1">
      <c r="A219" s="397"/>
      <c r="B219" s="397"/>
      <c r="C219" s="397"/>
      <c r="D219" s="398"/>
      <c r="E219" s="4"/>
      <c r="F219" s="4"/>
      <c r="G219" s="4"/>
      <c r="H219" s="4"/>
      <c r="I219" s="4"/>
      <c r="J219" s="4"/>
      <c r="K219" s="4"/>
      <c r="L219" s="4"/>
      <c r="M219" s="4"/>
    </row>
    <row r="220" ht="15.75" customHeight="1">
      <c r="A220" s="397"/>
      <c r="B220" s="397"/>
      <c r="C220" s="397"/>
      <c r="D220" s="398"/>
      <c r="E220" s="4"/>
      <c r="F220" s="4"/>
      <c r="G220" s="4"/>
      <c r="H220" s="4"/>
      <c r="I220" s="4"/>
      <c r="J220" s="4"/>
      <c r="K220" s="4"/>
      <c r="L220" s="4"/>
      <c r="M220" s="4"/>
    </row>
    <row r="221" ht="15.75" customHeight="1">
      <c r="A221" s="397"/>
      <c r="B221" s="397"/>
      <c r="C221" s="397"/>
      <c r="D221" s="398"/>
      <c r="E221" s="4"/>
      <c r="F221" s="4"/>
      <c r="G221" s="4"/>
      <c r="H221" s="4"/>
      <c r="I221" s="4"/>
      <c r="J221" s="4"/>
      <c r="K221" s="4"/>
      <c r="L221" s="4"/>
      <c r="M221" s="4"/>
    </row>
    <row r="222" ht="15.75" customHeight="1">
      <c r="A222" s="397"/>
      <c r="B222" s="397"/>
      <c r="C222" s="397"/>
      <c r="D222" s="398"/>
      <c r="E222" s="4"/>
      <c r="F222" s="4"/>
      <c r="G222" s="4"/>
      <c r="H222" s="4"/>
      <c r="I222" s="4"/>
      <c r="J222" s="4"/>
      <c r="K222" s="4"/>
      <c r="L222" s="4"/>
      <c r="M222" s="4"/>
    </row>
    <row r="223" ht="15.75" customHeight="1">
      <c r="A223" s="397"/>
      <c r="B223" s="397"/>
      <c r="C223" s="397"/>
      <c r="D223" s="398"/>
      <c r="E223" s="4"/>
      <c r="F223" s="4"/>
      <c r="G223" s="4"/>
      <c r="H223" s="4"/>
      <c r="I223" s="4"/>
      <c r="J223" s="4"/>
      <c r="K223" s="4"/>
      <c r="L223" s="4"/>
      <c r="M223" s="4"/>
    </row>
    <row r="224" ht="15.75" customHeight="1">
      <c r="A224" s="397"/>
      <c r="B224" s="397"/>
      <c r="C224" s="397"/>
      <c r="D224" s="398"/>
      <c r="E224" s="4"/>
      <c r="F224" s="4"/>
      <c r="G224" s="4"/>
      <c r="H224" s="4"/>
      <c r="I224" s="4"/>
      <c r="J224" s="4"/>
      <c r="K224" s="4"/>
      <c r="L224" s="4"/>
      <c r="M224" s="4"/>
    </row>
    <row r="225" ht="15.75" customHeight="1">
      <c r="A225" s="397"/>
      <c r="B225" s="397"/>
      <c r="C225" s="397"/>
      <c r="D225" s="398"/>
      <c r="E225" s="4"/>
      <c r="F225" s="4"/>
      <c r="G225" s="4"/>
      <c r="H225" s="4"/>
      <c r="I225" s="4"/>
      <c r="J225" s="4"/>
      <c r="K225" s="4"/>
      <c r="L225" s="4"/>
      <c r="M225" s="4"/>
    </row>
    <row r="226" ht="15.75" customHeight="1">
      <c r="A226" s="397"/>
      <c r="B226" s="397"/>
      <c r="C226" s="397"/>
      <c r="D226" s="398"/>
      <c r="E226" s="4"/>
      <c r="F226" s="4"/>
      <c r="G226" s="4"/>
      <c r="H226" s="4"/>
      <c r="I226" s="4"/>
      <c r="J226" s="4"/>
      <c r="K226" s="4"/>
      <c r="L226" s="4"/>
      <c r="M226" s="4"/>
    </row>
    <row r="227" ht="15.75" customHeight="1">
      <c r="A227" s="397"/>
      <c r="B227" s="397"/>
      <c r="C227" s="397"/>
      <c r="D227" s="398"/>
      <c r="E227" s="4"/>
      <c r="F227" s="4"/>
      <c r="G227" s="4"/>
      <c r="H227" s="4"/>
      <c r="I227" s="4"/>
      <c r="J227" s="4"/>
      <c r="K227" s="4"/>
      <c r="L227" s="4"/>
      <c r="M227" s="4"/>
    </row>
    <row r="228" ht="15.75" customHeight="1">
      <c r="A228" s="397"/>
      <c r="B228" s="397"/>
      <c r="C228" s="397"/>
      <c r="D228" s="398"/>
      <c r="E228" s="4"/>
      <c r="F228" s="4"/>
      <c r="G228" s="4"/>
      <c r="H228" s="4"/>
      <c r="I228" s="4"/>
      <c r="J228" s="4"/>
      <c r="K228" s="4"/>
      <c r="L228" s="4"/>
      <c r="M228" s="4"/>
    </row>
    <row r="229" ht="15.75" customHeight="1">
      <c r="A229" s="397"/>
      <c r="B229" s="397"/>
      <c r="C229" s="397"/>
      <c r="D229" s="398"/>
      <c r="E229" s="4"/>
      <c r="F229" s="4"/>
      <c r="G229" s="4"/>
      <c r="H229" s="4"/>
      <c r="I229" s="4"/>
      <c r="J229" s="4"/>
      <c r="K229" s="4"/>
      <c r="L229" s="4"/>
      <c r="M229" s="4"/>
    </row>
    <row r="230" ht="15.75" customHeight="1">
      <c r="A230" s="397"/>
      <c r="B230" s="397"/>
      <c r="C230" s="397"/>
      <c r="D230" s="398"/>
      <c r="E230" s="4"/>
      <c r="F230" s="4"/>
      <c r="G230" s="4"/>
      <c r="H230" s="4"/>
      <c r="I230" s="4"/>
      <c r="J230" s="4"/>
      <c r="K230" s="4"/>
      <c r="L230" s="4"/>
      <c r="M230" s="4"/>
    </row>
    <row r="231" ht="15.75" customHeight="1">
      <c r="A231" s="397"/>
      <c r="B231" s="397"/>
      <c r="C231" s="397"/>
      <c r="D231" s="398"/>
      <c r="E231" s="4"/>
      <c r="F231" s="4"/>
      <c r="G231" s="4"/>
      <c r="H231" s="4"/>
      <c r="I231" s="4"/>
      <c r="J231" s="4"/>
      <c r="K231" s="4"/>
      <c r="L231" s="4"/>
      <c r="M231" s="4"/>
    </row>
    <row r="232" ht="15.75" customHeight="1">
      <c r="A232" s="397"/>
      <c r="B232" s="397"/>
      <c r="C232" s="397"/>
      <c r="D232" s="398"/>
      <c r="E232" s="4"/>
      <c r="F232" s="4"/>
      <c r="G232" s="4"/>
      <c r="H232" s="4"/>
      <c r="I232" s="4"/>
      <c r="J232" s="4"/>
      <c r="K232" s="4"/>
      <c r="L232" s="4"/>
      <c r="M232" s="4"/>
    </row>
    <row r="233" ht="15.75" customHeight="1">
      <c r="A233" s="397"/>
      <c r="B233" s="397"/>
      <c r="C233" s="397"/>
      <c r="D233" s="398"/>
      <c r="E233" s="4"/>
      <c r="F233" s="4"/>
      <c r="G233" s="4"/>
      <c r="H233" s="4"/>
      <c r="I233" s="4"/>
      <c r="J233" s="4"/>
      <c r="K233" s="4"/>
      <c r="L233" s="4"/>
      <c r="M233" s="4"/>
    </row>
    <row r="234" ht="15.75" customHeight="1">
      <c r="A234" s="397"/>
      <c r="B234" s="397"/>
      <c r="C234" s="397"/>
      <c r="D234" s="398"/>
      <c r="E234" s="4"/>
      <c r="F234" s="4"/>
      <c r="G234" s="4"/>
      <c r="H234" s="4"/>
      <c r="I234" s="4"/>
      <c r="J234" s="4"/>
      <c r="K234" s="4"/>
      <c r="L234" s="4"/>
      <c r="M234" s="4"/>
    </row>
    <row r="235" ht="15.75" customHeight="1">
      <c r="A235" s="397"/>
      <c r="B235" s="397"/>
      <c r="C235" s="397"/>
      <c r="D235" s="398"/>
      <c r="E235" s="4"/>
      <c r="F235" s="4"/>
      <c r="G235" s="4"/>
      <c r="H235" s="4"/>
      <c r="I235" s="4"/>
      <c r="J235" s="4"/>
      <c r="K235" s="4"/>
      <c r="L235" s="4"/>
      <c r="M235" s="4"/>
    </row>
    <row r="236" ht="15.75" customHeight="1">
      <c r="A236" s="397"/>
      <c r="B236" s="397"/>
      <c r="C236" s="397"/>
      <c r="D236" s="398"/>
      <c r="E236" s="4"/>
      <c r="F236" s="4"/>
      <c r="G236" s="4"/>
      <c r="H236" s="4"/>
      <c r="I236" s="4"/>
      <c r="J236" s="4"/>
      <c r="K236" s="4"/>
      <c r="L236" s="4"/>
      <c r="M236" s="4"/>
    </row>
    <row r="237" ht="15.75" customHeight="1">
      <c r="A237" s="397"/>
      <c r="B237" s="397"/>
      <c r="C237" s="397"/>
      <c r="D237" s="398"/>
      <c r="E237" s="4"/>
      <c r="F237" s="4"/>
      <c r="G237" s="4"/>
      <c r="H237" s="4"/>
      <c r="I237" s="4"/>
      <c r="J237" s="4"/>
      <c r="K237" s="4"/>
      <c r="L237" s="4"/>
      <c r="M237" s="4"/>
    </row>
    <row r="238" ht="15.75" customHeight="1">
      <c r="A238" s="397"/>
      <c r="B238" s="397"/>
      <c r="C238" s="397"/>
      <c r="D238" s="398"/>
      <c r="E238" s="4"/>
      <c r="F238" s="4"/>
      <c r="G238" s="4"/>
      <c r="H238" s="4"/>
      <c r="I238" s="4"/>
      <c r="J238" s="4"/>
      <c r="K238" s="4"/>
      <c r="L238" s="4"/>
      <c r="M238" s="4"/>
    </row>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9">
    <mergeCell ref="A1:D1"/>
    <mergeCell ref="F1:G1"/>
    <mergeCell ref="K1:M1"/>
    <mergeCell ref="F2:G2"/>
    <mergeCell ref="A3:D3"/>
    <mergeCell ref="F6:M15"/>
    <mergeCell ref="D7:D9"/>
    <mergeCell ref="G32:I32"/>
    <mergeCell ref="A34:D34"/>
    <mergeCell ref="C47:D49"/>
    <mergeCell ref="N48:P48"/>
    <mergeCell ref="Q48:S48"/>
    <mergeCell ref="A14:D14"/>
    <mergeCell ref="A25:D25"/>
    <mergeCell ref="G26:I26"/>
    <mergeCell ref="G27:I27"/>
    <mergeCell ref="G28:I28"/>
    <mergeCell ref="G29:I29"/>
    <mergeCell ref="G30:I30"/>
  </mergeCells>
  <conditionalFormatting sqref="B37">
    <cfRule type="cellIs" dxfId="1" priority="1" operator="lessThan">
      <formula>$B$38</formula>
    </cfRule>
  </conditionalFormatting>
  <conditionalFormatting sqref="B37">
    <cfRule type="cellIs" dxfId="2" priority="2" operator="greaterThanOrEqual">
      <formula>$B$38</formula>
    </cfRule>
  </conditionalFormatting>
  <printOptions/>
  <pageMargins bottom="0.75" footer="0.0" header="0.0" left="0.7" right="0.7" top="0.75"/>
  <pageSetup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5588"/>
    <pageSetUpPr/>
  </sheetPr>
  <sheetViews>
    <sheetView showGridLines="0" workbookViewId="0"/>
  </sheetViews>
  <sheetFormatPr customHeight="1" defaultColWidth="12.63" defaultRowHeight="15.0" outlineLevelRow="1"/>
  <cols>
    <col customWidth="1" min="1" max="1" width="24.13"/>
    <col customWidth="1" min="2" max="2" width="15.88"/>
    <col customWidth="1" min="3" max="3" width="8.88"/>
    <col customWidth="1" min="4" max="4" width="74.0"/>
    <col customWidth="1" min="5" max="5" width="1.63"/>
    <col customWidth="1" min="6" max="6" width="7.5"/>
    <col customWidth="1" min="7" max="7" width="9.88"/>
    <col customWidth="1" min="8" max="8" width="1.63"/>
    <col customWidth="1" min="9" max="9" width="17.13"/>
    <col customWidth="1" min="10" max="10" width="1.75"/>
    <col customWidth="1" min="11" max="11" width="8.5"/>
    <col customWidth="1" min="12" max="12" width="10.25"/>
    <col customWidth="1" min="13" max="13" width="7.5"/>
  </cols>
  <sheetData>
    <row r="1" ht="14.25" customHeight="1">
      <c r="A1" s="317" t="s">
        <v>485</v>
      </c>
      <c r="B1" s="318"/>
      <c r="C1" s="318"/>
      <c r="D1" s="319"/>
      <c r="E1" s="4"/>
      <c r="F1" s="320" t="s">
        <v>486</v>
      </c>
      <c r="G1" s="319"/>
      <c r="H1" s="4"/>
      <c r="I1" s="321" t="s">
        <v>8</v>
      </c>
      <c r="J1" s="4"/>
      <c r="K1" s="322" t="s">
        <v>487</v>
      </c>
      <c r="L1" s="8"/>
      <c r="M1" s="10"/>
    </row>
    <row r="2" ht="14.25" customHeight="1">
      <c r="A2" s="406" t="s">
        <v>488</v>
      </c>
      <c r="B2" s="407" t="s">
        <v>32</v>
      </c>
      <c r="C2" s="407" t="s">
        <v>489</v>
      </c>
      <c r="D2" s="408" t="s">
        <v>490</v>
      </c>
      <c r="E2" s="4"/>
      <c r="F2" s="327" t="s">
        <v>492</v>
      </c>
      <c r="G2" s="329"/>
      <c r="H2" s="4"/>
      <c r="I2" s="330" t="s">
        <v>49</v>
      </c>
      <c r="J2" s="4"/>
      <c r="K2" s="4" t="s">
        <v>493</v>
      </c>
      <c r="L2" s="4"/>
      <c r="M2" s="4"/>
    </row>
    <row r="3" ht="14.25" customHeight="1">
      <c r="A3" s="332" t="s">
        <v>666</v>
      </c>
      <c r="B3" s="333"/>
      <c r="C3" s="333"/>
      <c r="D3" s="329"/>
      <c r="E3" s="4"/>
      <c r="F3" s="145" t="s">
        <v>495</v>
      </c>
      <c r="G3" s="334" t="s">
        <v>497</v>
      </c>
      <c r="H3" s="4"/>
      <c r="I3" s="409" t="s">
        <v>51</v>
      </c>
      <c r="J3" s="4"/>
      <c r="K3" s="4"/>
      <c r="L3" s="4"/>
      <c r="M3" s="4"/>
    </row>
    <row r="4" ht="14.25" customHeight="1">
      <c r="A4" s="337" t="s">
        <v>667</v>
      </c>
      <c r="B4" s="410">
        <v>10.0</v>
      </c>
      <c r="C4" s="340" t="s">
        <v>531</v>
      </c>
      <c r="D4" s="341" t="s">
        <v>504</v>
      </c>
      <c r="E4" s="4"/>
      <c r="F4" s="342" t="s">
        <v>505</v>
      </c>
      <c r="G4" s="343" t="s">
        <v>506</v>
      </c>
      <c r="H4" s="4"/>
      <c r="I4" s="411" t="s">
        <v>668</v>
      </c>
      <c r="J4" s="4"/>
      <c r="K4" s="4"/>
      <c r="L4" s="4"/>
      <c r="M4" s="4"/>
    </row>
    <row r="5" ht="14.25" customHeight="1">
      <c r="A5" s="337" t="s">
        <v>669</v>
      </c>
      <c r="B5" s="346">
        <f>'Orbit Info'!G4</f>
        <v>6378</v>
      </c>
      <c r="C5" s="340" t="s">
        <v>37</v>
      </c>
      <c r="D5" s="341"/>
      <c r="E5" s="4"/>
      <c r="F5" s="4"/>
      <c r="G5" s="348"/>
      <c r="H5" s="4"/>
      <c r="I5" s="349"/>
      <c r="J5" s="4"/>
      <c r="K5" s="4"/>
      <c r="L5" s="4"/>
      <c r="M5" s="4"/>
    </row>
    <row r="6" ht="14.25" customHeight="1">
      <c r="A6" s="337" t="s">
        <v>516</v>
      </c>
      <c r="B6" s="346">
        <f>'Orbit Info'!G3</f>
        <v>500</v>
      </c>
      <c r="C6" s="340" t="s">
        <v>37</v>
      </c>
      <c r="D6" s="341" t="s">
        <v>670</v>
      </c>
      <c r="E6" s="4"/>
      <c r="F6" s="146" t="s">
        <v>671</v>
      </c>
      <c r="G6" s="147"/>
      <c r="H6" s="147"/>
      <c r="I6" s="147"/>
      <c r="J6" s="147"/>
      <c r="K6" s="147"/>
      <c r="L6" s="147"/>
      <c r="M6" s="148"/>
    </row>
    <row r="7" ht="14.25" customHeight="1">
      <c r="A7" s="337" t="s">
        <v>672</v>
      </c>
      <c r="B7" s="410">
        <v>0.143</v>
      </c>
      <c r="C7" s="340" t="s">
        <v>37</v>
      </c>
      <c r="D7" s="340" t="s">
        <v>673</v>
      </c>
      <c r="E7" s="4"/>
      <c r="F7" s="151"/>
      <c r="M7" s="81"/>
    </row>
    <row r="8" ht="14.25" customHeight="1">
      <c r="A8" s="412" t="s">
        <v>674</v>
      </c>
      <c r="B8" s="413">
        <v>62.3199</v>
      </c>
      <c r="C8" s="32" t="s">
        <v>531</v>
      </c>
      <c r="D8" s="414" t="s">
        <v>675</v>
      </c>
      <c r="E8" s="4"/>
      <c r="F8" s="151"/>
      <c r="M8" s="81"/>
    </row>
    <row r="9" ht="14.25" customHeight="1">
      <c r="A9" s="337" t="s">
        <v>676</v>
      </c>
      <c r="B9" s="346">
        <v>2.99792458E8</v>
      </c>
      <c r="C9" s="340" t="s">
        <v>463</v>
      </c>
      <c r="D9" s="340"/>
      <c r="E9" s="4"/>
      <c r="F9" s="151"/>
      <c r="M9" s="81"/>
    </row>
    <row r="10" ht="14.25" customHeight="1">
      <c r="A10" s="337" t="s">
        <v>677</v>
      </c>
      <c r="B10" s="346">
        <v>1.380649E-23</v>
      </c>
      <c r="C10" s="340" t="s">
        <v>538</v>
      </c>
      <c r="D10" s="340"/>
      <c r="E10" s="4"/>
      <c r="F10" s="151"/>
      <c r="M10" s="81"/>
    </row>
    <row r="11" ht="14.25" customHeight="1">
      <c r="A11" s="337"/>
      <c r="B11" s="382">
        <f>10*LOG10(B10)</f>
        <v>-228.5991672</v>
      </c>
      <c r="C11" s="415" t="s">
        <v>678</v>
      </c>
      <c r="D11" s="415" t="s">
        <v>540</v>
      </c>
      <c r="E11" s="4"/>
      <c r="F11" s="151"/>
      <c r="M11" s="81"/>
    </row>
    <row r="12" ht="14.25" customHeight="1">
      <c r="A12" s="332" t="s">
        <v>679</v>
      </c>
      <c r="B12" s="333"/>
      <c r="C12" s="333"/>
      <c r="D12" s="329"/>
      <c r="E12" s="4"/>
      <c r="F12" s="151"/>
      <c r="M12" s="81"/>
    </row>
    <row r="13" ht="14.25" customHeight="1">
      <c r="A13" s="337" t="s">
        <v>680</v>
      </c>
      <c r="B13" s="410">
        <v>0.398</v>
      </c>
      <c r="C13" s="340" t="s">
        <v>681</v>
      </c>
      <c r="D13" s="341" t="s">
        <v>682</v>
      </c>
      <c r="E13" s="4"/>
      <c r="F13" s="151"/>
      <c r="M13" s="81"/>
    </row>
    <row r="14" ht="14.25" customHeight="1">
      <c r="A14" s="337" t="s">
        <v>683</v>
      </c>
      <c r="B14" s="410">
        <v>1.43</v>
      </c>
      <c r="C14" s="340"/>
      <c r="D14" s="341" t="s">
        <v>684</v>
      </c>
      <c r="E14" s="4"/>
      <c r="F14" s="151"/>
      <c r="M14" s="81"/>
    </row>
    <row r="15" ht="14.25" customHeight="1">
      <c r="A15" s="337" t="s">
        <v>685</v>
      </c>
      <c r="B15" s="382">
        <f>IF(B14=1, -1000000000000, 10*LOG10( ((B14-1)/(B14+1))^2 ) )</f>
        <v>-15.04275636</v>
      </c>
      <c r="C15" s="340" t="s">
        <v>574</v>
      </c>
      <c r="D15" s="341" t="s">
        <v>686</v>
      </c>
      <c r="E15" s="4"/>
      <c r="F15" s="153"/>
      <c r="G15" s="86"/>
      <c r="H15" s="86"/>
      <c r="I15" s="86"/>
      <c r="J15" s="86"/>
      <c r="K15" s="86"/>
      <c r="L15" s="86"/>
      <c r="M15" s="88"/>
    </row>
    <row r="16" ht="14.25" customHeight="1" outlineLevel="1">
      <c r="A16" s="337" t="s">
        <v>687</v>
      </c>
      <c r="B16" s="416">
        <f>10^(B15/10)*B13</f>
        <v>0.01246256499</v>
      </c>
      <c r="C16" s="340" t="s">
        <v>681</v>
      </c>
      <c r="D16" s="341" t="s">
        <v>688</v>
      </c>
      <c r="E16" s="4"/>
      <c r="F16" s="417"/>
      <c r="G16" s="417"/>
      <c r="H16" s="417"/>
      <c r="I16" s="417"/>
      <c r="J16" s="417"/>
      <c r="K16" s="417"/>
      <c r="L16" s="417"/>
      <c r="M16" s="417"/>
    </row>
    <row r="17" ht="14.25" customHeight="1">
      <c r="A17" s="418" t="s">
        <v>689</v>
      </c>
      <c r="B17" s="382">
        <f>10*LOG10(B13-B16)</f>
        <v>-4.139334463</v>
      </c>
      <c r="C17" s="340" t="s">
        <v>690</v>
      </c>
      <c r="D17" s="341"/>
      <c r="E17" s="4"/>
      <c r="F17" s="417"/>
      <c r="G17" s="417"/>
      <c r="H17" s="417"/>
      <c r="I17" s="417"/>
      <c r="J17" s="417"/>
      <c r="K17" s="417"/>
      <c r="L17" s="417"/>
      <c r="M17" s="417"/>
    </row>
    <row r="18" ht="14.25" customHeight="1">
      <c r="A18" s="114"/>
      <c r="B18" s="382">
        <f>B17+10*LOG10(1000)</f>
        <v>25.86066554</v>
      </c>
      <c r="C18" s="340" t="s">
        <v>567</v>
      </c>
      <c r="D18" s="341" t="s">
        <v>691</v>
      </c>
      <c r="E18" s="4"/>
      <c r="F18" s="417"/>
      <c r="G18" s="417"/>
      <c r="H18" s="417"/>
      <c r="I18" s="417"/>
      <c r="J18" s="417"/>
      <c r="K18" s="417"/>
      <c r="L18" s="417"/>
      <c r="M18" s="417"/>
    </row>
    <row r="19" ht="14.25" customHeight="1">
      <c r="A19" s="337" t="s">
        <v>18</v>
      </c>
      <c r="B19" s="410">
        <v>2.2</v>
      </c>
      <c r="C19" s="340" t="s">
        <v>543</v>
      </c>
      <c r="D19" s="341" t="s">
        <v>692</v>
      </c>
      <c r="E19" s="4"/>
      <c r="F19" s="417"/>
      <c r="G19" s="417"/>
      <c r="H19" s="417"/>
      <c r="I19" s="417"/>
      <c r="J19" s="417"/>
      <c r="K19" s="417"/>
      <c r="L19" s="417"/>
      <c r="M19" s="417"/>
    </row>
    <row r="20" ht="14.25" customHeight="1" outlineLevel="1">
      <c r="A20" s="337" t="s">
        <v>553</v>
      </c>
      <c r="B20" s="416">
        <f>B9/(B19*1000000000)</f>
        <v>0.1362692991</v>
      </c>
      <c r="C20" s="340" t="s">
        <v>475</v>
      </c>
      <c r="D20" s="341" t="s">
        <v>693</v>
      </c>
      <c r="E20" s="4"/>
      <c r="F20" s="417"/>
      <c r="G20" s="417"/>
      <c r="H20" s="417"/>
      <c r="I20" s="417"/>
      <c r="J20" s="417"/>
      <c r="K20" s="417"/>
      <c r="L20" s="417"/>
      <c r="M20" s="417"/>
    </row>
    <row r="21" ht="14.25" customHeight="1">
      <c r="A21" s="337" t="s">
        <v>546</v>
      </c>
      <c r="B21" s="419">
        <v>1.0</v>
      </c>
      <c r="C21" s="340" t="s">
        <v>548</v>
      </c>
      <c r="D21" s="341" t="s">
        <v>694</v>
      </c>
      <c r="E21" s="4"/>
      <c r="F21" s="34"/>
      <c r="G21" s="417"/>
      <c r="H21" s="417"/>
      <c r="I21" s="417"/>
      <c r="J21" s="417"/>
      <c r="K21" s="417"/>
      <c r="L21" s="417"/>
      <c r="M21" s="417"/>
    </row>
    <row r="22" ht="14.25" customHeight="1">
      <c r="A22" s="337" t="s">
        <v>570</v>
      </c>
      <c r="B22" s="410">
        <v>5.0</v>
      </c>
      <c r="C22" s="340" t="s">
        <v>571</v>
      </c>
      <c r="D22" s="341" t="s">
        <v>695</v>
      </c>
      <c r="E22" s="4"/>
      <c r="F22" s="417"/>
      <c r="G22" s="417"/>
      <c r="H22" s="417"/>
      <c r="I22" s="417"/>
      <c r="J22" s="417"/>
      <c r="K22" s="417"/>
      <c r="L22" s="417"/>
      <c r="M22" s="417"/>
    </row>
    <row r="23" ht="14.25" customHeight="1" outlineLevel="1">
      <c r="A23" s="337" t="s">
        <v>696</v>
      </c>
      <c r="B23" s="410">
        <v>70.0</v>
      </c>
      <c r="C23" s="340" t="s">
        <v>531</v>
      </c>
      <c r="D23" s="341" t="s">
        <v>697</v>
      </c>
      <c r="E23" s="4"/>
      <c r="F23" s="417"/>
      <c r="G23" s="417"/>
      <c r="H23" s="417"/>
      <c r="I23" s="417"/>
      <c r="J23" s="417"/>
      <c r="K23" s="417"/>
      <c r="L23" s="417"/>
      <c r="M23" s="417"/>
    </row>
    <row r="24" ht="14.25" customHeight="1" outlineLevel="1">
      <c r="A24" s="337" t="s">
        <v>698</v>
      </c>
      <c r="B24" s="410">
        <v>8.0</v>
      </c>
      <c r="C24" s="340" t="s">
        <v>531</v>
      </c>
      <c r="D24" s="4" t="s">
        <v>699</v>
      </c>
      <c r="E24" s="4"/>
      <c r="F24" s="417"/>
      <c r="G24" s="417"/>
      <c r="H24" s="417"/>
      <c r="I24" s="417"/>
      <c r="J24" s="417"/>
      <c r="K24" s="417"/>
      <c r="L24" s="417"/>
      <c r="M24" s="417"/>
    </row>
    <row r="25" ht="14.25" customHeight="1">
      <c r="A25" s="337" t="s">
        <v>700</v>
      </c>
      <c r="B25" s="346">
        <f>-12 * ((B24/B23)^2)</f>
        <v>-0.1567346939</v>
      </c>
      <c r="C25" s="340" t="s">
        <v>574</v>
      </c>
      <c r="D25" s="420" t="s">
        <v>701</v>
      </c>
      <c r="E25" s="4"/>
      <c r="F25" s="417"/>
      <c r="G25" s="417"/>
      <c r="H25" s="417"/>
      <c r="I25" s="417"/>
      <c r="J25" s="417"/>
      <c r="K25" s="417"/>
      <c r="L25" s="417"/>
      <c r="M25" s="417"/>
    </row>
    <row r="26" ht="14.25" customHeight="1">
      <c r="A26" s="337" t="s">
        <v>702</v>
      </c>
      <c r="B26" s="410">
        <v>-1.0</v>
      </c>
      <c r="C26" s="340" t="s">
        <v>574</v>
      </c>
      <c r="D26" s="341" t="s">
        <v>703</v>
      </c>
      <c r="E26" s="4"/>
      <c r="F26" s="4"/>
      <c r="G26" s="4"/>
      <c r="H26" s="4"/>
      <c r="I26" s="4"/>
      <c r="J26" s="4"/>
      <c r="K26" s="4"/>
      <c r="L26" s="4"/>
      <c r="M26" s="4"/>
    </row>
    <row r="27" ht="14.25" customHeight="1">
      <c r="A27" s="418" t="s">
        <v>578</v>
      </c>
      <c r="B27" s="381">
        <f>SUM(B17,B22,B25,B26)</f>
        <v>-0.2960691572</v>
      </c>
      <c r="C27" s="340" t="s">
        <v>690</v>
      </c>
      <c r="D27" s="340"/>
      <c r="E27" s="4"/>
      <c r="F27" s="4"/>
      <c r="G27" s="421"/>
      <c r="H27" s="4"/>
      <c r="I27" s="4"/>
      <c r="J27" s="4"/>
      <c r="K27" s="4"/>
      <c r="L27" s="4"/>
      <c r="M27" s="4"/>
    </row>
    <row r="28" ht="14.25" customHeight="1" outlineLevel="1">
      <c r="A28" s="418" t="s">
        <v>704</v>
      </c>
      <c r="B28" s="381">
        <f>B27+10*LOG10(1000)</f>
        <v>29.70393084</v>
      </c>
      <c r="C28" s="340" t="s">
        <v>567</v>
      </c>
      <c r="D28" s="340" t="s">
        <v>705</v>
      </c>
      <c r="E28" s="4"/>
      <c r="F28" s="4"/>
      <c r="G28" s="421"/>
      <c r="H28" s="4"/>
      <c r="I28" s="4"/>
      <c r="J28" s="4"/>
      <c r="K28" s="4"/>
      <c r="L28" s="4"/>
      <c r="M28" s="4"/>
    </row>
    <row r="29" ht="14.25" customHeight="1" outlineLevel="1">
      <c r="A29" s="337" t="s">
        <v>706</v>
      </c>
      <c r="B29" s="381">
        <v>1.0</v>
      </c>
      <c r="C29" s="340"/>
      <c r="D29" s="351" t="s">
        <v>707</v>
      </c>
      <c r="E29" s="4"/>
      <c r="F29" s="4"/>
      <c r="G29" s="4"/>
      <c r="H29" s="4"/>
      <c r="I29" s="4"/>
      <c r="J29" s="4"/>
      <c r="K29" s="4"/>
      <c r="L29" s="4"/>
      <c r="M29" s="4"/>
    </row>
    <row r="30" ht="14.25" customHeight="1" outlineLevel="1">
      <c r="A30" s="337" t="s">
        <v>708</v>
      </c>
      <c r="B30" s="381">
        <f>-2*B5*COS(PI()/2+B4*PI()/180)</f>
        <v>2215.056154</v>
      </c>
      <c r="C30" s="340"/>
      <c r="D30" s="353"/>
      <c r="E30" s="4"/>
      <c r="F30" s="4"/>
      <c r="G30" s="4"/>
      <c r="H30" s="4"/>
      <c r="I30" s="4"/>
      <c r="J30" s="4"/>
      <c r="K30" s="4"/>
      <c r="L30" s="4"/>
      <c r="M30" s="4"/>
    </row>
    <row r="31" ht="14.25" customHeight="1" outlineLevel="1">
      <c r="A31" s="337" t="s">
        <v>709</v>
      </c>
      <c r="B31" s="358">
        <f>B5^2-(B5+B6)^2</f>
        <v>-6628000</v>
      </c>
      <c r="C31" s="340"/>
      <c r="D31" s="355"/>
      <c r="E31" s="4"/>
      <c r="F31" s="4"/>
      <c r="G31" s="4"/>
      <c r="H31" s="4"/>
      <c r="I31" s="4"/>
      <c r="J31" s="4"/>
      <c r="K31" s="4"/>
      <c r="L31" s="4"/>
      <c r="M31" s="4"/>
    </row>
    <row r="32" ht="14.25" customHeight="1">
      <c r="A32" s="337" t="s">
        <v>710</v>
      </c>
      <c r="B32" s="381">
        <f>(-B30+SQRT(B30^2-4*B29*B31))/(2*B29)</f>
        <v>1695.081143</v>
      </c>
      <c r="C32" s="340" t="s">
        <v>37</v>
      </c>
      <c r="D32" s="341" t="s">
        <v>711</v>
      </c>
      <c r="E32" s="4"/>
      <c r="F32" s="4"/>
      <c r="G32" s="4"/>
      <c r="H32" s="4"/>
      <c r="I32" s="4"/>
      <c r="J32" s="4"/>
      <c r="K32" s="4"/>
      <c r="L32" s="4"/>
      <c r="M32" s="4"/>
    </row>
    <row r="33" ht="14.25" customHeight="1">
      <c r="A33" s="337" t="s">
        <v>712</v>
      </c>
      <c r="B33" s="382">
        <f>-10*LOG10((4*PI()*B32*10^3*B19*10^9/B9)^2)</f>
        <v>-163.8800467</v>
      </c>
      <c r="C33" s="340" t="s">
        <v>574</v>
      </c>
      <c r="D33" s="341" t="s">
        <v>584</v>
      </c>
      <c r="E33" s="4"/>
      <c r="F33" s="4"/>
      <c r="G33" s="4"/>
      <c r="H33" s="4"/>
      <c r="I33" s="4"/>
      <c r="J33" s="4"/>
      <c r="K33" s="4"/>
      <c r="L33" s="4"/>
      <c r="M33" s="4"/>
    </row>
    <row r="34" ht="14.25" customHeight="1">
      <c r="A34" s="337" t="s">
        <v>713</v>
      </c>
      <c r="B34" s="410">
        <v>-1.0</v>
      </c>
      <c r="C34" s="340" t="s">
        <v>574</v>
      </c>
      <c r="D34" s="422" t="s">
        <v>714</v>
      </c>
      <c r="E34" s="4"/>
      <c r="F34" s="4"/>
      <c r="G34" s="4"/>
      <c r="H34" s="4"/>
      <c r="I34" s="4"/>
      <c r="J34" s="4"/>
      <c r="K34" s="4"/>
      <c r="L34" s="4"/>
      <c r="M34" s="4"/>
    </row>
    <row r="35" ht="14.25" customHeight="1" outlineLevel="1">
      <c r="A35" s="418" t="s">
        <v>715</v>
      </c>
      <c r="B35" s="423">
        <v>1.46E-4</v>
      </c>
      <c r="C35" s="424"/>
      <c r="D35" s="425" t="s">
        <v>716</v>
      </c>
      <c r="E35" s="4"/>
      <c r="F35" s="4"/>
      <c r="G35" s="4"/>
      <c r="H35" s="4"/>
      <c r="I35" s="4"/>
      <c r="J35" s="4"/>
      <c r="K35" s="4"/>
      <c r="L35" s="4"/>
      <c r="M35" s="4"/>
    </row>
    <row r="36" ht="14.25" customHeight="1" outlineLevel="1">
      <c r="A36" s="418" t="s">
        <v>717</v>
      </c>
      <c r="B36" s="423">
        <v>0.9441</v>
      </c>
      <c r="C36" s="426"/>
      <c r="D36" s="425" t="s">
        <v>718</v>
      </c>
      <c r="E36" s="4"/>
      <c r="F36" s="4"/>
      <c r="G36" s="4"/>
      <c r="H36" s="4"/>
      <c r="I36" s="4"/>
      <c r="J36" s="4"/>
      <c r="K36" s="4"/>
      <c r="L36" s="4"/>
      <c r="M36" s="4"/>
    </row>
    <row r="37" ht="14.25" customHeight="1" outlineLevel="1">
      <c r="A37" s="418" t="s">
        <v>719</v>
      </c>
      <c r="B37" s="423">
        <v>35.0</v>
      </c>
      <c r="C37" s="424" t="s">
        <v>720</v>
      </c>
      <c r="D37" s="351" t="s">
        <v>721</v>
      </c>
      <c r="E37" s="4"/>
      <c r="F37" s="4"/>
      <c r="G37" s="4"/>
      <c r="H37" s="4"/>
      <c r="I37" s="4"/>
      <c r="J37" s="4"/>
      <c r="K37" s="4"/>
      <c r="L37" s="4"/>
      <c r="M37" s="4"/>
    </row>
    <row r="38" ht="14.25" customHeight="1" outlineLevel="1">
      <c r="A38" s="418" t="s">
        <v>722</v>
      </c>
      <c r="B38" s="427">
        <f>B35*B37^B36</f>
        <v>0.004188972376</v>
      </c>
      <c r="C38" s="424" t="s">
        <v>724</v>
      </c>
      <c r="D38" s="351" t="s">
        <v>725</v>
      </c>
      <c r="E38" s="4"/>
      <c r="F38" s="4"/>
      <c r="G38" s="4"/>
      <c r="H38" s="4"/>
      <c r="I38" s="4"/>
      <c r="J38" s="4"/>
      <c r="K38" s="4"/>
      <c r="L38" s="4"/>
      <c r="M38" s="4"/>
    </row>
    <row r="39" ht="14.25" customHeight="1" outlineLevel="1">
      <c r="A39" s="418" t="s">
        <v>726</v>
      </c>
      <c r="B39" s="423">
        <f>5+0.1*(71+B8)</f>
        <v>18.33199</v>
      </c>
      <c r="C39" s="424" t="s">
        <v>37</v>
      </c>
      <c r="D39" s="351" t="s">
        <v>727</v>
      </c>
      <c r="E39" s="4"/>
      <c r="F39" s="4"/>
      <c r="G39" s="4"/>
      <c r="H39" s="4"/>
      <c r="I39" s="4"/>
      <c r="J39" s="4"/>
      <c r="K39" s="4"/>
      <c r="L39" s="4"/>
      <c r="M39" s="4"/>
    </row>
    <row r="40" ht="14.25" customHeight="1" outlineLevel="1">
      <c r="A40" s="418" t="s">
        <v>729</v>
      </c>
      <c r="B40" s="431">
        <f>(B39-B7)/SIN(B4*PI()/180)</f>
        <v>104.7462187</v>
      </c>
      <c r="C40" s="424" t="s">
        <v>37</v>
      </c>
      <c r="D40" s="351" t="s">
        <v>730</v>
      </c>
      <c r="E40" s="4"/>
      <c r="F40" s="4"/>
      <c r="G40" s="4"/>
      <c r="H40" s="4"/>
      <c r="I40" s="4"/>
      <c r="J40" s="4"/>
      <c r="K40" s="4"/>
      <c r="L40" s="4"/>
      <c r="M40" s="4"/>
    </row>
    <row r="41" ht="14.25" customHeight="1">
      <c r="A41" s="393" t="s">
        <v>731</v>
      </c>
      <c r="B41" s="434">
        <f>-ABS(B38*B40)</f>
        <v>-0.4387790168</v>
      </c>
      <c r="C41" s="415" t="s">
        <v>574</v>
      </c>
      <c r="D41" s="396" t="s">
        <v>732</v>
      </c>
      <c r="E41" s="4"/>
      <c r="F41" s="4"/>
      <c r="G41" s="4"/>
      <c r="H41" s="4"/>
      <c r="I41" s="4"/>
      <c r="J41" s="4"/>
      <c r="K41" s="4"/>
      <c r="L41" s="4"/>
      <c r="M41" s="4"/>
    </row>
    <row r="42" ht="14.25" customHeight="1">
      <c r="A42" s="332" t="s">
        <v>733</v>
      </c>
      <c r="B42" s="333"/>
      <c r="C42" s="333"/>
      <c r="D42" s="329"/>
      <c r="E42" s="4"/>
      <c r="F42" s="4"/>
      <c r="G42" s="4"/>
      <c r="H42" s="4"/>
      <c r="I42" s="4"/>
      <c r="J42" s="4"/>
      <c r="K42" s="4"/>
      <c r="L42" s="4"/>
      <c r="M42" s="4"/>
    </row>
    <row r="43" ht="14.25" customHeight="1">
      <c r="A43" s="337" t="s">
        <v>594</v>
      </c>
      <c r="B43" s="437">
        <v>3.7</v>
      </c>
      <c r="C43" s="378" t="s">
        <v>734</v>
      </c>
      <c r="D43" s="341" t="s">
        <v>736</v>
      </c>
      <c r="E43" s="4"/>
      <c r="F43" s="4"/>
      <c r="G43" s="4"/>
      <c r="H43" s="4"/>
      <c r="I43" s="4"/>
      <c r="J43" s="4"/>
      <c r="K43" s="4"/>
      <c r="L43" s="4"/>
      <c r="M43" s="4"/>
    </row>
    <row r="44" ht="14.25" customHeight="1">
      <c r="A44" s="337" t="s">
        <v>597</v>
      </c>
      <c r="B44" s="437">
        <v>39.5</v>
      </c>
      <c r="C44" s="378" t="s">
        <v>156</v>
      </c>
      <c r="D44" s="341" t="s">
        <v>737</v>
      </c>
      <c r="E44" s="4"/>
      <c r="F44" s="4"/>
      <c r="G44" s="4"/>
      <c r="H44" s="4"/>
      <c r="I44" s="4"/>
      <c r="J44" s="4"/>
      <c r="K44" s="4"/>
      <c r="L44" s="4"/>
      <c r="M44" s="4"/>
    </row>
    <row r="45" ht="14.25" customHeight="1">
      <c r="A45" s="337" t="s">
        <v>600</v>
      </c>
      <c r="B45" s="382">
        <f>10*LOG((B44/100)*(PI()*B43/B20)^2)</f>
        <v>34.58504245</v>
      </c>
      <c r="C45" s="378" t="s">
        <v>571</v>
      </c>
      <c r="D45" s="341" t="s">
        <v>740</v>
      </c>
      <c r="E45" s="4"/>
      <c r="F45" s="4"/>
      <c r="G45" s="4"/>
      <c r="H45" s="4"/>
      <c r="I45" s="4"/>
      <c r="J45" s="4"/>
      <c r="K45" s="4"/>
      <c r="L45" s="4"/>
      <c r="M45" s="4"/>
    </row>
    <row r="46" ht="14.25" customHeight="1" outlineLevel="1">
      <c r="A46" s="337" t="s">
        <v>741</v>
      </c>
      <c r="B46" s="382">
        <f>21/(B19*B43)</f>
        <v>2.57985258</v>
      </c>
      <c r="C46" s="378" t="s">
        <v>531</v>
      </c>
      <c r="D46" s="341" t="s">
        <v>742</v>
      </c>
      <c r="E46" s="4"/>
      <c r="F46" s="4"/>
      <c r="G46" s="4"/>
      <c r="H46" s="4"/>
      <c r="I46" s="4"/>
      <c r="J46" s="4"/>
      <c r="K46" s="4"/>
      <c r="L46" s="4"/>
      <c r="M46" s="4"/>
    </row>
    <row r="47" ht="14.25" customHeight="1">
      <c r="A47" s="337" t="s">
        <v>743</v>
      </c>
      <c r="B47" s="410">
        <v>-1.0</v>
      </c>
      <c r="C47" s="378" t="s">
        <v>574</v>
      </c>
      <c r="D47" s="341" t="s">
        <v>744</v>
      </c>
      <c r="E47" s="4"/>
      <c r="F47" s="4"/>
      <c r="G47" s="4"/>
      <c r="H47" s="4"/>
      <c r="I47" s="4"/>
      <c r="J47" s="4"/>
      <c r="K47" s="4"/>
      <c r="L47" s="4"/>
      <c r="M47" s="4"/>
    </row>
    <row r="48" ht="14.25" customHeight="1">
      <c r="A48" s="337" t="s">
        <v>745</v>
      </c>
      <c r="B48" s="437">
        <v>-3.0</v>
      </c>
      <c r="C48" s="378" t="s">
        <v>574</v>
      </c>
      <c r="D48" s="341" t="s">
        <v>746</v>
      </c>
      <c r="E48" s="4"/>
      <c r="F48" s="4"/>
      <c r="G48" s="4"/>
      <c r="H48" s="4"/>
      <c r="I48" s="4"/>
      <c r="J48" s="4"/>
      <c r="K48" s="4"/>
      <c r="L48" s="4"/>
      <c r="M48" s="4"/>
    </row>
    <row r="49" ht="14.25" customHeight="1">
      <c r="A49" s="337" t="s">
        <v>702</v>
      </c>
      <c r="B49" s="410">
        <v>-1.0</v>
      </c>
      <c r="C49" s="378" t="s">
        <v>574</v>
      </c>
      <c r="D49" s="341" t="s">
        <v>703</v>
      </c>
      <c r="E49" s="4"/>
      <c r="F49" s="4"/>
      <c r="G49" s="4"/>
      <c r="H49" s="4"/>
      <c r="I49" s="4"/>
      <c r="J49" s="4"/>
      <c r="K49" s="4"/>
      <c r="L49" s="4"/>
      <c r="M49" s="4"/>
    </row>
    <row r="50" ht="14.25" customHeight="1">
      <c r="A50" s="340" t="s">
        <v>748</v>
      </c>
      <c r="B50" s="440">
        <f>B27+B33+B34+B45+B47+B49+B41+B48</f>
        <v>-136.0298524</v>
      </c>
      <c r="C50" s="441" t="s">
        <v>690</v>
      </c>
      <c r="D50" s="442"/>
      <c r="E50" s="4"/>
      <c r="F50" s="4"/>
      <c r="G50" s="4"/>
      <c r="H50" s="4"/>
      <c r="I50" s="4"/>
      <c r="J50" s="4"/>
      <c r="K50" s="4"/>
      <c r="L50" s="4"/>
      <c r="M50" s="4"/>
    </row>
    <row r="51" ht="14.25" customHeight="1" outlineLevel="1">
      <c r="A51" s="340" t="s">
        <v>750</v>
      </c>
      <c r="B51" s="440">
        <f>B50+10*LOG10(1000)</f>
        <v>-106.0298524</v>
      </c>
      <c r="C51" s="441" t="s">
        <v>567</v>
      </c>
      <c r="D51" s="340" t="s">
        <v>705</v>
      </c>
      <c r="E51" s="4"/>
      <c r="F51" s="4"/>
      <c r="G51" s="4"/>
      <c r="H51" s="4"/>
      <c r="I51" s="4"/>
      <c r="J51" s="4"/>
      <c r="K51" s="4"/>
      <c r="L51" s="4"/>
      <c r="M51" s="4"/>
    </row>
    <row r="52" ht="14.25" customHeight="1">
      <c r="A52" s="337" t="s">
        <v>752</v>
      </c>
      <c r="B52" s="346">
        <v>2.35</v>
      </c>
      <c r="C52" s="378" t="s">
        <v>574</v>
      </c>
      <c r="D52" s="341" t="s">
        <v>753</v>
      </c>
      <c r="E52" s="4"/>
      <c r="F52" s="4"/>
      <c r="G52" s="4"/>
      <c r="H52" s="4"/>
      <c r="I52" s="4"/>
      <c r="J52" s="4"/>
      <c r="K52" s="4"/>
      <c r="L52" s="4"/>
      <c r="M52" s="4"/>
    </row>
    <row r="53" ht="14.25" customHeight="1">
      <c r="A53" s="337" t="s">
        <v>754</v>
      </c>
      <c r="B53" s="346">
        <v>50.0</v>
      </c>
      <c r="C53" s="378" t="s">
        <v>607</v>
      </c>
      <c r="D53" s="341" t="s">
        <v>755</v>
      </c>
      <c r="E53" s="4"/>
      <c r="F53" s="4"/>
      <c r="G53" s="4"/>
      <c r="H53" s="4"/>
      <c r="I53" s="4"/>
      <c r="J53" s="4"/>
      <c r="K53" s="4"/>
      <c r="L53" s="4"/>
      <c r="M53" s="4"/>
    </row>
    <row r="54" ht="14.25" customHeight="1" outlineLevel="1">
      <c r="A54" s="337" t="s">
        <v>756</v>
      </c>
      <c r="B54" s="382">
        <v>140.92</v>
      </c>
      <c r="C54" s="378" t="s">
        <v>607</v>
      </c>
      <c r="D54" s="341" t="s">
        <v>757</v>
      </c>
      <c r="E54" s="4"/>
      <c r="F54" s="4"/>
      <c r="G54" s="4"/>
      <c r="H54" s="4"/>
      <c r="I54" s="4"/>
      <c r="J54" s="4"/>
      <c r="K54" s="4"/>
      <c r="L54" s="4"/>
      <c r="M54" s="4"/>
    </row>
    <row r="55" ht="14.25" customHeight="1">
      <c r="A55" s="393" t="s">
        <v>758</v>
      </c>
      <c r="B55" s="443">
        <f>10*LOG10(B54)</f>
        <v>21.48972635</v>
      </c>
      <c r="C55" s="395" t="s">
        <v>759</v>
      </c>
      <c r="D55" s="396"/>
      <c r="E55" s="4"/>
      <c r="F55" s="4"/>
      <c r="G55" s="4"/>
      <c r="H55" s="4"/>
      <c r="I55" s="4"/>
      <c r="J55" s="4"/>
      <c r="K55" s="4"/>
      <c r="L55" s="4"/>
      <c r="M55" s="4"/>
    </row>
    <row r="56" ht="14.25" customHeight="1">
      <c r="A56" s="332" t="s">
        <v>646</v>
      </c>
      <c r="B56" s="333"/>
      <c r="C56" s="333"/>
      <c r="D56" s="329"/>
      <c r="E56" s="4"/>
      <c r="F56" s="4"/>
      <c r="G56" s="4"/>
      <c r="H56" s="4"/>
      <c r="I56" s="4"/>
      <c r="J56" s="4"/>
      <c r="K56" s="4"/>
      <c r="L56" s="4"/>
      <c r="M56" s="4"/>
    </row>
    <row r="57" ht="14.25" customHeight="1">
      <c r="A57" s="337" t="s">
        <v>761</v>
      </c>
      <c r="B57" s="381">
        <v>12.93</v>
      </c>
      <c r="C57" s="378" t="s">
        <v>762</v>
      </c>
      <c r="D57" s="341" t="s">
        <v>763</v>
      </c>
      <c r="E57" s="4"/>
      <c r="F57" s="4"/>
      <c r="G57" s="4"/>
      <c r="H57" s="4"/>
      <c r="I57" s="4"/>
      <c r="J57" s="4"/>
      <c r="K57" s="4"/>
      <c r="L57" s="4"/>
      <c r="M57" s="4"/>
    </row>
    <row r="58" ht="28.5" customHeight="1">
      <c r="A58" s="340" t="s">
        <v>764</v>
      </c>
      <c r="B58" s="444">
        <f>B55+B11</f>
        <v>-207.1094408</v>
      </c>
      <c r="C58" s="441" t="s">
        <v>765</v>
      </c>
      <c r="D58" s="340" t="s">
        <v>766</v>
      </c>
      <c r="E58" s="4"/>
      <c r="F58" s="421"/>
      <c r="G58" s="4"/>
      <c r="H58" s="4"/>
      <c r="I58" s="4"/>
      <c r="J58" s="4"/>
      <c r="K58" s="4"/>
      <c r="L58" s="4"/>
      <c r="M58" s="4"/>
    </row>
    <row r="59" ht="14.25" customHeight="1" outlineLevel="1">
      <c r="A59" s="340" t="s">
        <v>767</v>
      </c>
      <c r="B59" s="444">
        <f>B58+10*LOG10(1000)</f>
        <v>-177.1094408</v>
      </c>
      <c r="C59" s="441" t="s">
        <v>612</v>
      </c>
      <c r="D59" s="340" t="s">
        <v>705</v>
      </c>
      <c r="E59" s="4"/>
      <c r="F59" s="4"/>
      <c r="G59" s="4"/>
      <c r="H59" s="4"/>
      <c r="I59" s="4"/>
      <c r="J59" s="4"/>
      <c r="K59" s="4"/>
      <c r="L59" s="4"/>
      <c r="M59" s="4"/>
    </row>
    <row r="60" ht="14.25" customHeight="1">
      <c r="A60" s="337" t="s">
        <v>768</v>
      </c>
      <c r="B60" s="381">
        <f>B50-B58</f>
        <v>71.07958841</v>
      </c>
      <c r="C60" s="378" t="s">
        <v>770</v>
      </c>
      <c r="D60" s="341"/>
      <c r="E60" s="4"/>
      <c r="F60" s="421"/>
      <c r="G60" s="4"/>
      <c r="H60" s="4"/>
      <c r="I60" s="4"/>
      <c r="J60" s="4"/>
      <c r="K60" s="4"/>
      <c r="L60" s="4"/>
      <c r="M60" s="4"/>
    </row>
    <row r="61" ht="14.25" customHeight="1">
      <c r="A61" s="337" t="s">
        <v>771</v>
      </c>
      <c r="B61" s="410">
        <v>0.0</v>
      </c>
      <c r="C61" s="378" t="s">
        <v>574</v>
      </c>
      <c r="D61" s="341" t="s">
        <v>772</v>
      </c>
      <c r="E61" s="4"/>
      <c r="F61" s="4"/>
      <c r="G61" s="4"/>
      <c r="H61" s="4"/>
      <c r="I61" s="4"/>
      <c r="J61" s="4"/>
      <c r="K61" s="4"/>
      <c r="L61" s="4"/>
      <c r="M61" s="4"/>
    </row>
    <row r="62" ht="14.25" customHeight="1">
      <c r="A62" s="337" t="s">
        <v>773</v>
      </c>
      <c r="B62" s="445">
        <f>'Data DownlinkStorage Budget'!N22/1000</f>
        <v>0.02077650667</v>
      </c>
      <c r="C62" s="378" t="s">
        <v>561</v>
      </c>
      <c r="D62" s="341" t="s">
        <v>776</v>
      </c>
      <c r="E62" s="4"/>
      <c r="F62" s="4"/>
      <c r="G62" s="4"/>
      <c r="H62" s="4"/>
      <c r="I62" s="4"/>
      <c r="J62" s="4"/>
      <c r="K62" s="4"/>
      <c r="L62" s="4"/>
      <c r="M62" s="4"/>
    </row>
    <row r="63" ht="14.25" customHeight="1" outlineLevel="1">
      <c r="A63" s="337" t="s">
        <v>778</v>
      </c>
      <c r="B63" s="346">
        <f>10*LOG10(1000000)+10*LOG10(B62)</f>
        <v>43.17572528</v>
      </c>
      <c r="C63" s="378" t="s">
        <v>574</v>
      </c>
      <c r="D63" s="341" t="s">
        <v>779</v>
      </c>
      <c r="E63" s="4"/>
      <c r="F63" s="4"/>
      <c r="G63" s="4"/>
      <c r="H63" s="4"/>
      <c r="I63" s="4"/>
      <c r="J63" s="4"/>
      <c r="K63" s="4"/>
      <c r="L63" s="4"/>
      <c r="M63" s="4"/>
    </row>
    <row r="64" ht="14.25" customHeight="1">
      <c r="A64" s="337" t="s">
        <v>780</v>
      </c>
      <c r="B64" s="382">
        <f>B60-B63+B61</f>
        <v>27.90386314</v>
      </c>
      <c r="C64" s="378" t="s">
        <v>574</v>
      </c>
      <c r="D64" s="341"/>
      <c r="E64" s="4"/>
      <c r="F64" s="4"/>
      <c r="G64" s="4"/>
      <c r="H64" s="4"/>
      <c r="I64" s="4"/>
      <c r="J64" s="4"/>
      <c r="K64" s="4"/>
      <c r="L64" s="4"/>
      <c r="M64" s="4"/>
    </row>
    <row r="65" ht="14.25" customHeight="1">
      <c r="A65" s="337" t="s">
        <v>781</v>
      </c>
      <c r="B65" s="410">
        <v>11.0</v>
      </c>
      <c r="C65" s="378" t="s">
        <v>574</v>
      </c>
      <c r="D65" s="341" t="s">
        <v>782</v>
      </c>
      <c r="E65" s="4"/>
      <c r="F65" s="4"/>
      <c r="G65" s="4"/>
      <c r="H65" s="4"/>
      <c r="I65" s="4"/>
      <c r="J65" s="4"/>
      <c r="K65" s="4"/>
      <c r="L65" s="4"/>
      <c r="M65" s="4"/>
    </row>
    <row r="66" ht="14.25" customHeight="1" outlineLevel="1">
      <c r="A66" s="337" t="s">
        <v>783</v>
      </c>
      <c r="B66" s="410">
        <v>-1.0</v>
      </c>
      <c r="C66" s="378" t="s">
        <v>574</v>
      </c>
      <c r="D66" s="341" t="s">
        <v>784</v>
      </c>
      <c r="E66" s="4"/>
      <c r="F66" s="4"/>
      <c r="G66" s="4"/>
      <c r="H66" s="4"/>
      <c r="I66" s="4"/>
      <c r="J66" s="4"/>
      <c r="K66" s="4"/>
      <c r="L66" s="4"/>
      <c r="M66" s="4"/>
    </row>
    <row r="67" ht="14.25" customHeight="1">
      <c r="A67" s="337" t="s">
        <v>785</v>
      </c>
      <c r="B67" s="447">
        <f>B64-B65+B66</f>
        <v>15.90386314</v>
      </c>
      <c r="C67" s="378" t="s">
        <v>574</v>
      </c>
      <c r="D67" s="341" t="s">
        <v>658</v>
      </c>
      <c r="E67" s="4"/>
      <c r="F67" s="4"/>
      <c r="G67" s="4"/>
      <c r="H67" s="4"/>
      <c r="I67" s="4"/>
      <c r="J67" s="4"/>
      <c r="K67" s="4"/>
      <c r="L67" s="4"/>
      <c r="M67" s="4"/>
    </row>
    <row r="68" ht="14.25" customHeight="1">
      <c r="A68" s="393" t="s">
        <v>786</v>
      </c>
      <c r="B68" s="448">
        <v>6.0</v>
      </c>
      <c r="C68" s="395" t="s">
        <v>574</v>
      </c>
      <c r="D68" s="396" t="s">
        <v>660</v>
      </c>
      <c r="E68" s="4"/>
      <c r="F68" s="4"/>
      <c r="G68" s="4"/>
      <c r="H68" s="4"/>
      <c r="I68" s="4"/>
      <c r="J68" s="4"/>
      <c r="K68" s="4"/>
      <c r="L68" s="4"/>
      <c r="M68" s="4"/>
    </row>
    <row r="69" ht="14.25" customHeight="1">
      <c r="A69" s="397"/>
      <c r="B69" s="397"/>
      <c r="C69" s="397"/>
      <c r="D69" s="398"/>
      <c r="E69" s="4"/>
      <c r="F69" s="4"/>
      <c r="G69" s="4"/>
      <c r="H69" s="4"/>
      <c r="I69" s="4"/>
      <c r="J69" s="4"/>
      <c r="K69" s="4"/>
      <c r="L69" s="4"/>
      <c r="M69" s="4"/>
    </row>
    <row r="70" ht="14.25" customHeight="1">
      <c r="A70" s="397"/>
      <c r="B70" s="397"/>
      <c r="C70" s="397"/>
      <c r="D70" s="398"/>
      <c r="E70" s="4"/>
      <c r="F70" s="4"/>
      <c r="G70" s="4"/>
      <c r="H70" s="4"/>
      <c r="I70" s="4"/>
      <c r="J70" s="4"/>
      <c r="K70" s="4"/>
      <c r="L70" s="4"/>
      <c r="M70" s="4"/>
    </row>
    <row r="71" ht="14.25" customHeight="1">
      <c r="A71" s="397"/>
      <c r="B71" s="397"/>
      <c r="C71" s="397"/>
      <c r="D71" s="398"/>
      <c r="E71" s="4"/>
      <c r="F71" s="4"/>
      <c r="G71" s="4"/>
      <c r="H71" s="4"/>
      <c r="I71" s="4"/>
      <c r="J71" s="4"/>
      <c r="K71" s="4"/>
      <c r="L71" s="4"/>
      <c r="M71" s="4"/>
    </row>
    <row r="72" ht="14.25" customHeight="1">
      <c r="A72" s="397"/>
      <c r="B72" s="397"/>
      <c r="C72" s="397"/>
      <c r="D72" s="398"/>
      <c r="E72" s="4"/>
      <c r="F72" s="4"/>
      <c r="G72" s="4"/>
      <c r="H72" s="4"/>
      <c r="I72" s="4"/>
      <c r="J72" s="4"/>
      <c r="K72" s="4"/>
      <c r="L72" s="4"/>
      <c r="M72" s="4"/>
    </row>
    <row r="73" ht="14.25" customHeight="1">
      <c r="A73" s="397"/>
      <c r="B73" s="397"/>
      <c r="C73" s="397"/>
      <c r="D73" s="398"/>
      <c r="E73" s="4"/>
      <c r="F73" s="4"/>
      <c r="G73" s="4"/>
      <c r="H73" s="4"/>
      <c r="I73" s="4"/>
      <c r="J73" s="4"/>
      <c r="K73" s="4"/>
      <c r="L73" s="4"/>
      <c r="M73" s="4"/>
    </row>
    <row r="74" ht="14.25" customHeight="1">
      <c r="A74" s="397"/>
      <c r="B74" s="397"/>
      <c r="C74" s="397"/>
      <c r="D74" s="398"/>
      <c r="E74" s="4"/>
      <c r="F74" s="4"/>
      <c r="G74" s="4"/>
      <c r="H74" s="4"/>
      <c r="I74" s="4"/>
      <c r="J74" s="4"/>
      <c r="K74" s="4"/>
      <c r="L74" s="4"/>
      <c r="M74" s="4"/>
    </row>
    <row r="75" ht="14.25" customHeight="1">
      <c r="A75" s="397"/>
      <c r="B75" s="397"/>
      <c r="C75" s="397"/>
      <c r="D75" s="398"/>
      <c r="E75" s="4"/>
      <c r="F75" s="4"/>
      <c r="G75" s="4"/>
      <c r="H75" s="4"/>
      <c r="I75" s="4"/>
      <c r="J75" s="4"/>
      <c r="K75" s="4"/>
      <c r="L75" s="4"/>
      <c r="M75" s="4"/>
    </row>
    <row r="76" ht="14.25" customHeight="1">
      <c r="A76" s="397"/>
      <c r="B76" s="397"/>
      <c r="C76" s="397"/>
      <c r="D76" s="398"/>
      <c r="E76" s="4"/>
      <c r="F76" s="4"/>
      <c r="G76" s="4"/>
      <c r="H76" s="4"/>
      <c r="I76" s="4"/>
      <c r="J76" s="4"/>
      <c r="K76" s="4"/>
      <c r="L76" s="4"/>
      <c r="M76" s="4"/>
    </row>
    <row r="77" ht="14.25" customHeight="1">
      <c r="A77" s="397"/>
      <c r="B77" s="397"/>
      <c r="C77" s="397"/>
      <c r="D77" s="398"/>
      <c r="E77" s="4"/>
      <c r="F77" s="4"/>
      <c r="G77" s="4"/>
      <c r="H77" s="4"/>
      <c r="I77" s="4"/>
      <c r="J77" s="4"/>
      <c r="K77" s="4"/>
      <c r="L77" s="4"/>
      <c r="M77" s="4"/>
    </row>
    <row r="78" ht="14.25" customHeight="1">
      <c r="A78" s="397"/>
      <c r="B78" s="397"/>
      <c r="C78" s="397"/>
      <c r="D78" s="398"/>
      <c r="E78" s="4"/>
      <c r="F78" s="4"/>
      <c r="G78" s="4"/>
      <c r="H78" s="4"/>
      <c r="I78" s="4"/>
      <c r="J78" s="4"/>
      <c r="K78" s="4"/>
      <c r="L78" s="4"/>
      <c r="M78" s="4"/>
    </row>
    <row r="79" ht="14.25" customHeight="1">
      <c r="A79" s="397"/>
      <c r="B79" s="397"/>
      <c r="C79" s="397"/>
      <c r="D79" s="398"/>
      <c r="E79" s="4"/>
      <c r="F79" s="4"/>
      <c r="G79" s="4"/>
      <c r="H79" s="4"/>
      <c r="I79" s="4"/>
      <c r="J79" s="4"/>
      <c r="K79" s="4"/>
      <c r="L79" s="4"/>
      <c r="M79" s="4"/>
    </row>
    <row r="80" ht="14.25" customHeight="1">
      <c r="A80" s="397"/>
      <c r="B80" s="397"/>
      <c r="C80" s="397"/>
      <c r="D80" s="398"/>
      <c r="E80" s="4"/>
      <c r="F80" s="4"/>
      <c r="G80" s="4"/>
      <c r="H80" s="4"/>
      <c r="I80" s="4"/>
      <c r="J80" s="4"/>
      <c r="K80" s="4"/>
      <c r="L80" s="4"/>
      <c r="M80" s="4"/>
    </row>
    <row r="81" ht="14.25" customHeight="1">
      <c r="A81" s="397"/>
      <c r="B81" s="397"/>
      <c r="C81" s="397"/>
      <c r="D81" s="398"/>
      <c r="E81" s="4"/>
      <c r="F81" s="4"/>
      <c r="G81" s="4"/>
      <c r="H81" s="4"/>
      <c r="I81" s="4"/>
      <c r="J81" s="4"/>
      <c r="K81" s="4"/>
      <c r="L81" s="4"/>
      <c r="M81" s="4"/>
    </row>
    <row r="82" ht="14.25" customHeight="1">
      <c r="A82" s="397"/>
      <c r="B82" s="397"/>
      <c r="C82" s="397"/>
      <c r="D82" s="398"/>
      <c r="E82" s="4"/>
      <c r="F82" s="4"/>
      <c r="G82" s="4"/>
      <c r="H82" s="4"/>
      <c r="I82" s="4"/>
      <c r="J82" s="4"/>
      <c r="K82" s="4"/>
      <c r="L82" s="4"/>
      <c r="M82" s="4"/>
    </row>
    <row r="83" ht="14.25" customHeight="1">
      <c r="A83" s="397"/>
      <c r="B83" s="397"/>
      <c r="C83" s="397"/>
      <c r="D83" s="398"/>
      <c r="E83" s="4"/>
      <c r="F83" s="4"/>
      <c r="G83" s="4"/>
      <c r="H83" s="4"/>
      <c r="I83" s="4"/>
      <c r="J83" s="4"/>
      <c r="K83" s="4"/>
      <c r="L83" s="4"/>
      <c r="M83" s="4"/>
    </row>
    <row r="84" ht="14.25" customHeight="1">
      <c r="A84" s="397"/>
      <c r="B84" s="397"/>
      <c r="C84" s="397"/>
      <c r="D84" s="398"/>
      <c r="E84" s="4"/>
      <c r="F84" s="4"/>
      <c r="G84" s="4"/>
      <c r="H84" s="4"/>
      <c r="I84" s="4"/>
      <c r="J84" s="4"/>
      <c r="K84" s="4"/>
      <c r="L84" s="4"/>
      <c r="M84" s="4"/>
    </row>
    <row r="85" ht="14.25" customHeight="1">
      <c r="A85" s="397"/>
      <c r="B85" s="397"/>
      <c r="C85" s="397"/>
      <c r="D85" s="398"/>
      <c r="E85" s="4"/>
      <c r="F85" s="4"/>
      <c r="G85" s="4"/>
      <c r="H85" s="4"/>
      <c r="I85" s="4"/>
      <c r="J85" s="4"/>
      <c r="K85" s="4"/>
      <c r="L85" s="4"/>
      <c r="M85" s="4"/>
    </row>
    <row r="86" ht="14.25" customHeight="1">
      <c r="A86" s="397"/>
      <c r="B86" s="397"/>
      <c r="C86" s="397"/>
      <c r="D86" s="398"/>
      <c r="E86" s="4"/>
      <c r="F86" s="4"/>
      <c r="G86" s="4"/>
      <c r="H86" s="4"/>
      <c r="I86" s="4"/>
      <c r="J86" s="4"/>
      <c r="K86" s="4"/>
      <c r="L86" s="4"/>
      <c r="M86" s="4"/>
    </row>
    <row r="87" ht="14.25" customHeight="1">
      <c r="A87" s="397"/>
      <c r="B87" s="397"/>
      <c r="C87" s="397"/>
      <c r="D87" s="398"/>
      <c r="E87" s="4"/>
      <c r="F87" s="4"/>
      <c r="G87" s="4"/>
      <c r="H87" s="4"/>
      <c r="I87" s="4"/>
      <c r="J87" s="4"/>
      <c r="K87" s="4"/>
      <c r="L87" s="4"/>
      <c r="M87" s="4"/>
    </row>
    <row r="88" ht="14.25" customHeight="1">
      <c r="A88" s="397"/>
      <c r="B88" s="397"/>
      <c r="C88" s="397"/>
      <c r="D88" s="398"/>
      <c r="E88" s="4"/>
      <c r="F88" s="4"/>
      <c r="G88" s="4"/>
      <c r="H88" s="4"/>
      <c r="I88" s="4"/>
      <c r="J88" s="4"/>
      <c r="K88" s="4"/>
      <c r="L88" s="4"/>
      <c r="M88" s="4"/>
    </row>
    <row r="89" ht="14.25" customHeight="1">
      <c r="A89" s="397"/>
      <c r="B89" s="397"/>
      <c r="C89" s="397"/>
      <c r="D89" s="398"/>
      <c r="E89" s="4"/>
      <c r="F89" s="4"/>
      <c r="G89" s="4"/>
      <c r="H89" s="4"/>
      <c r="I89" s="4"/>
      <c r="J89" s="4"/>
      <c r="K89" s="4"/>
      <c r="L89" s="4"/>
      <c r="M89" s="4"/>
    </row>
    <row r="90" ht="14.25" customHeight="1">
      <c r="A90" s="397"/>
      <c r="B90" s="397"/>
      <c r="C90" s="397"/>
      <c r="D90" s="398"/>
      <c r="E90" s="4"/>
      <c r="F90" s="4"/>
      <c r="G90" s="4"/>
      <c r="H90" s="4"/>
      <c r="I90" s="4"/>
      <c r="J90" s="4"/>
      <c r="K90" s="4"/>
      <c r="L90" s="4"/>
      <c r="M90" s="4"/>
    </row>
    <row r="91" ht="14.25" customHeight="1">
      <c r="A91" s="397"/>
      <c r="B91" s="397"/>
      <c r="C91" s="397"/>
      <c r="D91" s="398"/>
      <c r="E91" s="4"/>
      <c r="F91" s="4"/>
      <c r="G91" s="4"/>
      <c r="H91" s="4"/>
      <c r="I91" s="4"/>
      <c r="J91" s="4"/>
      <c r="K91" s="4"/>
      <c r="L91" s="4"/>
      <c r="M91" s="4"/>
    </row>
    <row r="92" ht="14.25" customHeight="1">
      <c r="A92" s="397"/>
      <c r="B92" s="397"/>
      <c r="C92" s="397"/>
      <c r="D92" s="398"/>
      <c r="E92" s="4"/>
      <c r="F92" s="4"/>
      <c r="G92" s="4"/>
      <c r="H92" s="4"/>
      <c r="I92" s="4"/>
      <c r="J92" s="4"/>
      <c r="K92" s="4"/>
      <c r="L92" s="4"/>
      <c r="M92" s="4"/>
    </row>
    <row r="93" ht="14.25" customHeight="1">
      <c r="A93" s="397"/>
      <c r="B93" s="397"/>
      <c r="C93" s="397"/>
      <c r="D93" s="398"/>
      <c r="E93" s="4"/>
      <c r="F93" s="4"/>
      <c r="G93" s="4"/>
      <c r="H93" s="4"/>
      <c r="I93" s="4"/>
      <c r="J93" s="4"/>
      <c r="K93" s="4"/>
      <c r="L93" s="4"/>
      <c r="M93" s="4"/>
    </row>
    <row r="94" ht="14.25" customHeight="1">
      <c r="A94" s="397"/>
      <c r="B94" s="397"/>
      <c r="C94" s="397"/>
      <c r="D94" s="398"/>
      <c r="E94" s="4"/>
      <c r="F94" s="4"/>
      <c r="G94" s="4"/>
      <c r="H94" s="4"/>
      <c r="I94" s="4"/>
      <c r="J94" s="4"/>
      <c r="K94" s="4"/>
      <c r="L94" s="4"/>
      <c r="M94" s="4"/>
    </row>
    <row r="95" ht="14.25" customHeight="1">
      <c r="A95" s="397"/>
      <c r="B95" s="397"/>
      <c r="C95" s="397"/>
      <c r="D95" s="398"/>
      <c r="E95" s="4"/>
      <c r="F95" s="4"/>
      <c r="G95" s="4"/>
      <c r="H95" s="4"/>
      <c r="I95" s="4"/>
      <c r="J95" s="4"/>
      <c r="K95" s="4"/>
      <c r="L95" s="4"/>
      <c r="M95" s="4"/>
    </row>
    <row r="96" ht="14.25" customHeight="1">
      <c r="A96" s="397"/>
      <c r="B96" s="397"/>
      <c r="C96" s="397"/>
      <c r="D96" s="398"/>
      <c r="E96" s="4"/>
      <c r="F96" s="4"/>
      <c r="G96" s="4"/>
      <c r="H96" s="4"/>
      <c r="I96" s="4"/>
      <c r="J96" s="4"/>
      <c r="K96" s="4"/>
      <c r="L96" s="4"/>
      <c r="M96" s="4"/>
    </row>
    <row r="97" ht="14.25" customHeight="1">
      <c r="A97" s="397"/>
      <c r="B97" s="397"/>
      <c r="C97" s="397"/>
      <c r="D97" s="398"/>
      <c r="E97" s="4"/>
      <c r="F97" s="4"/>
      <c r="G97" s="4"/>
      <c r="H97" s="4"/>
      <c r="I97" s="4"/>
      <c r="J97" s="4"/>
      <c r="K97" s="4"/>
      <c r="L97" s="4"/>
      <c r="M97" s="4"/>
    </row>
    <row r="98" ht="14.25" customHeight="1">
      <c r="A98" s="397"/>
      <c r="B98" s="397"/>
      <c r="C98" s="397"/>
      <c r="D98" s="398"/>
      <c r="E98" s="4"/>
      <c r="F98" s="4"/>
      <c r="G98" s="4"/>
      <c r="H98" s="4"/>
      <c r="I98" s="4"/>
      <c r="J98" s="4"/>
      <c r="K98" s="4"/>
      <c r="L98" s="4"/>
      <c r="M98" s="4"/>
    </row>
    <row r="99" ht="14.25" customHeight="1">
      <c r="A99" s="397"/>
      <c r="B99" s="397"/>
      <c r="C99" s="397"/>
      <c r="D99" s="398"/>
      <c r="E99" s="4"/>
      <c r="F99" s="4"/>
      <c r="G99" s="4"/>
      <c r="H99" s="4"/>
      <c r="I99" s="4"/>
      <c r="J99" s="4"/>
      <c r="K99" s="4"/>
      <c r="L99" s="4"/>
      <c r="M99" s="4"/>
    </row>
    <row r="100" ht="14.25" customHeight="1">
      <c r="A100" s="397"/>
      <c r="B100" s="397"/>
      <c r="C100" s="397"/>
      <c r="D100" s="398"/>
      <c r="E100" s="4"/>
      <c r="F100" s="4"/>
      <c r="G100" s="4"/>
      <c r="H100" s="4"/>
      <c r="I100" s="4"/>
      <c r="J100" s="4"/>
      <c r="K100" s="4"/>
      <c r="L100" s="4"/>
      <c r="M100" s="4"/>
    </row>
    <row r="101" ht="14.25" customHeight="1">
      <c r="A101" s="397"/>
      <c r="B101" s="397"/>
      <c r="C101" s="397"/>
      <c r="D101" s="398"/>
      <c r="E101" s="4"/>
      <c r="F101" s="4"/>
      <c r="G101" s="4"/>
      <c r="H101" s="4"/>
      <c r="I101" s="4"/>
      <c r="J101" s="4"/>
      <c r="K101" s="4"/>
      <c r="L101" s="4"/>
      <c r="M101" s="4"/>
    </row>
    <row r="102" ht="14.25" customHeight="1">
      <c r="A102" s="397"/>
      <c r="B102" s="397"/>
      <c r="C102" s="397"/>
      <c r="D102" s="398"/>
      <c r="E102" s="4"/>
      <c r="F102" s="4"/>
      <c r="G102" s="4"/>
      <c r="H102" s="4"/>
      <c r="I102" s="4"/>
      <c r="J102" s="4"/>
      <c r="K102" s="4"/>
      <c r="L102" s="4"/>
      <c r="M102" s="4"/>
    </row>
    <row r="103" ht="14.25" customHeight="1">
      <c r="A103" s="397"/>
      <c r="B103" s="397"/>
      <c r="C103" s="397"/>
      <c r="D103" s="398"/>
      <c r="E103" s="4"/>
      <c r="F103" s="4"/>
      <c r="G103" s="4"/>
      <c r="H103" s="4"/>
      <c r="I103" s="4"/>
      <c r="J103" s="4"/>
      <c r="K103" s="4"/>
      <c r="L103" s="4"/>
      <c r="M103" s="4"/>
    </row>
    <row r="104" ht="14.25" customHeight="1">
      <c r="A104" s="397"/>
      <c r="B104" s="397"/>
      <c r="C104" s="397"/>
      <c r="D104" s="398"/>
      <c r="E104" s="4"/>
      <c r="F104" s="4"/>
      <c r="G104" s="4"/>
      <c r="H104" s="4"/>
      <c r="I104" s="4"/>
      <c r="J104" s="4"/>
      <c r="K104" s="4"/>
      <c r="L104" s="4"/>
      <c r="M104" s="4"/>
    </row>
    <row r="105" ht="14.25" customHeight="1">
      <c r="A105" s="397"/>
      <c r="B105" s="397"/>
      <c r="C105" s="397"/>
      <c r="D105" s="398"/>
      <c r="E105" s="4"/>
      <c r="F105" s="4"/>
      <c r="G105" s="4"/>
      <c r="H105" s="4"/>
      <c r="I105" s="4"/>
      <c r="J105" s="4"/>
      <c r="K105" s="4"/>
      <c r="L105" s="4"/>
      <c r="M105" s="4"/>
    </row>
    <row r="106" ht="14.25" customHeight="1">
      <c r="A106" s="397"/>
      <c r="B106" s="397"/>
      <c r="C106" s="397"/>
      <c r="D106" s="398"/>
      <c r="E106" s="4"/>
      <c r="F106" s="4"/>
      <c r="G106" s="4"/>
      <c r="H106" s="4"/>
      <c r="I106" s="4"/>
      <c r="J106" s="4"/>
      <c r="K106" s="4"/>
      <c r="L106" s="4"/>
      <c r="M106" s="4"/>
    </row>
    <row r="107" ht="14.25" customHeight="1">
      <c r="A107" s="397"/>
      <c r="B107" s="397"/>
      <c r="C107" s="397"/>
      <c r="D107" s="398"/>
      <c r="E107" s="4"/>
      <c r="F107" s="4"/>
      <c r="G107" s="4"/>
      <c r="H107" s="4"/>
      <c r="I107" s="4"/>
      <c r="J107" s="4"/>
      <c r="K107" s="4"/>
      <c r="L107" s="4"/>
      <c r="M107" s="4"/>
    </row>
    <row r="108" ht="14.25" customHeight="1">
      <c r="A108" s="397"/>
      <c r="B108" s="397"/>
      <c r="C108" s="397"/>
      <c r="D108" s="398"/>
      <c r="E108" s="4"/>
      <c r="F108" s="4"/>
      <c r="G108" s="4"/>
      <c r="H108" s="4"/>
      <c r="I108" s="4"/>
      <c r="J108" s="4"/>
      <c r="K108" s="4"/>
      <c r="L108" s="4"/>
      <c r="M108" s="4"/>
    </row>
    <row r="109" ht="14.25" customHeight="1">
      <c r="A109" s="397"/>
      <c r="B109" s="397"/>
      <c r="C109" s="397"/>
      <c r="D109" s="398"/>
      <c r="E109" s="4"/>
      <c r="F109" s="4"/>
      <c r="G109" s="4"/>
      <c r="H109" s="4"/>
      <c r="I109" s="4"/>
      <c r="J109" s="4"/>
      <c r="K109" s="4"/>
      <c r="L109" s="4"/>
      <c r="M109" s="4"/>
    </row>
    <row r="110" ht="14.25" customHeight="1">
      <c r="A110" s="397"/>
      <c r="B110" s="397"/>
      <c r="C110" s="397"/>
      <c r="D110" s="398"/>
      <c r="E110" s="4"/>
      <c r="F110" s="4"/>
      <c r="G110" s="4"/>
      <c r="H110" s="4"/>
      <c r="I110" s="4"/>
      <c r="J110" s="4"/>
      <c r="K110" s="4"/>
      <c r="L110" s="4"/>
      <c r="M110" s="4"/>
    </row>
    <row r="111" ht="14.25" customHeight="1">
      <c r="A111" s="397"/>
      <c r="B111" s="397"/>
      <c r="C111" s="397"/>
      <c r="D111" s="398"/>
      <c r="E111" s="4"/>
      <c r="F111" s="4"/>
      <c r="G111" s="4"/>
      <c r="H111" s="4"/>
      <c r="I111" s="4"/>
      <c r="J111" s="4"/>
      <c r="K111" s="4"/>
      <c r="L111" s="4"/>
      <c r="M111" s="4"/>
    </row>
    <row r="112" ht="14.25" customHeight="1">
      <c r="A112" s="397"/>
      <c r="B112" s="397"/>
      <c r="C112" s="397"/>
      <c r="D112" s="398"/>
      <c r="E112" s="4"/>
      <c r="F112" s="4"/>
      <c r="G112" s="4"/>
      <c r="H112" s="4"/>
      <c r="I112" s="4"/>
      <c r="J112" s="4"/>
      <c r="K112" s="4"/>
      <c r="L112" s="4"/>
      <c r="M112" s="4"/>
    </row>
    <row r="113" ht="14.25" customHeight="1">
      <c r="A113" s="397"/>
      <c r="B113" s="397"/>
      <c r="C113" s="397"/>
      <c r="D113" s="398"/>
      <c r="E113" s="4"/>
      <c r="F113" s="4"/>
      <c r="G113" s="4"/>
      <c r="H113" s="4"/>
      <c r="I113" s="4"/>
      <c r="J113" s="4"/>
      <c r="K113" s="4"/>
      <c r="L113" s="4"/>
      <c r="M113" s="4"/>
    </row>
    <row r="114" ht="14.25" customHeight="1">
      <c r="A114" s="397"/>
      <c r="B114" s="397"/>
      <c r="C114" s="397"/>
      <c r="D114" s="398"/>
      <c r="E114" s="4"/>
      <c r="F114" s="4"/>
      <c r="G114" s="4"/>
      <c r="H114" s="4"/>
      <c r="I114" s="4"/>
      <c r="J114" s="4"/>
      <c r="K114" s="4"/>
      <c r="L114" s="4"/>
      <c r="M114" s="4"/>
    </row>
    <row r="115" ht="14.25" customHeight="1">
      <c r="A115" s="397"/>
      <c r="B115" s="397"/>
      <c r="C115" s="397"/>
      <c r="D115" s="398"/>
      <c r="E115" s="4"/>
      <c r="F115" s="4"/>
      <c r="G115" s="4"/>
      <c r="H115" s="4"/>
      <c r="I115" s="4"/>
      <c r="J115" s="4"/>
      <c r="K115" s="4"/>
      <c r="L115" s="4"/>
      <c r="M115" s="4"/>
    </row>
    <row r="116" ht="14.25" customHeight="1">
      <c r="A116" s="397"/>
      <c r="B116" s="397"/>
      <c r="C116" s="397"/>
      <c r="D116" s="398"/>
      <c r="E116" s="4"/>
      <c r="F116" s="4"/>
      <c r="G116" s="4"/>
      <c r="H116" s="4"/>
      <c r="I116" s="4"/>
      <c r="J116" s="4"/>
      <c r="K116" s="4"/>
      <c r="L116" s="4"/>
      <c r="M116" s="4"/>
    </row>
    <row r="117" ht="14.25" customHeight="1">
      <c r="A117" s="397"/>
      <c r="B117" s="397"/>
      <c r="C117" s="397"/>
      <c r="D117" s="398"/>
      <c r="E117" s="4"/>
      <c r="F117" s="4"/>
      <c r="G117" s="4"/>
      <c r="H117" s="4"/>
      <c r="I117" s="4"/>
      <c r="J117" s="4"/>
      <c r="K117" s="4"/>
      <c r="L117" s="4"/>
      <c r="M117" s="4"/>
    </row>
    <row r="118" ht="14.25" customHeight="1">
      <c r="A118" s="397"/>
      <c r="B118" s="397"/>
      <c r="C118" s="397"/>
      <c r="D118" s="398"/>
      <c r="E118" s="4"/>
      <c r="F118" s="4"/>
      <c r="G118" s="4"/>
      <c r="H118" s="4"/>
      <c r="I118" s="4"/>
      <c r="J118" s="4"/>
      <c r="K118" s="4"/>
      <c r="L118" s="4"/>
      <c r="M118" s="4"/>
    </row>
    <row r="119" ht="14.25" customHeight="1">
      <c r="A119" s="397"/>
      <c r="B119" s="397"/>
      <c r="C119" s="397"/>
      <c r="D119" s="398"/>
      <c r="E119" s="4"/>
      <c r="F119" s="4"/>
      <c r="G119" s="4"/>
      <c r="H119" s="4"/>
      <c r="I119" s="4"/>
      <c r="J119" s="4"/>
      <c r="K119" s="4"/>
      <c r="L119" s="4"/>
      <c r="M119" s="4"/>
    </row>
    <row r="120" ht="14.25" customHeight="1">
      <c r="A120" s="397"/>
      <c r="B120" s="397"/>
      <c r="C120" s="397"/>
      <c r="D120" s="398"/>
      <c r="E120" s="4"/>
      <c r="F120" s="4"/>
      <c r="G120" s="4"/>
      <c r="H120" s="4"/>
      <c r="I120" s="4"/>
      <c r="J120" s="4"/>
      <c r="K120" s="4"/>
      <c r="L120" s="4"/>
      <c r="M120" s="4"/>
    </row>
    <row r="121" ht="14.25" customHeight="1">
      <c r="A121" s="397"/>
      <c r="B121" s="397"/>
      <c r="C121" s="397"/>
      <c r="D121" s="398"/>
      <c r="E121" s="4"/>
      <c r="F121" s="4"/>
      <c r="G121" s="4"/>
      <c r="H121" s="4"/>
      <c r="I121" s="4"/>
      <c r="J121" s="4"/>
      <c r="K121" s="4"/>
      <c r="L121" s="4"/>
      <c r="M121" s="4"/>
    </row>
    <row r="122" ht="14.25" customHeight="1">
      <c r="A122" s="397"/>
      <c r="B122" s="397"/>
      <c r="C122" s="397"/>
      <c r="D122" s="398"/>
      <c r="E122" s="4"/>
      <c r="F122" s="4"/>
      <c r="G122" s="4"/>
      <c r="H122" s="4"/>
      <c r="I122" s="4"/>
      <c r="J122" s="4"/>
      <c r="K122" s="4"/>
      <c r="L122" s="4"/>
      <c r="M122" s="4"/>
    </row>
    <row r="123" ht="14.25" customHeight="1">
      <c r="A123" s="397"/>
      <c r="B123" s="397"/>
      <c r="C123" s="397"/>
      <c r="D123" s="398"/>
      <c r="E123" s="4"/>
      <c r="F123" s="4"/>
      <c r="G123" s="4"/>
      <c r="H123" s="4"/>
      <c r="I123" s="4"/>
      <c r="J123" s="4"/>
      <c r="K123" s="4"/>
      <c r="L123" s="4"/>
      <c r="M123" s="4"/>
    </row>
    <row r="124" ht="14.25" customHeight="1">
      <c r="A124" s="397"/>
      <c r="B124" s="397"/>
      <c r="C124" s="397"/>
      <c r="D124" s="398"/>
      <c r="E124" s="4"/>
      <c r="F124" s="4"/>
      <c r="G124" s="4"/>
      <c r="H124" s="4"/>
      <c r="I124" s="4"/>
      <c r="J124" s="4"/>
      <c r="K124" s="4"/>
      <c r="L124" s="4"/>
      <c r="M124" s="4"/>
    </row>
    <row r="125" ht="14.25" customHeight="1">
      <c r="A125" s="397"/>
      <c r="B125" s="397"/>
      <c r="C125" s="397"/>
      <c r="D125" s="398"/>
      <c r="E125" s="4"/>
      <c r="F125" s="4"/>
      <c r="G125" s="4"/>
      <c r="H125" s="4"/>
      <c r="I125" s="4"/>
      <c r="J125" s="4"/>
      <c r="K125" s="4"/>
      <c r="L125" s="4"/>
      <c r="M125" s="4"/>
    </row>
    <row r="126" ht="14.25" customHeight="1">
      <c r="A126" s="397"/>
      <c r="B126" s="397"/>
      <c r="C126" s="397"/>
      <c r="D126" s="398"/>
      <c r="E126" s="4"/>
      <c r="F126" s="4"/>
      <c r="G126" s="4"/>
      <c r="H126" s="4"/>
      <c r="I126" s="4"/>
      <c r="J126" s="4"/>
      <c r="K126" s="4"/>
      <c r="L126" s="4"/>
      <c r="M126" s="4"/>
    </row>
    <row r="127" ht="14.25" customHeight="1">
      <c r="A127" s="397"/>
      <c r="B127" s="397"/>
      <c r="C127" s="397"/>
      <c r="D127" s="398"/>
      <c r="E127" s="4"/>
      <c r="F127" s="4"/>
      <c r="G127" s="4"/>
      <c r="H127" s="4"/>
      <c r="I127" s="4"/>
      <c r="J127" s="4"/>
      <c r="K127" s="4"/>
      <c r="L127" s="4"/>
      <c r="M127" s="4"/>
    </row>
    <row r="128" ht="14.25" customHeight="1">
      <c r="A128" s="397"/>
      <c r="B128" s="397"/>
      <c r="C128" s="397"/>
      <c r="D128" s="398"/>
      <c r="E128" s="4"/>
      <c r="F128" s="4"/>
      <c r="G128" s="4"/>
      <c r="H128" s="4"/>
      <c r="I128" s="4"/>
      <c r="J128" s="4"/>
      <c r="K128" s="4"/>
      <c r="L128" s="4"/>
      <c r="M128" s="4"/>
    </row>
    <row r="129" ht="14.25" customHeight="1">
      <c r="A129" s="397"/>
      <c r="B129" s="397"/>
      <c r="C129" s="397"/>
      <c r="D129" s="398"/>
      <c r="E129" s="4"/>
      <c r="F129" s="4"/>
      <c r="G129" s="4"/>
      <c r="H129" s="4"/>
      <c r="I129" s="4"/>
      <c r="J129" s="4"/>
      <c r="K129" s="4"/>
      <c r="L129" s="4"/>
      <c r="M129" s="4"/>
    </row>
    <row r="130" ht="14.25" customHeight="1">
      <c r="A130" s="397"/>
      <c r="B130" s="397"/>
      <c r="C130" s="397"/>
      <c r="D130" s="398"/>
      <c r="E130" s="4"/>
      <c r="F130" s="4"/>
      <c r="G130" s="4"/>
      <c r="H130" s="4"/>
      <c r="I130" s="4"/>
      <c r="J130" s="4"/>
      <c r="K130" s="4"/>
      <c r="L130" s="4"/>
      <c r="M130" s="4"/>
    </row>
    <row r="131" ht="14.25" customHeight="1">
      <c r="A131" s="397"/>
      <c r="B131" s="397"/>
      <c r="C131" s="397"/>
      <c r="D131" s="398"/>
      <c r="E131" s="4"/>
      <c r="F131" s="4"/>
      <c r="G131" s="4"/>
      <c r="H131" s="4"/>
      <c r="I131" s="4"/>
      <c r="J131" s="4"/>
      <c r="K131" s="4"/>
      <c r="L131" s="4"/>
      <c r="M131" s="4"/>
    </row>
    <row r="132" ht="14.25" customHeight="1">
      <c r="A132" s="397"/>
      <c r="B132" s="397"/>
      <c r="C132" s="397"/>
      <c r="D132" s="398"/>
      <c r="E132" s="4"/>
      <c r="F132" s="4"/>
      <c r="G132" s="4"/>
      <c r="H132" s="4"/>
      <c r="I132" s="4"/>
      <c r="J132" s="4"/>
      <c r="K132" s="4"/>
      <c r="L132" s="4"/>
      <c r="M132" s="4"/>
    </row>
    <row r="133" ht="14.25" customHeight="1">
      <c r="A133" s="397"/>
      <c r="B133" s="397"/>
      <c r="C133" s="397"/>
      <c r="D133" s="398"/>
      <c r="E133" s="4"/>
      <c r="F133" s="4"/>
      <c r="G133" s="4"/>
      <c r="H133" s="4"/>
      <c r="I133" s="4"/>
      <c r="J133" s="4"/>
      <c r="K133" s="4"/>
      <c r="L133" s="4"/>
      <c r="M133" s="4"/>
    </row>
    <row r="134" ht="14.25" customHeight="1">
      <c r="A134" s="397"/>
      <c r="B134" s="397"/>
      <c r="C134" s="397"/>
      <c r="D134" s="398"/>
      <c r="E134" s="4"/>
      <c r="F134" s="4"/>
      <c r="G134" s="4"/>
      <c r="H134" s="4"/>
      <c r="I134" s="4"/>
      <c r="J134" s="4"/>
      <c r="K134" s="4"/>
      <c r="L134" s="4"/>
      <c r="M134" s="4"/>
    </row>
    <row r="135" ht="14.25" customHeight="1">
      <c r="A135" s="397"/>
      <c r="B135" s="397"/>
      <c r="C135" s="397"/>
      <c r="D135" s="398"/>
      <c r="E135" s="4"/>
      <c r="F135" s="4"/>
      <c r="G135" s="4"/>
      <c r="H135" s="4"/>
      <c r="I135" s="4"/>
      <c r="J135" s="4"/>
      <c r="K135" s="4"/>
      <c r="L135" s="4"/>
      <c r="M135" s="4"/>
    </row>
    <row r="136" ht="14.25" customHeight="1">
      <c r="A136" s="397"/>
      <c r="B136" s="397"/>
      <c r="C136" s="397"/>
      <c r="D136" s="398"/>
      <c r="E136" s="4"/>
      <c r="F136" s="4"/>
      <c r="G136" s="4"/>
      <c r="H136" s="4"/>
      <c r="I136" s="4"/>
      <c r="J136" s="4"/>
      <c r="K136" s="4"/>
      <c r="L136" s="4"/>
      <c r="M136" s="4"/>
    </row>
    <row r="137" ht="14.25" customHeight="1">
      <c r="A137" s="397"/>
      <c r="B137" s="397"/>
      <c r="C137" s="397"/>
      <c r="D137" s="398"/>
      <c r="E137" s="4"/>
      <c r="F137" s="4"/>
      <c r="G137" s="4"/>
      <c r="H137" s="4"/>
      <c r="I137" s="4"/>
      <c r="J137" s="4"/>
      <c r="K137" s="4"/>
      <c r="L137" s="4"/>
      <c r="M137" s="4"/>
    </row>
    <row r="138" ht="14.25" customHeight="1">
      <c r="A138" s="397"/>
      <c r="B138" s="397"/>
      <c r="C138" s="397"/>
      <c r="D138" s="398"/>
      <c r="E138" s="4"/>
      <c r="F138" s="4"/>
      <c r="G138" s="4"/>
      <c r="H138" s="4"/>
      <c r="I138" s="4"/>
      <c r="J138" s="4"/>
      <c r="K138" s="4"/>
      <c r="L138" s="4"/>
      <c r="M138" s="4"/>
    </row>
    <row r="139" ht="14.25" customHeight="1">
      <c r="A139" s="397"/>
      <c r="B139" s="397"/>
      <c r="C139" s="397"/>
      <c r="D139" s="398"/>
      <c r="E139" s="4"/>
      <c r="F139" s="4"/>
      <c r="G139" s="4"/>
      <c r="H139" s="4"/>
      <c r="I139" s="4"/>
      <c r="J139" s="4"/>
      <c r="K139" s="4"/>
      <c r="L139" s="4"/>
      <c r="M139" s="4"/>
    </row>
    <row r="140" ht="14.25" customHeight="1">
      <c r="A140" s="397"/>
      <c r="B140" s="397"/>
      <c r="C140" s="397"/>
      <c r="D140" s="398"/>
      <c r="E140" s="4"/>
      <c r="F140" s="4"/>
      <c r="G140" s="4"/>
      <c r="H140" s="4"/>
      <c r="I140" s="4"/>
      <c r="J140" s="4"/>
      <c r="K140" s="4"/>
      <c r="L140" s="4"/>
      <c r="M140" s="4"/>
    </row>
    <row r="141" ht="14.25" customHeight="1">
      <c r="A141" s="397"/>
      <c r="B141" s="397"/>
      <c r="C141" s="397"/>
      <c r="D141" s="398"/>
      <c r="E141" s="4"/>
      <c r="F141" s="4"/>
      <c r="G141" s="4"/>
      <c r="H141" s="4"/>
      <c r="I141" s="4"/>
      <c r="J141" s="4"/>
      <c r="K141" s="4"/>
      <c r="L141" s="4"/>
      <c r="M141" s="4"/>
    </row>
    <row r="142" ht="14.25" customHeight="1">
      <c r="A142" s="397"/>
      <c r="B142" s="397"/>
      <c r="C142" s="397"/>
      <c r="D142" s="398"/>
      <c r="E142" s="4"/>
      <c r="F142" s="4"/>
      <c r="G142" s="4"/>
      <c r="H142" s="4"/>
      <c r="I142" s="4"/>
      <c r="J142" s="4"/>
      <c r="K142" s="4"/>
      <c r="L142" s="4"/>
      <c r="M142" s="4"/>
    </row>
    <row r="143" ht="14.25" customHeight="1">
      <c r="A143" s="397"/>
      <c r="B143" s="397"/>
      <c r="C143" s="397"/>
      <c r="D143" s="398"/>
      <c r="E143" s="4"/>
      <c r="F143" s="4"/>
      <c r="G143" s="4"/>
      <c r="H143" s="4"/>
      <c r="I143" s="4"/>
      <c r="J143" s="4"/>
      <c r="K143" s="4"/>
      <c r="L143" s="4"/>
      <c r="M143" s="4"/>
    </row>
    <row r="144" ht="14.25" customHeight="1">
      <c r="A144" s="397"/>
      <c r="B144" s="397"/>
      <c r="C144" s="397"/>
      <c r="D144" s="398"/>
      <c r="E144" s="4"/>
      <c r="F144" s="4"/>
      <c r="G144" s="4"/>
      <c r="H144" s="4"/>
      <c r="I144" s="4"/>
      <c r="J144" s="4"/>
      <c r="K144" s="4"/>
      <c r="L144" s="4"/>
      <c r="M144" s="4"/>
    </row>
    <row r="145" ht="14.25" customHeight="1">
      <c r="A145" s="397"/>
      <c r="B145" s="397"/>
      <c r="C145" s="397"/>
      <c r="D145" s="398"/>
      <c r="E145" s="4"/>
      <c r="F145" s="4"/>
      <c r="G145" s="4"/>
      <c r="H145" s="4"/>
      <c r="I145" s="4"/>
      <c r="J145" s="4"/>
      <c r="K145" s="4"/>
      <c r="L145" s="4"/>
      <c r="M145" s="4"/>
    </row>
    <row r="146" ht="14.25" customHeight="1">
      <c r="A146" s="397"/>
      <c r="B146" s="397"/>
      <c r="C146" s="397"/>
      <c r="D146" s="398"/>
      <c r="E146" s="4"/>
      <c r="F146" s="4"/>
      <c r="G146" s="4"/>
      <c r="H146" s="4"/>
      <c r="I146" s="4"/>
      <c r="J146" s="4"/>
      <c r="K146" s="4"/>
      <c r="L146" s="4"/>
      <c r="M146" s="4"/>
    </row>
    <row r="147" ht="14.25" customHeight="1">
      <c r="A147" s="397"/>
      <c r="B147" s="397"/>
      <c r="C147" s="397"/>
      <c r="D147" s="398"/>
      <c r="E147" s="4"/>
      <c r="F147" s="4"/>
      <c r="G147" s="4"/>
      <c r="H147" s="4"/>
      <c r="I147" s="4"/>
      <c r="J147" s="4"/>
      <c r="K147" s="4"/>
      <c r="L147" s="4"/>
      <c r="M147" s="4"/>
    </row>
    <row r="148" ht="14.25" customHeight="1">
      <c r="A148" s="397"/>
      <c r="B148" s="397"/>
      <c r="C148" s="397"/>
      <c r="D148" s="398"/>
      <c r="E148" s="4"/>
      <c r="F148" s="4"/>
      <c r="G148" s="4"/>
      <c r="H148" s="4"/>
      <c r="I148" s="4"/>
      <c r="J148" s="4"/>
      <c r="K148" s="4"/>
      <c r="L148" s="4"/>
      <c r="M148" s="4"/>
    </row>
    <row r="149" ht="14.25" customHeight="1">
      <c r="A149" s="397"/>
      <c r="B149" s="397"/>
      <c r="C149" s="397"/>
      <c r="D149" s="398"/>
      <c r="E149" s="4"/>
      <c r="F149" s="4"/>
      <c r="G149" s="4"/>
      <c r="H149" s="4"/>
      <c r="I149" s="4"/>
      <c r="J149" s="4"/>
      <c r="K149" s="4"/>
      <c r="L149" s="4"/>
      <c r="M149" s="4"/>
    </row>
    <row r="150" ht="14.25" customHeight="1">
      <c r="A150" s="397"/>
      <c r="B150" s="397"/>
      <c r="C150" s="397"/>
      <c r="D150" s="398"/>
      <c r="E150" s="4"/>
      <c r="F150" s="4"/>
      <c r="G150" s="4"/>
      <c r="H150" s="4"/>
      <c r="I150" s="4"/>
      <c r="J150" s="4"/>
      <c r="K150" s="4"/>
      <c r="L150" s="4"/>
      <c r="M150" s="4"/>
    </row>
    <row r="151" ht="14.25" customHeight="1">
      <c r="A151" s="397"/>
      <c r="B151" s="397"/>
      <c r="C151" s="397"/>
      <c r="D151" s="398"/>
      <c r="E151" s="4"/>
      <c r="F151" s="4"/>
      <c r="G151" s="4"/>
      <c r="H151" s="4"/>
      <c r="I151" s="4"/>
      <c r="J151" s="4"/>
      <c r="K151" s="4"/>
      <c r="L151" s="4"/>
      <c r="M151" s="4"/>
    </row>
    <row r="152" ht="14.25" customHeight="1">
      <c r="A152" s="397"/>
      <c r="B152" s="397"/>
      <c r="C152" s="397"/>
      <c r="D152" s="398"/>
      <c r="E152" s="4"/>
      <c r="F152" s="4"/>
      <c r="G152" s="4"/>
      <c r="H152" s="4"/>
      <c r="I152" s="4"/>
      <c r="J152" s="4"/>
      <c r="K152" s="4"/>
      <c r="L152" s="4"/>
      <c r="M152" s="4"/>
    </row>
    <row r="153" ht="14.25" customHeight="1">
      <c r="A153" s="397"/>
      <c r="B153" s="397"/>
      <c r="C153" s="397"/>
      <c r="D153" s="398"/>
      <c r="E153" s="4"/>
      <c r="F153" s="4"/>
      <c r="G153" s="4"/>
      <c r="H153" s="4"/>
      <c r="I153" s="4"/>
      <c r="J153" s="4"/>
      <c r="K153" s="4"/>
      <c r="L153" s="4"/>
      <c r="M153" s="4"/>
    </row>
    <row r="154" ht="14.25" customHeight="1">
      <c r="A154" s="397"/>
      <c r="B154" s="397"/>
      <c r="C154" s="397"/>
      <c r="D154" s="398"/>
      <c r="E154" s="4"/>
      <c r="F154" s="4"/>
      <c r="G154" s="4"/>
      <c r="H154" s="4"/>
      <c r="I154" s="4"/>
      <c r="J154" s="4"/>
      <c r="K154" s="4"/>
      <c r="L154" s="4"/>
      <c r="M154" s="4"/>
    </row>
    <row r="155" ht="14.25" customHeight="1">
      <c r="A155" s="397"/>
      <c r="B155" s="397"/>
      <c r="C155" s="397"/>
      <c r="D155" s="398"/>
      <c r="E155" s="4"/>
      <c r="F155" s="4"/>
      <c r="G155" s="4"/>
      <c r="H155" s="4"/>
      <c r="I155" s="4"/>
      <c r="J155" s="4"/>
      <c r="K155" s="4"/>
      <c r="L155" s="4"/>
      <c r="M155" s="4"/>
    </row>
    <row r="156" ht="14.25" customHeight="1">
      <c r="A156" s="397"/>
      <c r="B156" s="397"/>
      <c r="C156" s="397"/>
      <c r="D156" s="398"/>
      <c r="E156" s="4"/>
      <c r="F156" s="4"/>
      <c r="G156" s="4"/>
      <c r="H156" s="4"/>
      <c r="I156" s="4"/>
      <c r="J156" s="4"/>
      <c r="K156" s="4"/>
      <c r="L156" s="4"/>
      <c r="M156" s="4"/>
    </row>
    <row r="157" ht="14.25" customHeight="1">
      <c r="A157" s="397"/>
      <c r="B157" s="397"/>
      <c r="C157" s="397"/>
      <c r="D157" s="398"/>
      <c r="E157" s="4"/>
      <c r="F157" s="4"/>
      <c r="G157" s="4"/>
      <c r="H157" s="4"/>
      <c r="I157" s="4"/>
      <c r="J157" s="4"/>
      <c r="K157" s="4"/>
      <c r="L157" s="4"/>
      <c r="M157" s="4"/>
    </row>
    <row r="158" ht="14.25" customHeight="1">
      <c r="A158" s="397"/>
      <c r="B158" s="397"/>
      <c r="C158" s="397"/>
      <c r="D158" s="398"/>
      <c r="E158" s="4"/>
      <c r="F158" s="4"/>
      <c r="G158" s="4"/>
      <c r="H158" s="4"/>
      <c r="I158" s="4"/>
      <c r="J158" s="4"/>
      <c r="K158" s="4"/>
      <c r="L158" s="4"/>
      <c r="M158" s="4"/>
    </row>
    <row r="159" ht="14.25" customHeight="1">
      <c r="A159" s="397"/>
      <c r="B159" s="397"/>
      <c r="C159" s="397"/>
      <c r="D159" s="398"/>
      <c r="E159" s="4"/>
      <c r="F159" s="4"/>
      <c r="G159" s="4"/>
      <c r="H159" s="4"/>
      <c r="I159" s="4"/>
      <c r="J159" s="4"/>
      <c r="K159" s="4"/>
      <c r="L159" s="4"/>
      <c r="M159" s="4"/>
    </row>
    <row r="160" ht="14.25" customHeight="1">
      <c r="A160" s="397"/>
      <c r="B160" s="397"/>
      <c r="C160" s="397"/>
      <c r="D160" s="398"/>
      <c r="E160" s="4"/>
      <c r="F160" s="4"/>
      <c r="G160" s="4"/>
      <c r="H160" s="4"/>
      <c r="I160" s="4"/>
      <c r="J160" s="4"/>
      <c r="K160" s="4"/>
      <c r="L160" s="4"/>
      <c r="M160" s="4"/>
    </row>
    <row r="161" ht="14.25" customHeight="1">
      <c r="A161" s="397"/>
      <c r="B161" s="397"/>
      <c r="C161" s="397"/>
      <c r="D161" s="398"/>
      <c r="E161" s="4"/>
      <c r="F161" s="4"/>
      <c r="G161" s="4"/>
      <c r="H161" s="4"/>
      <c r="I161" s="4"/>
      <c r="J161" s="4"/>
      <c r="K161" s="4"/>
      <c r="L161" s="4"/>
      <c r="M161" s="4"/>
    </row>
    <row r="162" ht="14.25" customHeight="1">
      <c r="A162" s="397"/>
      <c r="B162" s="397"/>
      <c r="C162" s="397"/>
      <c r="D162" s="398"/>
      <c r="E162" s="4"/>
      <c r="F162" s="4"/>
      <c r="G162" s="4"/>
      <c r="H162" s="4"/>
      <c r="I162" s="4"/>
      <c r="J162" s="4"/>
      <c r="K162" s="4"/>
      <c r="L162" s="4"/>
      <c r="M162" s="4"/>
    </row>
    <row r="163" ht="14.25" customHeight="1">
      <c r="A163" s="397"/>
      <c r="B163" s="397"/>
      <c r="C163" s="397"/>
      <c r="D163" s="398"/>
      <c r="E163" s="4"/>
      <c r="F163" s="4"/>
      <c r="G163" s="4"/>
      <c r="H163" s="4"/>
      <c r="I163" s="4"/>
      <c r="J163" s="4"/>
      <c r="K163" s="4"/>
      <c r="L163" s="4"/>
      <c r="M163" s="4"/>
    </row>
    <row r="164" ht="14.25" customHeight="1">
      <c r="A164" s="397"/>
      <c r="B164" s="397"/>
      <c r="C164" s="397"/>
      <c r="D164" s="398"/>
      <c r="E164" s="4"/>
      <c r="F164" s="4"/>
      <c r="G164" s="4"/>
      <c r="H164" s="4"/>
      <c r="I164" s="4"/>
      <c r="J164" s="4"/>
      <c r="K164" s="4"/>
      <c r="L164" s="4"/>
      <c r="M164" s="4"/>
    </row>
    <row r="165" ht="14.25" customHeight="1">
      <c r="A165" s="397"/>
      <c r="B165" s="397"/>
      <c r="C165" s="397"/>
      <c r="D165" s="398"/>
      <c r="E165" s="4"/>
      <c r="F165" s="4"/>
      <c r="G165" s="4"/>
      <c r="H165" s="4"/>
      <c r="I165" s="4"/>
      <c r="J165" s="4"/>
      <c r="K165" s="4"/>
      <c r="L165" s="4"/>
      <c r="M165" s="4"/>
    </row>
    <row r="166" ht="14.25" customHeight="1">
      <c r="A166" s="397"/>
      <c r="B166" s="397"/>
      <c r="C166" s="397"/>
      <c r="D166" s="398"/>
      <c r="E166" s="4"/>
      <c r="F166" s="4"/>
      <c r="G166" s="4"/>
      <c r="H166" s="4"/>
      <c r="I166" s="4"/>
      <c r="J166" s="4"/>
      <c r="K166" s="4"/>
      <c r="L166" s="4"/>
      <c r="M166" s="4"/>
    </row>
    <row r="167" ht="14.25" customHeight="1">
      <c r="A167" s="397"/>
      <c r="B167" s="397"/>
      <c r="C167" s="397"/>
      <c r="D167" s="398"/>
      <c r="E167" s="4"/>
      <c r="F167" s="4"/>
      <c r="G167" s="4"/>
      <c r="H167" s="4"/>
      <c r="I167" s="4"/>
      <c r="J167" s="4"/>
      <c r="K167" s="4"/>
      <c r="L167" s="4"/>
      <c r="M167" s="4"/>
    </row>
    <row r="168" ht="14.25" customHeight="1">
      <c r="A168" s="397"/>
      <c r="B168" s="397"/>
      <c r="C168" s="397"/>
      <c r="D168" s="398"/>
      <c r="E168" s="4"/>
      <c r="F168" s="4"/>
      <c r="G168" s="4"/>
      <c r="H168" s="4"/>
      <c r="I168" s="4"/>
      <c r="J168" s="4"/>
      <c r="K168" s="4"/>
      <c r="L168" s="4"/>
      <c r="M168" s="4"/>
    </row>
    <row r="169" ht="14.25" customHeight="1">
      <c r="A169" s="397"/>
      <c r="B169" s="397"/>
      <c r="C169" s="397"/>
      <c r="D169" s="398"/>
      <c r="E169" s="4"/>
      <c r="F169" s="4"/>
      <c r="G169" s="4"/>
      <c r="H169" s="4"/>
      <c r="I169" s="4"/>
      <c r="J169" s="4"/>
      <c r="K169" s="4"/>
      <c r="L169" s="4"/>
      <c r="M169" s="4"/>
    </row>
    <row r="170" ht="14.25" customHeight="1">
      <c r="A170" s="397"/>
      <c r="B170" s="397"/>
      <c r="C170" s="397"/>
      <c r="D170" s="398"/>
      <c r="E170" s="4"/>
      <c r="F170" s="4"/>
      <c r="G170" s="4"/>
      <c r="H170" s="4"/>
      <c r="I170" s="4"/>
      <c r="J170" s="4"/>
      <c r="K170" s="4"/>
      <c r="L170" s="4"/>
      <c r="M170" s="4"/>
    </row>
    <row r="171" ht="14.25" customHeight="1">
      <c r="A171" s="397"/>
      <c r="B171" s="397"/>
      <c r="C171" s="397"/>
      <c r="D171" s="398"/>
      <c r="E171" s="4"/>
      <c r="F171" s="4"/>
      <c r="G171" s="4"/>
      <c r="H171" s="4"/>
      <c r="I171" s="4"/>
      <c r="J171" s="4"/>
      <c r="K171" s="4"/>
      <c r="L171" s="4"/>
      <c r="M171" s="4"/>
    </row>
    <row r="172" ht="14.25" customHeight="1">
      <c r="A172" s="397"/>
      <c r="B172" s="397"/>
      <c r="C172" s="397"/>
      <c r="D172" s="398"/>
      <c r="E172" s="4"/>
      <c r="F172" s="4"/>
      <c r="G172" s="4"/>
      <c r="H172" s="4"/>
      <c r="I172" s="4"/>
      <c r="J172" s="4"/>
      <c r="K172" s="4"/>
      <c r="L172" s="4"/>
      <c r="M172" s="4"/>
    </row>
    <row r="173" ht="14.25" customHeight="1">
      <c r="A173" s="397"/>
      <c r="B173" s="397"/>
      <c r="C173" s="397"/>
      <c r="D173" s="398"/>
      <c r="E173" s="4"/>
      <c r="F173" s="4"/>
      <c r="G173" s="4"/>
      <c r="H173" s="4"/>
      <c r="I173" s="4"/>
      <c r="J173" s="4"/>
      <c r="K173" s="4"/>
      <c r="L173" s="4"/>
      <c r="M173" s="4"/>
    </row>
    <row r="174" ht="14.25" customHeight="1">
      <c r="A174" s="397"/>
      <c r="B174" s="397"/>
      <c r="C174" s="397"/>
      <c r="D174" s="398"/>
      <c r="E174" s="4"/>
      <c r="F174" s="4"/>
      <c r="G174" s="4"/>
      <c r="H174" s="4"/>
      <c r="I174" s="4"/>
      <c r="J174" s="4"/>
      <c r="K174" s="4"/>
      <c r="L174" s="4"/>
      <c r="M174" s="4"/>
    </row>
    <row r="175" ht="14.25" customHeight="1">
      <c r="A175" s="397"/>
      <c r="B175" s="397"/>
      <c r="C175" s="397"/>
      <c r="D175" s="398"/>
      <c r="E175" s="4"/>
      <c r="F175" s="4"/>
      <c r="G175" s="4"/>
      <c r="H175" s="4"/>
      <c r="I175" s="4"/>
      <c r="J175" s="4"/>
      <c r="K175" s="4"/>
      <c r="L175" s="4"/>
      <c r="M175" s="4"/>
    </row>
    <row r="176" ht="14.25" customHeight="1">
      <c r="A176" s="397"/>
      <c r="B176" s="397"/>
      <c r="C176" s="397"/>
      <c r="D176" s="398"/>
      <c r="E176" s="4"/>
      <c r="F176" s="4"/>
      <c r="G176" s="4"/>
      <c r="H176" s="4"/>
      <c r="I176" s="4"/>
      <c r="J176" s="4"/>
      <c r="K176" s="4"/>
      <c r="L176" s="4"/>
      <c r="M176" s="4"/>
    </row>
    <row r="177" ht="14.25" customHeight="1">
      <c r="A177" s="397"/>
      <c r="B177" s="397"/>
      <c r="C177" s="397"/>
      <c r="D177" s="398"/>
      <c r="E177" s="4"/>
      <c r="F177" s="4"/>
      <c r="G177" s="4"/>
      <c r="H177" s="4"/>
      <c r="I177" s="4"/>
      <c r="J177" s="4"/>
      <c r="K177" s="4"/>
      <c r="L177" s="4"/>
      <c r="M177" s="4"/>
    </row>
    <row r="178" ht="14.25" customHeight="1">
      <c r="A178" s="397"/>
      <c r="B178" s="397"/>
      <c r="C178" s="397"/>
      <c r="D178" s="398"/>
      <c r="E178" s="4"/>
      <c r="F178" s="4"/>
      <c r="G178" s="4"/>
      <c r="H178" s="4"/>
      <c r="I178" s="4"/>
      <c r="J178" s="4"/>
      <c r="K178" s="4"/>
      <c r="L178" s="4"/>
      <c r="M178" s="4"/>
    </row>
    <row r="179" ht="14.25" customHeight="1">
      <c r="A179" s="397"/>
      <c r="B179" s="397"/>
      <c r="C179" s="397"/>
      <c r="D179" s="398"/>
      <c r="E179" s="4"/>
      <c r="F179" s="4"/>
      <c r="G179" s="4"/>
      <c r="H179" s="4"/>
      <c r="I179" s="4"/>
      <c r="J179" s="4"/>
      <c r="K179" s="4"/>
      <c r="L179" s="4"/>
      <c r="M179" s="4"/>
    </row>
    <row r="180" ht="14.25" customHeight="1">
      <c r="A180" s="397"/>
      <c r="B180" s="397"/>
      <c r="C180" s="397"/>
      <c r="D180" s="398"/>
      <c r="E180" s="4"/>
      <c r="F180" s="4"/>
      <c r="G180" s="4"/>
      <c r="H180" s="4"/>
      <c r="I180" s="4"/>
      <c r="J180" s="4"/>
      <c r="K180" s="4"/>
      <c r="L180" s="4"/>
      <c r="M180" s="4"/>
    </row>
    <row r="181" ht="14.25" customHeight="1">
      <c r="A181" s="397"/>
      <c r="B181" s="397"/>
      <c r="C181" s="397"/>
      <c r="D181" s="398"/>
      <c r="E181" s="4"/>
      <c r="F181" s="4"/>
      <c r="G181" s="4"/>
      <c r="H181" s="4"/>
      <c r="I181" s="4"/>
      <c r="J181" s="4"/>
      <c r="K181" s="4"/>
      <c r="L181" s="4"/>
      <c r="M181" s="4"/>
    </row>
    <row r="182" ht="14.25" customHeight="1">
      <c r="A182" s="397"/>
      <c r="B182" s="397"/>
      <c r="C182" s="397"/>
      <c r="D182" s="398"/>
      <c r="E182" s="4"/>
      <c r="F182" s="4"/>
      <c r="G182" s="4"/>
      <c r="H182" s="4"/>
      <c r="I182" s="4"/>
      <c r="J182" s="4"/>
      <c r="K182" s="4"/>
      <c r="L182" s="4"/>
      <c r="M182" s="4"/>
    </row>
    <row r="183" ht="14.25" customHeight="1">
      <c r="A183" s="397"/>
      <c r="B183" s="397"/>
      <c r="C183" s="397"/>
      <c r="D183" s="398"/>
      <c r="E183" s="4"/>
      <c r="F183" s="4"/>
      <c r="G183" s="4"/>
      <c r="H183" s="4"/>
      <c r="I183" s="4"/>
      <c r="J183" s="4"/>
      <c r="K183" s="4"/>
      <c r="L183" s="4"/>
      <c r="M183" s="4"/>
    </row>
    <row r="184" ht="14.25" customHeight="1">
      <c r="A184" s="397"/>
      <c r="B184" s="397"/>
      <c r="C184" s="397"/>
      <c r="D184" s="398"/>
      <c r="E184" s="4"/>
      <c r="F184" s="4"/>
      <c r="G184" s="4"/>
      <c r="H184" s="4"/>
      <c r="I184" s="4"/>
      <c r="J184" s="4"/>
      <c r="K184" s="4"/>
      <c r="L184" s="4"/>
      <c r="M184" s="4"/>
    </row>
    <row r="185" ht="14.25" customHeight="1">
      <c r="A185" s="397"/>
      <c r="B185" s="397"/>
      <c r="C185" s="397"/>
      <c r="D185" s="398"/>
      <c r="E185" s="4"/>
      <c r="F185" s="4"/>
      <c r="G185" s="4"/>
      <c r="H185" s="4"/>
      <c r="I185" s="4"/>
      <c r="J185" s="4"/>
      <c r="K185" s="4"/>
      <c r="L185" s="4"/>
      <c r="M185" s="4"/>
    </row>
    <row r="186" ht="14.25" customHeight="1">
      <c r="A186" s="397"/>
      <c r="B186" s="397"/>
      <c r="C186" s="397"/>
      <c r="D186" s="398"/>
      <c r="E186" s="4"/>
      <c r="F186" s="4"/>
      <c r="G186" s="4"/>
      <c r="H186" s="4"/>
      <c r="I186" s="4"/>
      <c r="J186" s="4"/>
      <c r="K186" s="4"/>
      <c r="L186" s="4"/>
      <c r="M186" s="4"/>
    </row>
    <row r="187" ht="14.25" customHeight="1">
      <c r="A187" s="397"/>
      <c r="B187" s="397"/>
      <c r="C187" s="397"/>
      <c r="D187" s="398"/>
      <c r="E187" s="4"/>
      <c r="F187" s="4"/>
      <c r="G187" s="4"/>
      <c r="H187" s="4"/>
      <c r="I187" s="4"/>
      <c r="J187" s="4"/>
      <c r="K187" s="4"/>
      <c r="L187" s="4"/>
      <c r="M187" s="4"/>
    </row>
    <row r="188" ht="14.25" customHeight="1">
      <c r="A188" s="397"/>
      <c r="B188" s="397"/>
      <c r="C188" s="397"/>
      <c r="D188" s="398"/>
      <c r="E188" s="4"/>
      <c r="F188" s="4"/>
      <c r="G188" s="4"/>
      <c r="H188" s="4"/>
      <c r="I188" s="4"/>
      <c r="J188" s="4"/>
      <c r="K188" s="4"/>
      <c r="L188" s="4"/>
      <c r="M188" s="4"/>
    </row>
    <row r="189" ht="14.25" customHeight="1">
      <c r="A189" s="397"/>
      <c r="B189" s="397"/>
      <c r="C189" s="397"/>
      <c r="D189" s="398"/>
      <c r="E189" s="4"/>
      <c r="F189" s="4"/>
      <c r="G189" s="4"/>
      <c r="H189" s="4"/>
      <c r="I189" s="4"/>
      <c r="J189" s="4"/>
      <c r="K189" s="4"/>
      <c r="L189" s="4"/>
      <c r="M189" s="4"/>
    </row>
    <row r="190" ht="14.25" customHeight="1">
      <c r="A190" s="397"/>
      <c r="B190" s="397"/>
      <c r="C190" s="397"/>
      <c r="D190" s="398"/>
      <c r="E190" s="4"/>
      <c r="F190" s="4"/>
      <c r="G190" s="4"/>
      <c r="H190" s="4"/>
      <c r="I190" s="4"/>
      <c r="J190" s="4"/>
      <c r="K190" s="4"/>
      <c r="L190" s="4"/>
      <c r="M190" s="4"/>
    </row>
    <row r="191" ht="14.25" customHeight="1">
      <c r="A191" s="397"/>
      <c r="B191" s="397"/>
      <c r="C191" s="397"/>
      <c r="D191" s="398"/>
      <c r="E191" s="4"/>
      <c r="F191" s="4"/>
      <c r="G191" s="4"/>
      <c r="H191" s="4"/>
      <c r="I191" s="4"/>
      <c r="J191" s="4"/>
      <c r="K191" s="4"/>
      <c r="L191" s="4"/>
      <c r="M191" s="4"/>
    </row>
    <row r="192" ht="14.25" customHeight="1">
      <c r="A192" s="397"/>
      <c r="B192" s="397"/>
      <c r="C192" s="397"/>
      <c r="D192" s="398"/>
      <c r="E192" s="4"/>
      <c r="F192" s="4"/>
      <c r="G192" s="4"/>
      <c r="H192" s="4"/>
      <c r="I192" s="4"/>
      <c r="J192" s="4"/>
      <c r="K192" s="4"/>
      <c r="L192" s="4"/>
      <c r="M192" s="4"/>
    </row>
    <row r="193" ht="14.25" customHeight="1">
      <c r="A193" s="397"/>
      <c r="B193" s="397"/>
      <c r="C193" s="397"/>
      <c r="D193" s="398"/>
      <c r="E193" s="4"/>
      <c r="F193" s="4"/>
      <c r="G193" s="4"/>
      <c r="H193" s="4"/>
      <c r="I193" s="4"/>
      <c r="J193" s="4"/>
      <c r="K193" s="4"/>
      <c r="L193" s="4"/>
      <c r="M193" s="4"/>
    </row>
    <row r="194" ht="14.25" customHeight="1">
      <c r="A194" s="397"/>
      <c r="B194" s="397"/>
      <c r="C194" s="397"/>
      <c r="D194" s="398"/>
      <c r="E194" s="4"/>
      <c r="F194" s="4"/>
      <c r="G194" s="4"/>
      <c r="H194" s="4"/>
      <c r="I194" s="4"/>
      <c r="J194" s="4"/>
      <c r="K194" s="4"/>
      <c r="L194" s="4"/>
      <c r="M194" s="4"/>
    </row>
    <row r="195" ht="14.25" customHeight="1">
      <c r="A195" s="397"/>
      <c r="B195" s="397"/>
      <c r="C195" s="397"/>
      <c r="D195" s="398"/>
      <c r="E195" s="4"/>
      <c r="F195" s="4"/>
      <c r="G195" s="4"/>
      <c r="H195" s="4"/>
      <c r="I195" s="4"/>
      <c r="J195" s="4"/>
      <c r="K195" s="4"/>
      <c r="L195" s="4"/>
      <c r="M195" s="4"/>
    </row>
    <row r="196" ht="14.25" customHeight="1">
      <c r="A196" s="397"/>
      <c r="B196" s="397"/>
      <c r="C196" s="397"/>
      <c r="D196" s="398"/>
      <c r="E196" s="4"/>
      <c r="F196" s="4"/>
      <c r="G196" s="4"/>
      <c r="H196" s="4"/>
      <c r="I196" s="4"/>
      <c r="J196" s="4"/>
      <c r="K196" s="4"/>
      <c r="L196" s="4"/>
      <c r="M196" s="4"/>
    </row>
    <row r="197" ht="14.25" customHeight="1">
      <c r="A197" s="397"/>
      <c r="B197" s="397"/>
      <c r="C197" s="397"/>
      <c r="D197" s="398"/>
      <c r="E197" s="4"/>
      <c r="F197" s="4"/>
      <c r="G197" s="4"/>
      <c r="H197" s="4"/>
      <c r="I197" s="4"/>
      <c r="J197" s="4"/>
      <c r="K197" s="4"/>
      <c r="L197" s="4"/>
      <c r="M197" s="4"/>
    </row>
    <row r="198" ht="14.25" customHeight="1">
      <c r="A198" s="397"/>
      <c r="B198" s="397"/>
      <c r="C198" s="397"/>
      <c r="D198" s="398"/>
      <c r="E198" s="4"/>
      <c r="F198" s="4"/>
      <c r="G198" s="4"/>
      <c r="H198" s="4"/>
      <c r="I198" s="4"/>
      <c r="J198" s="4"/>
      <c r="K198" s="4"/>
      <c r="L198" s="4"/>
      <c r="M198" s="4"/>
    </row>
    <row r="199" ht="14.25" customHeight="1">
      <c r="A199" s="397"/>
      <c r="B199" s="397"/>
      <c r="C199" s="397"/>
      <c r="D199" s="398"/>
      <c r="E199" s="4"/>
      <c r="F199" s="4"/>
      <c r="G199" s="4"/>
      <c r="H199" s="4"/>
      <c r="I199" s="4"/>
      <c r="J199" s="4"/>
      <c r="K199" s="4"/>
      <c r="L199" s="4"/>
      <c r="M199" s="4"/>
    </row>
    <row r="200" ht="14.25" customHeight="1">
      <c r="A200" s="397"/>
      <c r="B200" s="397"/>
      <c r="C200" s="397"/>
      <c r="D200" s="398"/>
      <c r="E200" s="4"/>
      <c r="F200" s="4"/>
      <c r="G200" s="4"/>
      <c r="H200" s="4"/>
      <c r="I200" s="4"/>
      <c r="J200" s="4"/>
      <c r="K200" s="4"/>
      <c r="L200" s="4"/>
      <c r="M200" s="4"/>
    </row>
    <row r="201" ht="14.25" customHeight="1">
      <c r="A201" s="397"/>
      <c r="B201" s="397"/>
      <c r="C201" s="397"/>
      <c r="D201" s="398"/>
      <c r="E201" s="4"/>
      <c r="F201" s="4"/>
      <c r="G201" s="4"/>
      <c r="H201" s="4"/>
      <c r="I201" s="4"/>
      <c r="J201" s="4"/>
      <c r="K201" s="4"/>
      <c r="L201" s="4"/>
      <c r="M201" s="4"/>
    </row>
    <row r="202" ht="14.25" customHeight="1">
      <c r="A202" s="397"/>
      <c r="B202" s="397"/>
      <c r="C202" s="397"/>
      <c r="D202" s="398"/>
      <c r="E202" s="4"/>
      <c r="F202" s="4"/>
      <c r="G202" s="4"/>
      <c r="H202" s="4"/>
      <c r="I202" s="4"/>
      <c r="J202" s="4"/>
      <c r="K202" s="4"/>
      <c r="L202" s="4"/>
      <c r="M202" s="4"/>
    </row>
    <row r="203" ht="14.25" customHeight="1">
      <c r="A203" s="397"/>
      <c r="B203" s="397"/>
      <c r="C203" s="397"/>
      <c r="D203" s="398"/>
      <c r="E203" s="4"/>
      <c r="F203" s="4"/>
      <c r="G203" s="4"/>
      <c r="H203" s="4"/>
      <c r="I203" s="4"/>
      <c r="J203" s="4"/>
      <c r="K203" s="4"/>
      <c r="L203" s="4"/>
      <c r="M203" s="4"/>
    </row>
    <row r="204" ht="14.25" customHeight="1">
      <c r="A204" s="397"/>
      <c r="B204" s="397"/>
      <c r="C204" s="397"/>
      <c r="D204" s="398"/>
      <c r="E204" s="4"/>
      <c r="F204" s="4"/>
      <c r="G204" s="4"/>
      <c r="H204" s="4"/>
      <c r="I204" s="4"/>
      <c r="J204" s="4"/>
      <c r="K204" s="4"/>
      <c r="L204" s="4"/>
      <c r="M204" s="4"/>
    </row>
    <row r="205" ht="14.25" customHeight="1">
      <c r="A205" s="397"/>
      <c r="B205" s="397"/>
      <c r="C205" s="397"/>
      <c r="D205" s="398"/>
      <c r="E205" s="4"/>
      <c r="F205" s="4"/>
      <c r="G205" s="4"/>
      <c r="H205" s="4"/>
      <c r="I205" s="4"/>
      <c r="J205" s="4"/>
      <c r="K205" s="4"/>
      <c r="L205" s="4"/>
      <c r="M205" s="4"/>
    </row>
    <row r="206" ht="14.25" customHeight="1">
      <c r="A206" s="397"/>
      <c r="B206" s="397"/>
      <c r="C206" s="397"/>
      <c r="D206" s="398"/>
      <c r="E206" s="4"/>
      <c r="F206" s="4"/>
      <c r="G206" s="4"/>
      <c r="H206" s="4"/>
      <c r="I206" s="4"/>
      <c r="J206" s="4"/>
      <c r="K206" s="4"/>
      <c r="L206" s="4"/>
      <c r="M206" s="4"/>
    </row>
    <row r="207" ht="14.25" customHeight="1">
      <c r="A207" s="397"/>
      <c r="B207" s="397"/>
      <c r="C207" s="397"/>
      <c r="D207" s="398"/>
      <c r="E207" s="4"/>
      <c r="F207" s="4"/>
      <c r="G207" s="4"/>
      <c r="H207" s="4"/>
      <c r="I207" s="4"/>
      <c r="J207" s="4"/>
      <c r="K207" s="4"/>
      <c r="L207" s="4"/>
      <c r="M207" s="4"/>
    </row>
    <row r="208" ht="14.25" customHeight="1">
      <c r="A208" s="397"/>
      <c r="B208" s="397"/>
      <c r="C208" s="397"/>
      <c r="D208" s="398"/>
      <c r="E208" s="4"/>
      <c r="F208" s="4"/>
      <c r="G208" s="4"/>
      <c r="H208" s="4"/>
      <c r="I208" s="4"/>
      <c r="J208" s="4"/>
      <c r="K208" s="4"/>
      <c r="L208" s="4"/>
      <c r="M208" s="4"/>
    </row>
    <row r="209" ht="14.25" customHeight="1">
      <c r="A209" s="397"/>
      <c r="B209" s="397"/>
      <c r="C209" s="397"/>
      <c r="D209" s="398"/>
      <c r="E209" s="4"/>
      <c r="F209" s="4"/>
      <c r="G209" s="4"/>
      <c r="H209" s="4"/>
      <c r="I209" s="4"/>
      <c r="J209" s="4"/>
      <c r="K209" s="4"/>
      <c r="L209" s="4"/>
      <c r="M209" s="4"/>
    </row>
    <row r="210" ht="14.25" customHeight="1">
      <c r="A210" s="397"/>
      <c r="B210" s="397"/>
      <c r="C210" s="397"/>
      <c r="D210" s="398"/>
      <c r="E210" s="4"/>
      <c r="F210" s="4"/>
      <c r="G210" s="4"/>
      <c r="H210" s="4"/>
      <c r="I210" s="4"/>
      <c r="J210" s="4"/>
      <c r="K210" s="4"/>
      <c r="L210" s="4"/>
      <c r="M210" s="4"/>
    </row>
    <row r="211" ht="14.25" customHeight="1">
      <c r="A211" s="397"/>
      <c r="B211" s="397"/>
      <c r="C211" s="397"/>
      <c r="D211" s="398"/>
      <c r="E211" s="4"/>
      <c r="F211" s="4"/>
      <c r="G211" s="4"/>
      <c r="H211" s="4"/>
      <c r="I211" s="4"/>
      <c r="J211" s="4"/>
      <c r="K211" s="4"/>
      <c r="L211" s="4"/>
      <c r="M211" s="4"/>
    </row>
    <row r="212" ht="14.25" customHeight="1">
      <c r="A212" s="397"/>
      <c r="B212" s="397"/>
      <c r="C212" s="397"/>
      <c r="D212" s="398"/>
      <c r="E212" s="4"/>
      <c r="F212" s="4"/>
      <c r="G212" s="4"/>
      <c r="H212" s="4"/>
      <c r="I212" s="4"/>
      <c r="J212" s="4"/>
      <c r="K212" s="4"/>
      <c r="L212" s="4"/>
      <c r="M212" s="4"/>
    </row>
    <row r="213" ht="14.25" customHeight="1">
      <c r="A213" s="397"/>
      <c r="B213" s="397"/>
      <c r="C213" s="397"/>
      <c r="D213" s="398"/>
      <c r="E213" s="4"/>
      <c r="F213" s="4"/>
      <c r="G213" s="4"/>
      <c r="H213" s="4"/>
      <c r="I213" s="4"/>
      <c r="J213" s="4"/>
      <c r="K213" s="4"/>
      <c r="L213" s="4"/>
      <c r="M213" s="4"/>
    </row>
    <row r="214" ht="14.25" customHeight="1">
      <c r="A214" s="397"/>
      <c r="B214" s="397"/>
      <c r="C214" s="397"/>
      <c r="D214" s="398"/>
      <c r="E214" s="4"/>
      <c r="F214" s="4"/>
      <c r="G214" s="4"/>
      <c r="H214" s="4"/>
      <c r="I214" s="4"/>
      <c r="J214" s="4"/>
      <c r="K214" s="4"/>
      <c r="L214" s="4"/>
      <c r="M214" s="4"/>
    </row>
    <row r="215" ht="14.25" customHeight="1">
      <c r="A215" s="397"/>
      <c r="B215" s="397"/>
      <c r="C215" s="397"/>
      <c r="D215" s="398"/>
      <c r="E215" s="4"/>
      <c r="F215" s="4"/>
      <c r="G215" s="4"/>
      <c r="H215" s="4"/>
      <c r="I215" s="4"/>
      <c r="J215" s="4"/>
      <c r="K215" s="4"/>
      <c r="L215" s="4"/>
      <c r="M215" s="4"/>
    </row>
    <row r="216" ht="14.25" customHeight="1">
      <c r="A216" s="397"/>
      <c r="B216" s="397"/>
      <c r="C216" s="397"/>
      <c r="D216" s="398"/>
      <c r="E216" s="4"/>
      <c r="F216" s="4"/>
      <c r="G216" s="4"/>
      <c r="H216" s="4"/>
      <c r="I216" s="4"/>
      <c r="J216" s="4"/>
      <c r="K216" s="4"/>
      <c r="L216" s="4"/>
      <c r="M216" s="4"/>
    </row>
    <row r="217" ht="14.25" customHeight="1">
      <c r="A217" s="397"/>
      <c r="B217" s="397"/>
      <c r="C217" s="397"/>
      <c r="D217" s="398"/>
      <c r="E217" s="4"/>
      <c r="F217" s="4"/>
      <c r="G217" s="4"/>
      <c r="H217" s="4"/>
      <c r="I217" s="4"/>
      <c r="J217" s="4"/>
      <c r="K217" s="4"/>
      <c r="L217" s="4"/>
      <c r="M217" s="4"/>
    </row>
    <row r="218" ht="14.25" customHeight="1">
      <c r="A218" s="397"/>
      <c r="B218" s="397"/>
      <c r="C218" s="397"/>
      <c r="D218" s="398"/>
      <c r="E218" s="4"/>
      <c r="F218" s="4"/>
      <c r="G218" s="4"/>
      <c r="H218" s="4"/>
      <c r="I218" s="4"/>
      <c r="J218" s="4"/>
      <c r="K218" s="4"/>
      <c r="L218" s="4"/>
      <c r="M218" s="4"/>
    </row>
    <row r="219" ht="14.25" customHeight="1">
      <c r="A219" s="397"/>
      <c r="B219" s="397"/>
      <c r="C219" s="397"/>
      <c r="D219" s="398"/>
      <c r="E219" s="4"/>
      <c r="F219" s="4"/>
      <c r="G219" s="4"/>
      <c r="H219" s="4"/>
      <c r="I219" s="4"/>
      <c r="J219" s="4"/>
      <c r="K219" s="4"/>
      <c r="L219" s="4"/>
      <c r="M219" s="4"/>
    </row>
    <row r="220" ht="14.25" customHeight="1">
      <c r="A220" s="397"/>
      <c r="B220" s="397"/>
      <c r="C220" s="397"/>
      <c r="D220" s="398"/>
      <c r="E220" s="4"/>
      <c r="F220" s="4"/>
      <c r="G220" s="4"/>
      <c r="H220" s="4"/>
      <c r="I220" s="4"/>
      <c r="J220" s="4"/>
      <c r="K220" s="4"/>
      <c r="L220" s="4"/>
      <c r="M220" s="4"/>
    </row>
    <row r="221" ht="14.25" customHeight="1">
      <c r="A221" s="397"/>
      <c r="B221" s="397"/>
      <c r="C221" s="397"/>
      <c r="D221" s="398"/>
      <c r="E221" s="4"/>
      <c r="F221" s="4"/>
      <c r="G221" s="4"/>
      <c r="H221" s="4"/>
      <c r="I221" s="4"/>
      <c r="J221" s="4"/>
      <c r="K221" s="4"/>
      <c r="L221" s="4"/>
      <c r="M221" s="4"/>
    </row>
    <row r="222" ht="14.25" customHeight="1">
      <c r="A222" s="397"/>
      <c r="B222" s="397"/>
      <c r="C222" s="397"/>
      <c r="D222" s="398"/>
      <c r="E222" s="4"/>
      <c r="F222" s="4"/>
      <c r="G222" s="4"/>
      <c r="H222" s="4"/>
      <c r="I222" s="4"/>
      <c r="J222" s="4"/>
      <c r="K222" s="4"/>
      <c r="L222" s="4"/>
      <c r="M222" s="4"/>
    </row>
    <row r="223" ht="14.25" customHeight="1">
      <c r="A223" s="397"/>
      <c r="B223" s="397"/>
      <c r="C223" s="397"/>
      <c r="D223" s="398"/>
      <c r="E223" s="4"/>
      <c r="F223" s="4"/>
      <c r="G223" s="4"/>
      <c r="H223" s="4"/>
      <c r="I223" s="4"/>
      <c r="J223" s="4"/>
      <c r="K223" s="4"/>
      <c r="L223" s="4"/>
      <c r="M223" s="4"/>
    </row>
    <row r="224" ht="14.25" customHeight="1">
      <c r="A224" s="397"/>
      <c r="B224" s="397"/>
      <c r="C224" s="397"/>
      <c r="D224" s="398"/>
      <c r="E224" s="4"/>
      <c r="F224" s="4"/>
      <c r="G224" s="4"/>
      <c r="H224" s="4"/>
      <c r="I224" s="4"/>
      <c r="J224" s="4"/>
      <c r="K224" s="4"/>
      <c r="L224" s="4"/>
      <c r="M224" s="4"/>
    </row>
    <row r="225" ht="14.25" customHeight="1">
      <c r="A225" s="397"/>
      <c r="B225" s="397"/>
      <c r="C225" s="397"/>
      <c r="D225" s="398"/>
      <c r="E225" s="4"/>
      <c r="F225" s="4"/>
      <c r="G225" s="4"/>
      <c r="H225" s="4"/>
      <c r="I225" s="4"/>
      <c r="J225" s="4"/>
      <c r="K225" s="4"/>
      <c r="L225" s="4"/>
      <c r="M225" s="4"/>
    </row>
    <row r="226" ht="14.25" customHeight="1">
      <c r="A226" s="397"/>
      <c r="B226" s="397"/>
      <c r="C226" s="397"/>
      <c r="D226" s="398"/>
      <c r="E226" s="4"/>
      <c r="F226" s="4"/>
      <c r="G226" s="4"/>
      <c r="H226" s="4"/>
      <c r="I226" s="4"/>
      <c r="J226" s="4"/>
      <c r="K226" s="4"/>
      <c r="L226" s="4"/>
      <c r="M226" s="4"/>
    </row>
    <row r="227" ht="14.25" customHeight="1">
      <c r="A227" s="397"/>
      <c r="B227" s="397"/>
      <c r="C227" s="397"/>
      <c r="D227" s="398"/>
      <c r="E227" s="4"/>
      <c r="F227" s="4"/>
      <c r="G227" s="4"/>
      <c r="H227" s="4"/>
      <c r="I227" s="4"/>
      <c r="J227" s="4"/>
      <c r="K227" s="4"/>
      <c r="L227" s="4"/>
      <c r="M227" s="4"/>
    </row>
    <row r="228" ht="14.25" customHeight="1">
      <c r="A228" s="397"/>
      <c r="B228" s="397"/>
      <c r="C228" s="397"/>
      <c r="D228" s="398"/>
      <c r="E228" s="4"/>
      <c r="F228" s="4"/>
      <c r="G228" s="4"/>
      <c r="H228" s="4"/>
      <c r="I228" s="4"/>
      <c r="J228" s="4"/>
      <c r="K228" s="4"/>
      <c r="L228" s="4"/>
      <c r="M228" s="4"/>
    </row>
    <row r="229" ht="14.25" customHeight="1">
      <c r="A229" s="397"/>
      <c r="B229" s="397"/>
      <c r="C229" s="397"/>
      <c r="D229" s="398"/>
      <c r="E229" s="4"/>
      <c r="F229" s="4"/>
      <c r="G229" s="4"/>
      <c r="H229" s="4"/>
      <c r="I229" s="4"/>
      <c r="J229" s="4"/>
      <c r="K229" s="4"/>
      <c r="L229" s="4"/>
      <c r="M229" s="4"/>
    </row>
    <row r="230" ht="14.25" customHeight="1">
      <c r="A230" s="397"/>
      <c r="B230" s="397"/>
      <c r="C230" s="397"/>
      <c r="D230" s="398"/>
      <c r="E230" s="4"/>
      <c r="F230" s="4"/>
      <c r="G230" s="4"/>
      <c r="H230" s="4"/>
      <c r="I230" s="4"/>
      <c r="J230" s="4"/>
      <c r="K230" s="4"/>
      <c r="L230" s="4"/>
      <c r="M230" s="4"/>
    </row>
    <row r="231" ht="14.25" customHeight="1">
      <c r="A231" s="397"/>
      <c r="B231" s="397"/>
      <c r="C231" s="397"/>
      <c r="D231" s="398"/>
      <c r="E231" s="4"/>
      <c r="F231" s="4"/>
      <c r="G231" s="4"/>
      <c r="H231" s="4"/>
      <c r="I231" s="4"/>
      <c r="J231" s="4"/>
      <c r="K231" s="4"/>
      <c r="L231" s="4"/>
      <c r="M231" s="4"/>
    </row>
    <row r="232" ht="14.25" customHeight="1">
      <c r="A232" s="397"/>
      <c r="B232" s="397"/>
      <c r="C232" s="397"/>
      <c r="D232" s="398"/>
      <c r="E232" s="4"/>
      <c r="F232" s="4"/>
      <c r="G232" s="4"/>
      <c r="H232" s="4"/>
      <c r="I232" s="4"/>
      <c r="J232" s="4"/>
      <c r="K232" s="4"/>
      <c r="L232" s="4"/>
      <c r="M232" s="4"/>
    </row>
    <row r="233" ht="14.25" customHeight="1">
      <c r="A233" s="397"/>
      <c r="B233" s="397"/>
      <c r="C233" s="397"/>
      <c r="D233" s="398"/>
      <c r="E233" s="4"/>
      <c r="F233" s="4"/>
      <c r="G233" s="4"/>
      <c r="H233" s="4"/>
      <c r="I233" s="4"/>
      <c r="J233" s="4"/>
      <c r="K233" s="4"/>
      <c r="L233" s="4"/>
      <c r="M233" s="4"/>
    </row>
    <row r="234" ht="14.25" customHeight="1">
      <c r="A234" s="397"/>
      <c r="B234" s="397"/>
      <c r="C234" s="397"/>
      <c r="D234" s="398"/>
      <c r="E234" s="4"/>
      <c r="F234" s="4"/>
      <c r="G234" s="4"/>
      <c r="H234" s="4"/>
      <c r="I234" s="4"/>
      <c r="J234" s="4"/>
      <c r="K234" s="4"/>
      <c r="L234" s="4"/>
      <c r="M234" s="4"/>
    </row>
    <row r="235" ht="14.25" customHeight="1">
      <c r="A235" s="397"/>
      <c r="B235" s="397"/>
      <c r="C235" s="397"/>
      <c r="D235" s="398"/>
      <c r="E235" s="4"/>
      <c r="F235" s="4"/>
      <c r="G235" s="4"/>
      <c r="H235" s="4"/>
      <c r="I235" s="4"/>
      <c r="J235" s="4"/>
      <c r="K235" s="4"/>
      <c r="L235" s="4"/>
      <c r="M235" s="4"/>
    </row>
    <row r="236" ht="14.25" customHeight="1">
      <c r="A236" s="397"/>
      <c r="B236" s="397"/>
      <c r="C236" s="397"/>
      <c r="D236" s="398"/>
      <c r="E236" s="4"/>
      <c r="F236" s="4"/>
      <c r="G236" s="4"/>
      <c r="H236" s="4"/>
      <c r="I236" s="4"/>
      <c r="J236" s="4"/>
      <c r="K236" s="4"/>
      <c r="L236" s="4"/>
      <c r="M236" s="4"/>
    </row>
    <row r="237" ht="14.25" customHeight="1">
      <c r="A237" s="397"/>
      <c r="B237" s="397"/>
      <c r="C237" s="397"/>
      <c r="D237" s="398"/>
      <c r="E237" s="4"/>
      <c r="F237" s="4"/>
      <c r="G237" s="4"/>
      <c r="H237" s="4"/>
      <c r="I237" s="4"/>
      <c r="J237" s="4"/>
      <c r="K237" s="4"/>
      <c r="L237" s="4"/>
      <c r="M237" s="4"/>
    </row>
    <row r="238" ht="14.25" customHeight="1">
      <c r="A238" s="397"/>
      <c r="B238" s="397"/>
      <c r="C238" s="397"/>
      <c r="D238" s="398"/>
      <c r="E238" s="4"/>
      <c r="F238" s="4"/>
      <c r="G238" s="4"/>
      <c r="H238" s="4"/>
      <c r="I238" s="4"/>
      <c r="J238" s="4"/>
      <c r="K238" s="4"/>
      <c r="L238" s="4"/>
      <c r="M238" s="4"/>
    </row>
    <row r="239" ht="14.25" customHeight="1">
      <c r="A239" s="397"/>
      <c r="B239" s="397"/>
      <c r="C239" s="397"/>
      <c r="D239" s="398"/>
      <c r="E239" s="4"/>
      <c r="F239" s="4"/>
      <c r="G239" s="4"/>
      <c r="H239" s="4"/>
      <c r="I239" s="4"/>
      <c r="J239" s="4"/>
      <c r="K239" s="4"/>
      <c r="L239" s="4"/>
      <c r="M239" s="4"/>
    </row>
    <row r="240" ht="14.25" customHeight="1">
      <c r="A240" s="397"/>
      <c r="B240" s="397"/>
      <c r="C240" s="397"/>
      <c r="D240" s="398"/>
      <c r="E240" s="4"/>
      <c r="F240" s="4"/>
      <c r="G240" s="4"/>
      <c r="H240" s="4"/>
      <c r="I240" s="4"/>
      <c r="J240" s="4"/>
      <c r="K240" s="4"/>
      <c r="L240" s="4"/>
      <c r="M240" s="4"/>
    </row>
    <row r="241" ht="14.25" customHeight="1">
      <c r="A241" s="397"/>
      <c r="B241" s="397"/>
      <c r="C241" s="397"/>
      <c r="D241" s="398"/>
      <c r="E241" s="4"/>
      <c r="F241" s="4"/>
      <c r="G241" s="4"/>
      <c r="H241" s="4"/>
      <c r="I241" s="4"/>
      <c r="J241" s="4"/>
      <c r="K241" s="4"/>
      <c r="L241" s="4"/>
      <c r="M241" s="4"/>
    </row>
    <row r="242" ht="14.25" customHeight="1">
      <c r="A242" s="397"/>
      <c r="B242" s="397"/>
      <c r="C242" s="397"/>
      <c r="D242" s="398"/>
      <c r="E242" s="4"/>
      <c r="F242" s="4"/>
      <c r="G242" s="4"/>
      <c r="H242" s="4"/>
      <c r="I242" s="4"/>
      <c r="J242" s="4"/>
      <c r="K242" s="4"/>
      <c r="L242" s="4"/>
      <c r="M242" s="4"/>
    </row>
    <row r="243" ht="14.25" customHeight="1">
      <c r="A243" s="397"/>
      <c r="B243" s="397"/>
      <c r="C243" s="397"/>
      <c r="D243" s="398"/>
      <c r="E243" s="4"/>
      <c r="F243" s="4"/>
      <c r="G243" s="4"/>
      <c r="H243" s="4"/>
      <c r="I243" s="4"/>
      <c r="J243" s="4"/>
      <c r="K243" s="4"/>
      <c r="L243" s="4"/>
      <c r="M243" s="4"/>
    </row>
    <row r="244" ht="14.25" customHeight="1">
      <c r="A244" s="397"/>
      <c r="B244" s="397"/>
      <c r="C244" s="397"/>
      <c r="D244" s="398"/>
      <c r="E244" s="4"/>
      <c r="F244" s="4"/>
      <c r="G244" s="4"/>
      <c r="H244" s="4"/>
      <c r="I244" s="4"/>
      <c r="J244" s="4"/>
      <c r="K244" s="4"/>
      <c r="L244" s="4"/>
      <c r="M244" s="4"/>
    </row>
    <row r="245" ht="14.25" customHeight="1">
      <c r="A245" s="397"/>
      <c r="B245" s="397"/>
      <c r="C245" s="397"/>
      <c r="D245" s="398"/>
      <c r="E245" s="4"/>
      <c r="F245" s="4"/>
      <c r="G245" s="4"/>
      <c r="H245" s="4"/>
      <c r="I245" s="4"/>
      <c r="J245" s="4"/>
      <c r="K245" s="4"/>
      <c r="L245" s="4"/>
      <c r="M245" s="4"/>
    </row>
    <row r="246" ht="14.25" customHeight="1">
      <c r="A246" s="397"/>
      <c r="B246" s="397"/>
      <c r="C246" s="397"/>
      <c r="D246" s="398"/>
      <c r="E246" s="4"/>
      <c r="F246" s="4"/>
      <c r="G246" s="4"/>
      <c r="H246" s="4"/>
      <c r="I246" s="4"/>
      <c r="J246" s="4"/>
      <c r="K246" s="4"/>
      <c r="L246" s="4"/>
      <c r="M246" s="4"/>
    </row>
    <row r="247" ht="14.25" customHeight="1">
      <c r="A247" s="397"/>
      <c r="B247" s="397"/>
      <c r="C247" s="397"/>
      <c r="D247" s="398"/>
      <c r="E247" s="4"/>
      <c r="F247" s="4"/>
      <c r="G247" s="4"/>
      <c r="H247" s="4"/>
      <c r="I247" s="4"/>
      <c r="J247" s="4"/>
      <c r="K247" s="4"/>
      <c r="L247" s="4"/>
      <c r="M247" s="4"/>
    </row>
    <row r="248" ht="14.25" customHeight="1">
      <c r="A248" s="397"/>
      <c r="B248" s="397"/>
      <c r="C248" s="397"/>
      <c r="D248" s="398"/>
      <c r="E248" s="4"/>
      <c r="F248" s="4"/>
      <c r="G248" s="4"/>
      <c r="H248" s="4"/>
      <c r="I248" s="4"/>
      <c r="J248" s="4"/>
      <c r="K248" s="4"/>
      <c r="L248" s="4"/>
      <c r="M248" s="4"/>
    </row>
    <row r="249" ht="14.25" customHeight="1">
      <c r="A249" s="397"/>
      <c r="B249" s="397"/>
      <c r="C249" s="397"/>
      <c r="D249" s="398"/>
      <c r="E249" s="4"/>
      <c r="F249" s="4"/>
      <c r="G249" s="4"/>
      <c r="H249" s="4"/>
      <c r="I249" s="4"/>
      <c r="J249" s="4"/>
      <c r="K249" s="4"/>
      <c r="L249" s="4"/>
      <c r="M249" s="4"/>
    </row>
    <row r="250" ht="14.25" customHeight="1">
      <c r="A250" s="397"/>
      <c r="B250" s="397"/>
      <c r="C250" s="397"/>
      <c r="D250" s="398"/>
      <c r="E250" s="4"/>
      <c r="F250" s="4"/>
      <c r="G250" s="4"/>
      <c r="H250" s="4"/>
      <c r="I250" s="4"/>
      <c r="J250" s="4"/>
      <c r="K250" s="4"/>
      <c r="L250" s="4"/>
      <c r="M250" s="4"/>
    </row>
    <row r="251" ht="14.25" customHeight="1">
      <c r="A251" s="397"/>
      <c r="B251" s="397"/>
      <c r="C251" s="397"/>
      <c r="D251" s="398"/>
      <c r="E251" s="4"/>
      <c r="F251" s="4"/>
      <c r="G251" s="4"/>
      <c r="H251" s="4"/>
      <c r="I251" s="4"/>
      <c r="J251" s="4"/>
      <c r="K251" s="4"/>
      <c r="L251" s="4"/>
      <c r="M251" s="4"/>
    </row>
    <row r="252" ht="14.25" customHeight="1">
      <c r="A252" s="397"/>
      <c r="B252" s="397"/>
      <c r="C252" s="397"/>
      <c r="D252" s="398"/>
      <c r="E252" s="4"/>
      <c r="F252" s="4"/>
      <c r="G252" s="4"/>
      <c r="H252" s="4"/>
      <c r="I252" s="4"/>
      <c r="J252" s="4"/>
      <c r="K252" s="4"/>
      <c r="L252" s="4"/>
      <c r="M252" s="4"/>
    </row>
    <row r="253" ht="14.25" customHeight="1">
      <c r="A253" s="397"/>
      <c r="B253" s="397"/>
      <c r="C253" s="397"/>
      <c r="D253" s="398"/>
      <c r="E253" s="4"/>
      <c r="F253" s="4"/>
      <c r="G253" s="4"/>
      <c r="H253" s="4"/>
      <c r="I253" s="4"/>
      <c r="J253" s="4"/>
      <c r="K253" s="4"/>
      <c r="L253" s="4"/>
      <c r="M253" s="4"/>
    </row>
    <row r="254" ht="14.25" customHeight="1">
      <c r="A254" s="397"/>
      <c r="B254" s="397"/>
      <c r="C254" s="397"/>
      <c r="D254" s="398"/>
      <c r="E254" s="4"/>
      <c r="F254" s="4"/>
      <c r="G254" s="4"/>
      <c r="H254" s="4"/>
      <c r="I254" s="4"/>
      <c r="J254" s="4"/>
      <c r="K254" s="4"/>
      <c r="L254" s="4"/>
      <c r="M254" s="4"/>
    </row>
    <row r="255" ht="14.25" customHeight="1">
      <c r="A255" s="397"/>
      <c r="B255" s="397"/>
      <c r="C255" s="397"/>
      <c r="D255" s="398"/>
      <c r="E255" s="4"/>
      <c r="F255" s="4"/>
      <c r="G255" s="4"/>
      <c r="H255" s="4"/>
      <c r="I255" s="4"/>
      <c r="J255" s="4"/>
      <c r="K255" s="4"/>
      <c r="L255" s="4"/>
      <c r="M255" s="4"/>
    </row>
    <row r="256" ht="14.25" customHeight="1">
      <c r="A256" s="397"/>
      <c r="B256" s="397"/>
      <c r="C256" s="397"/>
      <c r="D256" s="398"/>
      <c r="E256" s="4"/>
      <c r="F256" s="4"/>
      <c r="G256" s="4"/>
      <c r="H256" s="4"/>
      <c r="I256" s="4"/>
      <c r="J256" s="4"/>
      <c r="K256" s="4"/>
      <c r="L256" s="4"/>
      <c r="M256" s="4"/>
    </row>
    <row r="257" ht="14.25" customHeight="1">
      <c r="A257" s="397"/>
      <c r="B257" s="397"/>
      <c r="C257" s="397"/>
      <c r="D257" s="398"/>
      <c r="E257" s="4"/>
      <c r="F257" s="4"/>
      <c r="G257" s="4"/>
      <c r="H257" s="4"/>
      <c r="I257" s="4"/>
      <c r="J257" s="4"/>
      <c r="K257" s="4"/>
      <c r="L257" s="4"/>
      <c r="M257" s="4"/>
    </row>
    <row r="258" ht="14.25" customHeight="1">
      <c r="A258" s="397"/>
      <c r="B258" s="397"/>
      <c r="C258" s="397"/>
      <c r="D258" s="398"/>
      <c r="E258" s="4"/>
      <c r="F258" s="4"/>
      <c r="G258" s="4"/>
      <c r="H258" s="4"/>
      <c r="I258" s="4"/>
      <c r="J258" s="4"/>
      <c r="K258" s="4"/>
      <c r="L258" s="4"/>
      <c r="M258" s="4"/>
    </row>
    <row r="259" ht="14.25" customHeight="1">
      <c r="A259" s="397"/>
      <c r="B259" s="397"/>
      <c r="C259" s="397"/>
      <c r="D259" s="398"/>
      <c r="E259" s="4"/>
      <c r="F259" s="4"/>
      <c r="G259" s="4"/>
      <c r="H259" s="4"/>
      <c r="I259" s="4"/>
      <c r="J259" s="4"/>
      <c r="K259" s="4"/>
      <c r="L259" s="4"/>
      <c r="M259" s="4"/>
    </row>
    <row r="260" ht="14.25" customHeight="1">
      <c r="A260" s="397"/>
      <c r="B260" s="397"/>
      <c r="C260" s="397"/>
      <c r="D260" s="398"/>
      <c r="E260" s="4"/>
      <c r="F260" s="4"/>
      <c r="G260" s="4"/>
      <c r="H260" s="4"/>
      <c r="I260" s="4"/>
      <c r="J260" s="4"/>
      <c r="K260" s="4"/>
      <c r="L260" s="4"/>
      <c r="M260" s="4"/>
    </row>
    <row r="261" ht="14.25" customHeight="1">
      <c r="A261" s="397"/>
      <c r="B261" s="397"/>
      <c r="C261" s="397"/>
      <c r="D261" s="398"/>
      <c r="E261" s="4"/>
      <c r="F261" s="4"/>
      <c r="G261" s="4"/>
      <c r="H261" s="4"/>
      <c r="I261" s="4"/>
      <c r="J261" s="4"/>
      <c r="K261" s="4"/>
      <c r="L261" s="4"/>
      <c r="M261" s="4"/>
    </row>
    <row r="262" ht="14.25" customHeight="1">
      <c r="A262" s="397"/>
      <c r="B262" s="397"/>
      <c r="C262" s="397"/>
      <c r="D262" s="398"/>
      <c r="E262" s="4"/>
      <c r="F262" s="4"/>
      <c r="G262" s="4"/>
      <c r="H262" s="4"/>
      <c r="I262" s="4"/>
      <c r="J262" s="4"/>
      <c r="K262" s="4"/>
      <c r="L262" s="4"/>
      <c r="M262" s="4"/>
    </row>
    <row r="263" ht="14.25" customHeight="1">
      <c r="A263" s="397"/>
      <c r="B263" s="397"/>
      <c r="C263" s="397"/>
      <c r="D263" s="398"/>
      <c r="E263" s="4"/>
      <c r="F263" s="4"/>
      <c r="G263" s="4"/>
      <c r="H263" s="4"/>
      <c r="I263" s="4"/>
      <c r="J263" s="4"/>
      <c r="K263" s="4"/>
      <c r="L263" s="4"/>
      <c r="M263" s="4"/>
    </row>
    <row r="264" ht="14.25" customHeight="1">
      <c r="A264" s="397"/>
      <c r="B264" s="397"/>
      <c r="C264" s="397"/>
      <c r="D264" s="398"/>
      <c r="E264" s="4"/>
      <c r="F264" s="4"/>
      <c r="G264" s="4"/>
      <c r="H264" s="4"/>
      <c r="I264" s="4"/>
      <c r="J264" s="4"/>
      <c r="K264" s="4"/>
      <c r="L264" s="4"/>
      <c r="M264" s="4"/>
    </row>
    <row r="265" ht="14.25" customHeight="1">
      <c r="A265" s="397"/>
      <c r="B265" s="397"/>
      <c r="C265" s="397"/>
      <c r="D265" s="398"/>
      <c r="E265" s="4"/>
      <c r="F265" s="4"/>
      <c r="G265" s="4"/>
      <c r="H265" s="4"/>
      <c r="I265" s="4"/>
      <c r="J265" s="4"/>
      <c r="K265" s="4"/>
      <c r="L265" s="4"/>
      <c r="M265" s="4"/>
    </row>
    <row r="266" ht="14.25" customHeight="1">
      <c r="A266" s="397"/>
      <c r="B266" s="397"/>
      <c r="C266" s="397"/>
      <c r="D266" s="398"/>
      <c r="E266" s="4"/>
      <c r="F266" s="4"/>
      <c r="G266" s="4"/>
      <c r="H266" s="4"/>
      <c r="I266" s="4"/>
      <c r="J266" s="4"/>
      <c r="K266" s="4"/>
      <c r="L266" s="4"/>
      <c r="M266" s="4"/>
    </row>
    <row r="267" ht="14.25" customHeight="1">
      <c r="A267" s="397"/>
      <c r="B267" s="397"/>
      <c r="C267" s="397"/>
      <c r="D267" s="398"/>
      <c r="E267" s="4"/>
      <c r="F267" s="4"/>
      <c r="G267" s="4"/>
      <c r="H267" s="4"/>
      <c r="I267" s="4"/>
      <c r="J267" s="4"/>
      <c r="K267" s="4"/>
      <c r="L267" s="4"/>
      <c r="M267" s="4"/>
    </row>
    <row r="268" ht="14.25" customHeight="1">
      <c r="A268" s="397"/>
      <c r="B268" s="397"/>
      <c r="C268" s="397"/>
      <c r="D268" s="398"/>
      <c r="E268" s="4"/>
      <c r="F268" s="4"/>
      <c r="G268" s="4"/>
      <c r="H268" s="4"/>
      <c r="I268" s="4"/>
      <c r="J268" s="4"/>
      <c r="K268" s="4"/>
      <c r="L268" s="4"/>
      <c r="M268" s="4"/>
    </row>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A17:A18"/>
    <mergeCell ref="D29:D31"/>
    <mergeCell ref="A42:D42"/>
    <mergeCell ref="A56:D56"/>
    <mergeCell ref="A1:D1"/>
    <mergeCell ref="F1:G1"/>
    <mergeCell ref="K1:M1"/>
    <mergeCell ref="F2:G2"/>
    <mergeCell ref="A3:D3"/>
    <mergeCell ref="F6:M15"/>
    <mergeCell ref="A12:D12"/>
  </mergeCells>
  <conditionalFormatting sqref="B67">
    <cfRule type="cellIs" dxfId="1" priority="1" operator="lessThan">
      <formula>$B$68</formula>
    </cfRule>
  </conditionalFormatting>
  <conditionalFormatting sqref="B67">
    <cfRule type="cellIs" dxfId="2" priority="2" operator="greaterThanOrEqual">
      <formula>$B$68</formula>
    </cfRule>
  </conditionalFormatting>
  <hyperlinks>
    <hyperlink r:id="rId1" ref="D8"/>
    <hyperlink r:id="rId2" ref="D25"/>
    <hyperlink r:id="rId3" ref="D35"/>
    <hyperlink r:id="rId4" ref="D36"/>
  </hyperlinks>
  <printOptions/>
  <pageMargins bottom="0.75" footer="0.0" header="0.0" left="0.25" right="0.25" top="0.75"/>
  <pageSetup orientation="landscape"/>
  <drawing r:id="rId5"/>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5588"/>
    <pageSetUpPr/>
  </sheetPr>
  <sheetViews>
    <sheetView showGridLines="0" workbookViewId="0"/>
  </sheetViews>
  <sheetFormatPr customHeight="1" defaultColWidth="12.63" defaultRowHeight="15.0" outlineLevelRow="1"/>
  <cols>
    <col customWidth="1" min="1" max="1" width="27.0"/>
    <col customWidth="1" min="2" max="2" width="15.88"/>
    <col customWidth="1" min="3" max="3" width="8.88"/>
    <col customWidth="1" min="4" max="4" width="74.0"/>
    <col customWidth="1" min="5" max="5" width="1.63"/>
    <col customWidth="1" min="6" max="6" width="7.5"/>
    <col customWidth="1" min="7" max="7" width="9.88"/>
    <col customWidth="1" min="8" max="8" width="1.63"/>
    <col customWidth="1" min="9" max="9" width="17.13"/>
    <col customWidth="1" min="10" max="10" width="1.75"/>
    <col customWidth="1" min="11" max="13" width="7.5"/>
  </cols>
  <sheetData>
    <row r="1" ht="14.25" customHeight="1">
      <c r="A1" s="322" t="s">
        <v>485</v>
      </c>
      <c r="B1" s="8"/>
      <c r="C1" s="8"/>
      <c r="D1" s="10"/>
      <c r="E1" s="4"/>
      <c r="F1" s="320" t="s">
        <v>486</v>
      </c>
      <c r="G1" s="319"/>
      <c r="H1" s="4"/>
      <c r="I1" s="321" t="s">
        <v>8</v>
      </c>
      <c r="J1" s="4"/>
      <c r="K1" s="322" t="s">
        <v>487</v>
      </c>
      <c r="L1" s="8"/>
      <c r="M1" s="10"/>
    </row>
    <row r="2" ht="14.25" customHeight="1">
      <c r="A2" s="406" t="s">
        <v>488</v>
      </c>
      <c r="B2" s="407" t="s">
        <v>32</v>
      </c>
      <c r="C2" s="407" t="s">
        <v>489</v>
      </c>
      <c r="D2" s="408" t="s">
        <v>490</v>
      </c>
      <c r="E2" s="4"/>
      <c r="F2" s="327" t="s">
        <v>492</v>
      </c>
      <c r="G2" s="329"/>
      <c r="H2" s="4"/>
      <c r="I2" s="330" t="s">
        <v>49</v>
      </c>
      <c r="J2" s="4"/>
      <c r="K2" s="4" t="s">
        <v>493</v>
      </c>
      <c r="L2" s="4"/>
      <c r="M2" s="4"/>
    </row>
    <row r="3" ht="14.25" customHeight="1">
      <c r="A3" s="332" t="s">
        <v>666</v>
      </c>
      <c r="B3" s="333"/>
      <c r="C3" s="333"/>
      <c r="D3" s="329"/>
      <c r="E3" s="4"/>
      <c r="F3" s="145" t="s">
        <v>495</v>
      </c>
      <c r="G3" s="334" t="s">
        <v>497</v>
      </c>
      <c r="H3" s="4"/>
      <c r="I3" s="409" t="s">
        <v>51</v>
      </c>
      <c r="J3" s="4"/>
      <c r="K3" s="4"/>
      <c r="L3" s="4"/>
      <c r="M3" s="4"/>
    </row>
    <row r="4" ht="14.25" customHeight="1">
      <c r="A4" s="337" t="s">
        <v>667</v>
      </c>
      <c r="B4" s="410">
        <v>10.0</v>
      </c>
      <c r="C4" s="340" t="s">
        <v>531</v>
      </c>
      <c r="D4" s="341" t="s">
        <v>504</v>
      </c>
      <c r="E4" s="4"/>
      <c r="F4" s="342" t="s">
        <v>505</v>
      </c>
      <c r="G4" s="343" t="s">
        <v>506</v>
      </c>
      <c r="H4" s="4"/>
      <c r="I4" s="411" t="s">
        <v>668</v>
      </c>
      <c r="J4" s="4"/>
      <c r="K4" s="4"/>
      <c r="L4" s="4"/>
      <c r="M4" s="4"/>
    </row>
    <row r="5" ht="14.25" customHeight="1">
      <c r="A5" s="337" t="s">
        <v>669</v>
      </c>
      <c r="B5" s="346">
        <f>'Orbit Info'!G4</f>
        <v>6378</v>
      </c>
      <c r="C5" s="340" t="s">
        <v>37</v>
      </c>
      <c r="D5" s="341"/>
      <c r="E5" s="4"/>
      <c r="F5" s="4"/>
      <c r="G5" s="348"/>
      <c r="H5" s="4"/>
      <c r="I5" s="349"/>
      <c r="J5" s="4"/>
      <c r="K5" s="4"/>
      <c r="L5" s="4"/>
      <c r="M5" s="4"/>
    </row>
    <row r="6" ht="14.25" customHeight="1">
      <c r="A6" s="337" t="s">
        <v>516</v>
      </c>
      <c r="B6" s="346">
        <f>'Orbit Info'!G3</f>
        <v>500</v>
      </c>
      <c r="C6" s="340" t="s">
        <v>37</v>
      </c>
      <c r="D6" s="341"/>
      <c r="E6" s="4"/>
      <c r="F6" s="4"/>
      <c r="G6" s="4"/>
      <c r="H6" s="4"/>
      <c r="I6" s="4"/>
      <c r="J6" s="4"/>
      <c r="K6" s="4"/>
      <c r="L6" s="4"/>
      <c r="M6" s="4"/>
    </row>
    <row r="7" ht="14.25" customHeight="1">
      <c r="A7" s="337" t="s">
        <v>672</v>
      </c>
      <c r="B7" s="410">
        <v>0.143</v>
      </c>
      <c r="C7" s="340" t="s">
        <v>37</v>
      </c>
      <c r="D7" s="341" t="s">
        <v>723</v>
      </c>
      <c r="E7" s="4"/>
      <c r="F7" s="4"/>
      <c r="G7" s="4"/>
      <c r="H7" s="4"/>
      <c r="I7" s="4"/>
      <c r="J7" s="4"/>
      <c r="K7" s="4"/>
      <c r="L7" s="4"/>
      <c r="M7" s="4"/>
    </row>
    <row r="8" ht="14.25" customHeight="1">
      <c r="A8" s="412" t="s">
        <v>674</v>
      </c>
      <c r="B8" s="413">
        <v>62.3199</v>
      </c>
      <c r="C8" s="32" t="s">
        <v>531</v>
      </c>
      <c r="D8" s="414" t="s">
        <v>728</v>
      </c>
      <c r="E8" s="4"/>
      <c r="F8" s="4"/>
      <c r="G8" s="4"/>
      <c r="H8" s="4"/>
      <c r="I8" s="4"/>
      <c r="J8" s="4"/>
      <c r="K8" s="4"/>
      <c r="L8" s="4"/>
      <c r="M8" s="4"/>
    </row>
    <row r="9" ht="14.25" customHeight="1">
      <c r="A9" s="337" t="s">
        <v>676</v>
      </c>
      <c r="B9" s="346">
        <v>2.99792458E8</v>
      </c>
      <c r="C9" s="340"/>
      <c r="D9" s="340"/>
      <c r="E9" s="4"/>
      <c r="F9" s="4"/>
      <c r="G9" s="4"/>
      <c r="H9" s="4"/>
      <c r="I9" s="4"/>
      <c r="J9" s="4"/>
      <c r="K9" s="4"/>
      <c r="L9" s="4"/>
      <c r="M9" s="4"/>
    </row>
    <row r="10" ht="14.25" customHeight="1">
      <c r="A10" s="337" t="s">
        <v>677</v>
      </c>
      <c r="B10" s="346">
        <v>1.380649E-23</v>
      </c>
      <c r="C10" s="340" t="s">
        <v>538</v>
      </c>
      <c r="D10" s="340"/>
      <c r="E10" s="4"/>
      <c r="F10" s="4"/>
      <c r="G10" s="4"/>
      <c r="H10" s="4"/>
      <c r="I10" s="4"/>
      <c r="J10" s="4"/>
      <c r="K10" s="4"/>
      <c r="L10" s="4"/>
      <c r="M10" s="4"/>
    </row>
    <row r="11" ht="14.25" customHeight="1">
      <c r="A11" s="337"/>
      <c r="B11" s="382">
        <f>10*LOG10(B10)</f>
        <v>-228.5991672</v>
      </c>
      <c r="C11" s="415" t="s">
        <v>678</v>
      </c>
      <c r="D11" s="415" t="s">
        <v>540</v>
      </c>
      <c r="E11" s="4"/>
      <c r="F11" s="4"/>
      <c r="G11" s="4"/>
      <c r="H11" s="4"/>
      <c r="I11" s="4"/>
      <c r="J11" s="4"/>
      <c r="K11" s="4"/>
      <c r="L11" s="4"/>
      <c r="M11" s="4"/>
    </row>
    <row r="12" ht="14.25" customHeight="1">
      <c r="A12" s="332" t="s">
        <v>735</v>
      </c>
      <c r="B12" s="333"/>
      <c r="C12" s="333"/>
      <c r="D12" s="329"/>
      <c r="E12" s="4"/>
      <c r="F12" s="4"/>
      <c r="G12" s="4"/>
      <c r="H12" s="4"/>
      <c r="I12" s="4"/>
      <c r="J12" s="4"/>
      <c r="K12" s="4"/>
      <c r="L12" s="4"/>
      <c r="M12" s="4"/>
    </row>
    <row r="13" ht="14.25" customHeight="1">
      <c r="A13" s="337" t="s">
        <v>680</v>
      </c>
      <c r="B13" s="410">
        <v>31.6</v>
      </c>
      <c r="C13" s="340" t="s">
        <v>681</v>
      </c>
      <c r="D13" s="341" t="s">
        <v>738</v>
      </c>
      <c r="E13" s="4"/>
      <c r="F13" s="4"/>
      <c r="G13" s="4"/>
      <c r="H13" s="4"/>
      <c r="I13" s="4"/>
      <c r="J13" s="4"/>
      <c r="K13" s="4"/>
      <c r="L13" s="4"/>
      <c r="M13" s="4"/>
    </row>
    <row r="14" ht="14.25" customHeight="1">
      <c r="A14" s="337" t="s">
        <v>683</v>
      </c>
      <c r="B14" s="410">
        <v>1.5</v>
      </c>
      <c r="C14" s="340"/>
      <c r="D14" s="341" t="s">
        <v>739</v>
      </c>
      <c r="E14" s="4"/>
      <c r="F14" s="4"/>
      <c r="G14" s="4"/>
      <c r="H14" s="4"/>
      <c r="I14" s="4"/>
      <c r="J14" s="4"/>
      <c r="K14" s="4"/>
      <c r="L14" s="4"/>
      <c r="M14" s="4"/>
    </row>
    <row r="15" ht="14.25" customHeight="1">
      <c r="A15" s="337" t="s">
        <v>685</v>
      </c>
      <c r="B15" s="416">
        <f>IF(B14=1, -1000000000000, 10*LOG10( ((B14-1)/(B14+1))^2 ) )</f>
        <v>-13.97940009</v>
      </c>
      <c r="C15" s="340" t="s">
        <v>574</v>
      </c>
      <c r="D15" s="341" t="s">
        <v>747</v>
      </c>
      <c r="E15" s="4"/>
      <c r="F15" s="4"/>
      <c r="G15" s="4"/>
      <c r="H15" s="4"/>
      <c r="I15" s="4"/>
      <c r="J15" s="4"/>
      <c r="K15" s="4"/>
      <c r="L15" s="4"/>
      <c r="M15" s="4"/>
    </row>
    <row r="16" ht="14.25" customHeight="1" outlineLevel="1">
      <c r="A16" s="337" t="s">
        <v>687</v>
      </c>
      <c r="B16" s="416">
        <f>10^(B15/10)*B13</f>
        <v>1.264</v>
      </c>
      <c r="C16" s="340" t="s">
        <v>681</v>
      </c>
      <c r="D16" s="439" t="s">
        <v>749</v>
      </c>
      <c r="E16" s="4"/>
      <c r="F16" s="4"/>
      <c r="G16" s="4"/>
      <c r="H16" s="4"/>
      <c r="I16" s="4"/>
      <c r="J16" s="4"/>
      <c r="K16" s="4"/>
      <c r="L16" s="4"/>
      <c r="M16" s="4"/>
    </row>
    <row r="17" ht="14.25" customHeight="1">
      <c r="A17" s="337" t="s">
        <v>689</v>
      </c>
      <c r="B17" s="381">
        <f>10*LOG10(B13-B16)</f>
        <v>14.81958316</v>
      </c>
      <c r="C17" s="340" t="s">
        <v>690</v>
      </c>
      <c r="D17" s="341"/>
      <c r="E17" s="4"/>
      <c r="F17" s="4"/>
      <c r="G17" s="4"/>
      <c r="H17" s="4"/>
      <c r="I17" s="4"/>
      <c r="J17" s="4"/>
      <c r="K17" s="4"/>
      <c r="L17" s="4"/>
      <c r="M17" s="4"/>
    </row>
    <row r="18" ht="14.25" customHeight="1">
      <c r="A18" s="337" t="s">
        <v>18</v>
      </c>
      <c r="B18" s="410">
        <v>2.025</v>
      </c>
      <c r="C18" s="340" t="s">
        <v>543</v>
      </c>
      <c r="D18" s="341" t="s">
        <v>751</v>
      </c>
      <c r="E18" s="4"/>
      <c r="F18" s="4"/>
      <c r="G18" s="4"/>
      <c r="H18" s="4"/>
      <c r="I18" s="4"/>
      <c r="J18" s="4"/>
      <c r="K18" s="4"/>
      <c r="L18" s="4"/>
      <c r="M18" s="4"/>
    </row>
    <row r="19" ht="14.25" customHeight="1" outlineLevel="1">
      <c r="A19" s="337" t="s">
        <v>553</v>
      </c>
      <c r="B19" s="416">
        <f>B9/(B18*1000000000)</f>
        <v>0.1480456583</v>
      </c>
      <c r="C19" s="340" t="s">
        <v>475</v>
      </c>
      <c r="D19" s="341" t="s">
        <v>693</v>
      </c>
      <c r="E19" s="4"/>
      <c r="F19" s="4"/>
      <c r="G19" s="4"/>
      <c r="H19" s="4"/>
      <c r="I19" s="4"/>
      <c r="J19" s="4"/>
      <c r="K19" s="4"/>
      <c r="L19" s="4"/>
      <c r="M19" s="4"/>
    </row>
    <row r="20" ht="14.25" customHeight="1">
      <c r="A20" s="337" t="s">
        <v>546</v>
      </c>
      <c r="B20" s="410">
        <v>1.0</v>
      </c>
      <c r="C20" s="340" t="s">
        <v>548</v>
      </c>
      <c r="D20" s="341" t="s">
        <v>550</v>
      </c>
      <c r="E20" s="4"/>
      <c r="F20" s="34"/>
      <c r="G20" s="4"/>
      <c r="H20" s="4"/>
      <c r="I20" s="4"/>
      <c r="J20" s="4"/>
      <c r="K20" s="4"/>
      <c r="L20" s="4"/>
      <c r="M20" s="4"/>
    </row>
    <row r="21" ht="14.25" customHeight="1">
      <c r="A21" s="337" t="s">
        <v>594</v>
      </c>
      <c r="B21" s="346">
        <f>'Link Budget, Downlink'!B43</f>
        <v>3.7</v>
      </c>
      <c r="C21" s="378" t="s">
        <v>734</v>
      </c>
      <c r="D21" s="341" t="s">
        <v>760</v>
      </c>
      <c r="E21" s="4"/>
      <c r="F21" s="34"/>
      <c r="G21" s="4"/>
      <c r="H21" s="4"/>
      <c r="I21" s="4"/>
      <c r="J21" s="4"/>
      <c r="K21" s="4"/>
      <c r="L21" s="4"/>
      <c r="M21" s="4"/>
    </row>
    <row r="22" ht="14.25" customHeight="1">
      <c r="A22" s="337" t="s">
        <v>597</v>
      </c>
      <c r="B22" s="346">
        <v>48.0</v>
      </c>
      <c r="C22" s="378" t="s">
        <v>156</v>
      </c>
      <c r="D22" s="341" t="s">
        <v>737</v>
      </c>
      <c r="E22" s="4"/>
      <c r="F22" s="34"/>
      <c r="G22" s="421"/>
      <c r="H22" s="4"/>
      <c r="I22" s="4"/>
      <c r="J22" s="4"/>
      <c r="K22" s="4"/>
      <c r="L22" s="4"/>
      <c r="M22" s="4"/>
    </row>
    <row r="23" ht="14.25" customHeight="1">
      <c r="A23" s="337" t="s">
        <v>570</v>
      </c>
      <c r="B23" s="381">
        <f>10*LOG((B22/100)*(PI()*B21/B19)^2)</f>
        <v>34.7115308</v>
      </c>
      <c r="C23" s="340" t="s">
        <v>571</v>
      </c>
      <c r="D23" s="341" t="s">
        <v>769</v>
      </c>
      <c r="E23" s="4"/>
      <c r="F23" s="34"/>
      <c r="G23" s="34"/>
      <c r="H23" s="4"/>
      <c r="I23" s="4"/>
      <c r="J23" s="4"/>
      <c r="K23" s="4"/>
      <c r="L23" s="4"/>
      <c r="M23" s="4"/>
    </row>
    <row r="24" ht="14.25" customHeight="1" outlineLevel="1">
      <c r="A24" s="337" t="s">
        <v>696</v>
      </c>
      <c r="B24" s="382">
        <f>21/(B18*B21)</f>
        <v>2.802802803</v>
      </c>
      <c r="C24" s="340" t="s">
        <v>531</v>
      </c>
      <c r="D24" s="341" t="s">
        <v>774</v>
      </c>
      <c r="E24" s="4"/>
      <c r="F24" s="4"/>
      <c r="G24" s="4"/>
      <c r="H24" s="4"/>
      <c r="I24" s="4"/>
      <c r="J24" s="4"/>
      <c r="K24" s="4"/>
      <c r="L24" s="4"/>
      <c r="M24" s="4"/>
    </row>
    <row r="25" ht="14.25" customHeight="1">
      <c r="A25" s="337" t="s">
        <v>743</v>
      </c>
      <c r="B25" s="410">
        <v>-1.0</v>
      </c>
      <c r="C25" s="340" t="s">
        <v>574</v>
      </c>
      <c r="D25" s="341" t="s">
        <v>775</v>
      </c>
      <c r="E25" s="4"/>
      <c r="F25" s="4"/>
      <c r="G25" s="4"/>
      <c r="H25" s="4"/>
      <c r="I25" s="4"/>
      <c r="J25" s="4"/>
      <c r="K25" s="4"/>
      <c r="L25" s="4"/>
      <c r="M25" s="4"/>
    </row>
    <row r="26" ht="14.25" customHeight="1">
      <c r="A26" s="337" t="s">
        <v>745</v>
      </c>
      <c r="B26" s="410">
        <v>-3.0</v>
      </c>
      <c r="C26" s="378" t="s">
        <v>574</v>
      </c>
      <c r="D26" s="341" t="s">
        <v>777</v>
      </c>
      <c r="E26" s="4"/>
      <c r="F26" s="4"/>
      <c r="G26" s="4"/>
      <c r="H26" s="4"/>
      <c r="I26" s="4"/>
      <c r="J26" s="4"/>
      <c r="K26" s="4"/>
      <c r="L26" s="4"/>
      <c r="M26" s="4"/>
    </row>
    <row r="27" ht="14.25" customHeight="1">
      <c r="A27" s="337" t="s">
        <v>702</v>
      </c>
      <c r="B27" s="410">
        <v>-1.0</v>
      </c>
      <c r="C27" s="340" t="s">
        <v>574</v>
      </c>
      <c r="D27" s="341" t="s">
        <v>703</v>
      </c>
      <c r="E27" s="4"/>
      <c r="F27" s="4"/>
      <c r="G27" s="4"/>
      <c r="H27" s="4"/>
      <c r="I27" s="4"/>
      <c r="J27" s="4"/>
      <c r="K27" s="4"/>
      <c r="L27" s="4"/>
      <c r="M27" s="4"/>
    </row>
    <row r="28" ht="14.25" customHeight="1">
      <c r="A28" s="340" t="s">
        <v>578</v>
      </c>
      <c r="B28" s="444">
        <f>SUM(B17,B23,B25, B26,B27)</f>
        <v>44.53111396</v>
      </c>
      <c r="C28" s="446" t="s">
        <v>690</v>
      </c>
      <c r="D28" s="340"/>
      <c r="E28" s="4"/>
      <c r="F28" s="4"/>
      <c r="G28" s="4"/>
      <c r="H28" s="4"/>
      <c r="I28" s="4"/>
      <c r="J28" s="4"/>
      <c r="K28" s="4"/>
      <c r="L28" s="4"/>
      <c r="M28" s="4"/>
    </row>
    <row r="29" ht="14.25" customHeight="1">
      <c r="A29" s="340" t="s">
        <v>704</v>
      </c>
      <c r="B29" s="444">
        <f>B28+10*LOG10(1000)</f>
        <v>74.53111396</v>
      </c>
      <c r="C29" s="446" t="s">
        <v>567</v>
      </c>
      <c r="D29" s="340" t="s">
        <v>705</v>
      </c>
      <c r="E29" s="4"/>
      <c r="F29" s="4"/>
      <c r="G29" s="4"/>
      <c r="H29" s="4"/>
      <c r="I29" s="4"/>
      <c r="J29" s="4"/>
      <c r="K29" s="4"/>
      <c r="L29" s="4"/>
      <c r="M29" s="4"/>
    </row>
    <row r="30" ht="14.25" customHeight="1" outlineLevel="1">
      <c r="A30" s="337" t="s">
        <v>706</v>
      </c>
      <c r="B30" s="381">
        <v>1.0</v>
      </c>
      <c r="C30" s="340"/>
      <c r="D30" s="351" t="s">
        <v>707</v>
      </c>
      <c r="E30" s="4"/>
      <c r="F30" s="4"/>
      <c r="G30" s="4"/>
      <c r="H30" s="4"/>
      <c r="I30" s="4"/>
      <c r="J30" s="4"/>
      <c r="K30" s="4"/>
      <c r="L30" s="4"/>
      <c r="M30" s="4"/>
    </row>
    <row r="31" ht="14.25" customHeight="1" outlineLevel="1">
      <c r="A31" s="337" t="s">
        <v>708</v>
      </c>
      <c r="B31" s="381">
        <f>-2*B5*COS(PI()/2+B4*PI()/180)</f>
        <v>2215.056154</v>
      </c>
      <c r="C31" s="340"/>
      <c r="D31" s="353"/>
      <c r="E31" s="4"/>
      <c r="F31" s="4"/>
      <c r="G31" s="4"/>
      <c r="H31" s="4"/>
      <c r="I31" s="4"/>
      <c r="J31" s="4"/>
      <c r="K31" s="4"/>
      <c r="L31" s="4"/>
      <c r="M31" s="4"/>
    </row>
    <row r="32" ht="14.25" customHeight="1" outlineLevel="1">
      <c r="A32" s="337" t="s">
        <v>709</v>
      </c>
      <c r="B32" s="358">
        <f>B5^2-(B5+B6)^2</f>
        <v>-6628000</v>
      </c>
      <c r="C32" s="340"/>
      <c r="D32" s="355"/>
      <c r="E32" s="4"/>
      <c r="F32" s="4"/>
      <c r="G32" s="4"/>
      <c r="H32" s="4"/>
      <c r="I32" s="4"/>
      <c r="J32" s="4"/>
      <c r="K32" s="4"/>
      <c r="L32" s="4"/>
      <c r="M32" s="4"/>
    </row>
    <row r="33" ht="14.25" customHeight="1">
      <c r="A33" s="337" t="s">
        <v>710</v>
      </c>
      <c r="B33" s="381">
        <f>(-B31+SQRT(B31^2-4*B30*B32))/(2*B30)</f>
        <v>1695.081143</v>
      </c>
      <c r="C33" s="340" t="s">
        <v>37</v>
      </c>
      <c r="D33" s="341" t="s">
        <v>787</v>
      </c>
      <c r="E33" s="4"/>
      <c r="F33" s="4"/>
      <c r="G33" s="4"/>
      <c r="H33" s="4"/>
      <c r="I33" s="4"/>
      <c r="J33" s="4"/>
      <c r="K33" s="4"/>
      <c r="L33" s="4"/>
      <c r="M33" s="4"/>
    </row>
    <row r="34" ht="14.25" customHeight="1">
      <c r="A34" s="337" t="s">
        <v>712</v>
      </c>
      <c r="B34" s="381">
        <f>-10*LOG10((4*PI()*B33*10^3*B18*10^9/B9)^2)</f>
        <v>-163.1600936</v>
      </c>
      <c r="C34" s="340" t="s">
        <v>574</v>
      </c>
      <c r="D34" s="341" t="s">
        <v>788</v>
      </c>
      <c r="E34" s="4"/>
      <c r="F34" s="4"/>
      <c r="G34" s="4"/>
      <c r="H34" s="4"/>
      <c r="I34" s="4"/>
      <c r="J34" s="4"/>
      <c r="K34" s="4"/>
      <c r="L34" s="4"/>
      <c r="M34" s="4"/>
    </row>
    <row r="35" ht="14.25" customHeight="1">
      <c r="A35" s="337" t="s">
        <v>713</v>
      </c>
      <c r="B35" s="346">
        <v>-1.0</v>
      </c>
      <c r="C35" s="340" t="s">
        <v>574</v>
      </c>
      <c r="D35" s="422" t="s">
        <v>789</v>
      </c>
      <c r="E35" s="4"/>
      <c r="F35" s="4"/>
      <c r="G35" s="4"/>
      <c r="H35" s="4"/>
      <c r="I35" s="4"/>
      <c r="J35" s="4"/>
      <c r="K35" s="4"/>
      <c r="L35" s="4"/>
      <c r="M35" s="4"/>
    </row>
    <row r="36" ht="14.25" customHeight="1" outlineLevel="1">
      <c r="A36" s="418" t="s">
        <v>790</v>
      </c>
      <c r="B36" s="423">
        <v>1.46E-4</v>
      </c>
      <c r="C36" s="424"/>
      <c r="D36" s="351" t="s">
        <v>791</v>
      </c>
      <c r="E36" s="4"/>
      <c r="F36" s="4"/>
      <c r="G36" s="4"/>
      <c r="H36" s="4"/>
      <c r="I36" s="4"/>
      <c r="J36" s="4"/>
      <c r="K36" s="4"/>
      <c r="L36" s="4"/>
      <c r="M36" s="4"/>
    </row>
    <row r="37" ht="14.25" customHeight="1" outlineLevel="1">
      <c r="A37" s="418" t="s">
        <v>792</v>
      </c>
      <c r="B37" s="423">
        <v>0.9441</v>
      </c>
      <c r="C37" s="424"/>
      <c r="D37" s="351" t="s">
        <v>793</v>
      </c>
      <c r="E37" s="4"/>
      <c r="F37" s="4"/>
      <c r="G37" s="4"/>
      <c r="H37" s="4"/>
      <c r="I37" s="4"/>
      <c r="J37" s="4"/>
      <c r="K37" s="4"/>
      <c r="L37" s="4"/>
      <c r="M37" s="4"/>
    </row>
    <row r="38" ht="14.25" customHeight="1" outlineLevel="1">
      <c r="A38" s="418" t="s">
        <v>719</v>
      </c>
      <c r="B38" s="423">
        <v>35.0</v>
      </c>
      <c r="C38" s="424" t="s">
        <v>720</v>
      </c>
      <c r="D38" s="351" t="s">
        <v>721</v>
      </c>
      <c r="E38" s="4"/>
      <c r="F38" s="4"/>
      <c r="G38" s="4"/>
      <c r="H38" s="4"/>
      <c r="I38" s="4"/>
      <c r="J38" s="4"/>
      <c r="K38" s="4"/>
      <c r="L38" s="4"/>
      <c r="M38" s="4"/>
    </row>
    <row r="39" ht="14.25" customHeight="1" outlineLevel="1">
      <c r="A39" s="418" t="s">
        <v>722</v>
      </c>
      <c r="B39" s="427">
        <f>B36*B38^B37</f>
        <v>0.004188972376</v>
      </c>
      <c r="C39" s="424" t="s">
        <v>724</v>
      </c>
      <c r="D39" s="351" t="s">
        <v>725</v>
      </c>
      <c r="E39" s="4"/>
      <c r="F39" s="4"/>
      <c r="G39" s="4"/>
      <c r="H39" s="4"/>
      <c r="I39" s="4"/>
      <c r="J39" s="4"/>
      <c r="K39" s="4"/>
      <c r="L39" s="4"/>
      <c r="M39" s="4"/>
    </row>
    <row r="40" ht="14.25" customHeight="1" outlineLevel="1">
      <c r="A40" s="418" t="s">
        <v>726</v>
      </c>
      <c r="B40" s="423">
        <f>5+0.1*(71+B8)</f>
        <v>18.33199</v>
      </c>
      <c r="C40" s="424" t="s">
        <v>37</v>
      </c>
      <c r="D40" s="351" t="s">
        <v>727</v>
      </c>
      <c r="E40" s="4"/>
      <c r="F40" s="4"/>
      <c r="G40" s="4"/>
      <c r="H40" s="4"/>
      <c r="I40" s="4"/>
      <c r="J40" s="4"/>
      <c r="K40" s="4"/>
      <c r="L40" s="4"/>
      <c r="M40" s="4"/>
    </row>
    <row r="41" ht="14.25" customHeight="1" outlineLevel="1">
      <c r="A41" s="418" t="s">
        <v>729</v>
      </c>
      <c r="B41" s="431">
        <f>(B40-B7)/SIN(B4*PI()/180)</f>
        <v>104.7462187</v>
      </c>
      <c r="C41" s="424" t="s">
        <v>37</v>
      </c>
      <c r="D41" s="351" t="s">
        <v>730</v>
      </c>
      <c r="E41" s="4"/>
      <c r="F41" s="4"/>
      <c r="G41" s="4"/>
      <c r="H41" s="4"/>
      <c r="I41" s="4"/>
      <c r="J41" s="4"/>
      <c r="K41" s="4"/>
      <c r="L41" s="4"/>
      <c r="M41" s="4"/>
    </row>
    <row r="42" ht="14.25" customHeight="1">
      <c r="A42" s="393" t="s">
        <v>731</v>
      </c>
      <c r="B42" s="434">
        <f>-ABS(B39*B41)</f>
        <v>-0.4387790168</v>
      </c>
      <c r="C42" s="415" t="s">
        <v>574</v>
      </c>
      <c r="D42" s="396" t="s">
        <v>794</v>
      </c>
      <c r="E42" s="4"/>
      <c r="F42" s="4"/>
      <c r="G42" s="4"/>
      <c r="H42" s="4"/>
      <c r="I42" s="4"/>
      <c r="J42" s="4"/>
      <c r="K42" s="4"/>
      <c r="L42" s="4"/>
      <c r="M42" s="4"/>
    </row>
    <row r="43" ht="14.25" customHeight="1">
      <c r="A43" s="332" t="s">
        <v>795</v>
      </c>
      <c r="B43" s="333"/>
      <c r="C43" s="333"/>
      <c r="D43" s="329"/>
      <c r="E43" s="4"/>
      <c r="F43" s="4"/>
      <c r="G43" s="4"/>
      <c r="H43" s="4"/>
      <c r="I43" s="4"/>
      <c r="J43" s="4"/>
      <c r="K43" s="4"/>
      <c r="L43" s="4"/>
      <c r="M43" s="4"/>
    </row>
    <row r="44" ht="14.25" customHeight="1">
      <c r="A44" s="337" t="s">
        <v>594</v>
      </c>
      <c r="B44" s="346" t="s">
        <v>796</v>
      </c>
      <c r="C44" s="378" t="s">
        <v>734</v>
      </c>
      <c r="D44" s="341"/>
      <c r="E44" s="4"/>
      <c r="F44" s="4"/>
      <c r="G44" s="4"/>
      <c r="H44" s="4"/>
      <c r="I44" s="4"/>
      <c r="J44" s="4"/>
      <c r="K44" s="4"/>
      <c r="L44" s="4"/>
      <c r="M44" s="4"/>
    </row>
    <row r="45" ht="14.25" customHeight="1">
      <c r="A45" s="337" t="s">
        <v>600</v>
      </c>
      <c r="B45" s="392">
        <f>'Link Budget, Downlink'!B22</f>
        <v>5</v>
      </c>
      <c r="C45" s="378" t="s">
        <v>571</v>
      </c>
      <c r="D45" s="341" t="s">
        <v>797</v>
      </c>
      <c r="E45" s="4"/>
      <c r="F45" s="4"/>
      <c r="G45" s="4"/>
      <c r="H45" s="4"/>
      <c r="I45" s="4"/>
      <c r="J45" s="4"/>
      <c r="K45" s="4"/>
      <c r="L45" s="4"/>
      <c r="M45" s="4"/>
    </row>
    <row r="46" ht="14.25" customHeight="1" outlineLevel="1">
      <c r="A46" s="337" t="s">
        <v>798</v>
      </c>
      <c r="B46" s="382">
        <f>'Link Budget, Downlink'!B23</f>
        <v>70</v>
      </c>
      <c r="C46" s="378" t="s">
        <v>531</v>
      </c>
      <c r="D46" s="341" t="s">
        <v>799</v>
      </c>
      <c r="E46" s="4"/>
      <c r="F46" s="4"/>
      <c r="G46" s="4"/>
      <c r="H46" s="4"/>
      <c r="I46" s="4"/>
      <c r="J46" s="4"/>
      <c r="K46" s="4"/>
      <c r="L46" s="4"/>
      <c r="M46" s="4"/>
    </row>
    <row r="47" ht="14.25" customHeight="1">
      <c r="A47" s="337" t="s">
        <v>700</v>
      </c>
      <c r="B47" s="346">
        <f>'Link Budget, Downlink'!B25</f>
        <v>-0.1567346939</v>
      </c>
      <c r="C47" s="378" t="s">
        <v>574</v>
      </c>
      <c r="D47" s="341" t="s">
        <v>800</v>
      </c>
      <c r="E47" s="4"/>
      <c r="F47" s="4"/>
      <c r="G47" s="4"/>
      <c r="H47" s="4"/>
      <c r="I47" s="4"/>
      <c r="J47" s="4"/>
      <c r="K47" s="4"/>
      <c r="L47" s="4"/>
      <c r="M47" s="4"/>
    </row>
    <row r="48" ht="14.25" customHeight="1">
      <c r="A48" s="337" t="s">
        <v>702</v>
      </c>
      <c r="B48" s="410">
        <v>-1.0</v>
      </c>
      <c r="C48" s="378" t="s">
        <v>574</v>
      </c>
      <c r="D48" s="341" t="s">
        <v>703</v>
      </c>
      <c r="E48" s="4"/>
      <c r="F48" s="4"/>
      <c r="G48" s="4"/>
      <c r="H48" s="4"/>
      <c r="I48" s="4"/>
      <c r="J48" s="4"/>
      <c r="K48" s="4"/>
      <c r="L48" s="4"/>
      <c r="M48" s="4"/>
    </row>
    <row r="49" ht="14.25" customHeight="1">
      <c r="A49" s="340" t="s">
        <v>748</v>
      </c>
      <c r="B49" s="444">
        <f>B28+B34+B35+B42+B45+B47+B48</f>
        <v>-116.2244934</v>
      </c>
      <c r="C49" s="441" t="s">
        <v>690</v>
      </c>
      <c r="D49" s="340"/>
      <c r="E49" s="4"/>
      <c r="F49" s="4"/>
      <c r="G49" s="4"/>
      <c r="H49" s="4"/>
      <c r="I49" s="4"/>
      <c r="J49" s="4"/>
      <c r="K49" s="4"/>
      <c r="L49" s="4"/>
      <c r="M49" s="4"/>
    </row>
    <row r="50" ht="14.25" customHeight="1" outlineLevel="1">
      <c r="A50" s="337" t="s">
        <v>752</v>
      </c>
      <c r="B50" s="346">
        <v>5.5</v>
      </c>
      <c r="C50" s="378" t="s">
        <v>574</v>
      </c>
      <c r="D50" s="341" t="s">
        <v>801</v>
      </c>
      <c r="E50" s="4"/>
      <c r="F50" s="4"/>
      <c r="G50" s="4"/>
      <c r="H50" s="4"/>
      <c r="I50" s="4"/>
      <c r="J50" s="4"/>
      <c r="K50" s="4"/>
      <c r="L50" s="4"/>
      <c r="M50" s="4"/>
    </row>
    <row r="51" ht="14.25" customHeight="1">
      <c r="A51" s="337" t="s">
        <v>802</v>
      </c>
      <c r="B51" s="346">
        <v>290.0</v>
      </c>
      <c r="C51" s="378" t="s">
        <v>607</v>
      </c>
      <c r="D51" s="341" t="s">
        <v>803</v>
      </c>
      <c r="E51" s="4"/>
      <c r="F51" s="4"/>
      <c r="G51" s="4"/>
      <c r="H51" s="4"/>
      <c r="I51" s="4"/>
      <c r="J51" s="4"/>
      <c r="K51" s="4"/>
      <c r="L51" s="4"/>
      <c r="M51" s="4"/>
    </row>
    <row r="52" ht="14.25" customHeight="1">
      <c r="D52" s="11"/>
      <c r="E52" s="4"/>
      <c r="F52" s="4"/>
      <c r="G52" s="4"/>
      <c r="H52" s="4"/>
      <c r="I52" s="4"/>
      <c r="J52" s="4"/>
      <c r="K52" s="4"/>
      <c r="L52" s="4"/>
      <c r="M52" s="4"/>
    </row>
    <row r="53" ht="14.25" customHeight="1" outlineLevel="1">
      <c r="A53" s="337" t="s">
        <v>756</v>
      </c>
      <c r="B53" s="382">
        <f>290*(10^(B50/10)-1)+B51</f>
        <v>1028.958829</v>
      </c>
      <c r="C53" s="378" t="s">
        <v>607</v>
      </c>
      <c r="D53" s="341" t="s">
        <v>804</v>
      </c>
      <c r="E53" s="4"/>
      <c r="F53" s="4"/>
      <c r="G53" s="4"/>
      <c r="H53" s="4"/>
      <c r="I53" s="4"/>
      <c r="J53" s="4"/>
      <c r="K53" s="4"/>
      <c r="L53" s="4"/>
      <c r="M53" s="4"/>
    </row>
    <row r="54" ht="14.25" customHeight="1">
      <c r="A54" s="393" t="s">
        <v>758</v>
      </c>
      <c r="B54" s="443">
        <f>10*LOG10(B53)</f>
        <v>30.12397998</v>
      </c>
      <c r="C54" s="395" t="s">
        <v>759</v>
      </c>
      <c r="D54" s="396"/>
      <c r="E54" s="4"/>
      <c r="F54" s="4"/>
      <c r="G54" s="4"/>
      <c r="H54" s="4"/>
      <c r="I54" s="4"/>
      <c r="J54" s="4"/>
      <c r="K54" s="4"/>
      <c r="L54" s="4"/>
      <c r="M54" s="4"/>
    </row>
    <row r="55" ht="14.25" customHeight="1">
      <c r="A55" s="332" t="s">
        <v>646</v>
      </c>
      <c r="B55" s="333"/>
      <c r="C55" s="333"/>
      <c r="D55" s="329"/>
      <c r="E55" s="4"/>
      <c r="F55" s="4"/>
      <c r="G55" s="4"/>
      <c r="H55" s="4"/>
      <c r="I55" s="4"/>
      <c r="J55" s="4"/>
      <c r="K55" s="4"/>
      <c r="L55" s="4"/>
      <c r="M55" s="4"/>
    </row>
    <row r="56" ht="14.25" customHeight="1">
      <c r="A56" s="337" t="s">
        <v>761</v>
      </c>
      <c r="B56" s="381">
        <f>B45+B47+B48-B54</f>
        <v>-26.28071467</v>
      </c>
      <c r="C56" s="378" t="s">
        <v>762</v>
      </c>
      <c r="D56" s="341" t="s">
        <v>805</v>
      </c>
      <c r="E56" s="4"/>
      <c r="F56" s="4"/>
      <c r="G56" s="4"/>
      <c r="H56" s="4"/>
      <c r="I56" s="4"/>
      <c r="J56" s="4"/>
      <c r="K56" s="4"/>
      <c r="L56" s="4"/>
      <c r="M56" s="4"/>
    </row>
    <row r="57" ht="28.5" customHeight="1">
      <c r="A57" s="340" t="s">
        <v>764</v>
      </c>
      <c r="B57" s="444">
        <f>B54+B11</f>
        <v>-198.4751872</v>
      </c>
      <c r="C57" s="441" t="s">
        <v>806</v>
      </c>
      <c r="D57" s="340" t="s">
        <v>807</v>
      </c>
      <c r="E57" s="4"/>
      <c r="F57" s="4"/>
      <c r="G57" s="4"/>
      <c r="H57" s="4"/>
      <c r="I57" s="4"/>
      <c r="J57" s="4"/>
      <c r="K57" s="4"/>
      <c r="L57" s="4"/>
      <c r="M57" s="4"/>
    </row>
    <row r="58" ht="14.25" customHeight="1" outlineLevel="1">
      <c r="A58" s="340" t="s">
        <v>767</v>
      </c>
      <c r="B58" s="444">
        <f>B57+10*LOG10(1000)</f>
        <v>-168.4751872</v>
      </c>
      <c r="C58" s="441" t="s">
        <v>612</v>
      </c>
      <c r="D58" s="340" t="s">
        <v>705</v>
      </c>
      <c r="E58" s="4"/>
      <c r="F58" s="4"/>
      <c r="G58" s="4"/>
      <c r="H58" s="4"/>
      <c r="I58" s="4"/>
      <c r="J58" s="4"/>
      <c r="K58" s="4"/>
      <c r="L58" s="4"/>
      <c r="M58" s="4"/>
    </row>
    <row r="59" ht="14.25" customHeight="1">
      <c r="A59" s="337" t="s">
        <v>768</v>
      </c>
      <c r="B59" s="381">
        <f>B49-B57</f>
        <v>82.25069382</v>
      </c>
      <c r="C59" s="378" t="s">
        <v>770</v>
      </c>
      <c r="D59" s="341"/>
      <c r="E59" s="4"/>
      <c r="F59" s="4"/>
      <c r="G59" s="4"/>
      <c r="H59" s="4"/>
      <c r="I59" s="4"/>
      <c r="J59" s="4"/>
      <c r="K59" s="4"/>
      <c r="L59" s="4"/>
      <c r="M59" s="4"/>
    </row>
    <row r="60" ht="14.25" customHeight="1">
      <c r="A60" s="337" t="s">
        <v>771</v>
      </c>
      <c r="B60" s="410">
        <v>0.0</v>
      </c>
      <c r="C60" s="378" t="s">
        <v>574</v>
      </c>
      <c r="D60" s="341" t="s">
        <v>808</v>
      </c>
      <c r="E60" s="4"/>
      <c r="F60" s="4"/>
      <c r="G60" s="4"/>
      <c r="H60" s="4"/>
      <c r="I60" s="4"/>
      <c r="J60" s="4"/>
      <c r="K60" s="4"/>
      <c r="L60" s="4"/>
      <c r="M60" s="4"/>
    </row>
    <row r="61" ht="14.25" customHeight="1">
      <c r="A61" s="337" t="s">
        <v>773</v>
      </c>
      <c r="B61" s="450">
        <f>'Data Uplink Budget'!H5/1000</f>
        <v>0.025</v>
      </c>
      <c r="C61" s="378" t="s">
        <v>561</v>
      </c>
      <c r="D61" s="341" t="s">
        <v>809</v>
      </c>
      <c r="E61" s="4"/>
      <c r="F61" s="4"/>
      <c r="G61" s="4"/>
      <c r="H61" s="4"/>
      <c r="I61" s="4"/>
      <c r="J61" s="4"/>
      <c r="K61" s="4"/>
      <c r="L61" s="4"/>
      <c r="M61" s="4"/>
    </row>
    <row r="62" ht="14.25" customHeight="1">
      <c r="A62" s="337" t="s">
        <v>778</v>
      </c>
      <c r="B62" s="346">
        <f>10*LOG10(1000000)+10*LOG10(B61)</f>
        <v>43.97940009</v>
      </c>
      <c r="C62" s="378" t="s">
        <v>574</v>
      </c>
      <c r="D62" s="341" t="s">
        <v>779</v>
      </c>
      <c r="E62" s="4"/>
      <c r="F62" s="4"/>
      <c r="G62" s="4"/>
      <c r="H62" s="4"/>
      <c r="I62" s="4"/>
      <c r="J62" s="4"/>
      <c r="K62" s="4"/>
      <c r="L62" s="4"/>
      <c r="M62" s="4"/>
    </row>
    <row r="63" ht="14.25" customHeight="1">
      <c r="A63" s="337" t="s">
        <v>780</v>
      </c>
      <c r="B63" s="381">
        <f>B59-B62+B60</f>
        <v>38.27129373</v>
      </c>
      <c r="C63" s="378" t="s">
        <v>574</v>
      </c>
      <c r="D63" s="341"/>
      <c r="E63" s="4"/>
      <c r="F63" s="4"/>
      <c r="G63" s="4"/>
      <c r="H63" s="4"/>
      <c r="I63" s="4"/>
      <c r="J63" s="4"/>
      <c r="K63" s="4"/>
      <c r="L63" s="4"/>
      <c r="M63" s="4"/>
    </row>
    <row r="64" ht="14.25" customHeight="1">
      <c r="A64" s="337" t="s">
        <v>781</v>
      </c>
      <c r="B64" s="410">
        <v>11.0</v>
      </c>
      <c r="C64" s="378" t="s">
        <v>574</v>
      </c>
      <c r="D64" s="420" t="s">
        <v>810</v>
      </c>
      <c r="E64" s="4"/>
      <c r="F64" s="4"/>
      <c r="G64" s="4"/>
      <c r="H64" s="4"/>
      <c r="I64" s="4"/>
      <c r="J64" s="4"/>
      <c r="K64" s="4"/>
      <c r="L64" s="4"/>
      <c r="M64" s="4"/>
    </row>
    <row r="65" ht="30.0" customHeight="1" outlineLevel="1">
      <c r="A65" s="337" t="s">
        <v>783</v>
      </c>
      <c r="B65" s="410">
        <v>-1.0</v>
      </c>
      <c r="C65" s="378" t="s">
        <v>574</v>
      </c>
      <c r="D65" s="341" t="s">
        <v>811</v>
      </c>
      <c r="E65" s="4"/>
      <c r="F65" s="4"/>
      <c r="G65" s="4"/>
      <c r="H65" s="4"/>
      <c r="I65" s="4"/>
      <c r="J65" s="4"/>
      <c r="K65" s="4"/>
      <c r="L65" s="4"/>
      <c r="M65" s="4"/>
    </row>
    <row r="66" ht="14.25" customHeight="1">
      <c r="A66" s="337" t="s">
        <v>785</v>
      </c>
      <c r="B66" s="447">
        <f>B63-B64+B65</f>
        <v>26.27129373</v>
      </c>
      <c r="C66" s="378" t="s">
        <v>574</v>
      </c>
      <c r="D66" s="341" t="s">
        <v>658</v>
      </c>
      <c r="E66" s="4"/>
      <c r="F66" s="4"/>
      <c r="G66" s="4"/>
      <c r="H66" s="4"/>
      <c r="I66" s="4"/>
      <c r="J66" s="4"/>
      <c r="K66" s="4"/>
      <c r="L66" s="4"/>
      <c r="M66" s="4"/>
    </row>
    <row r="67" ht="14.25" customHeight="1">
      <c r="A67" s="393" t="s">
        <v>786</v>
      </c>
      <c r="B67" s="448">
        <v>6.0</v>
      </c>
      <c r="C67" s="395" t="s">
        <v>574</v>
      </c>
      <c r="D67" s="396" t="s">
        <v>660</v>
      </c>
      <c r="E67" s="4"/>
      <c r="F67" s="4"/>
      <c r="G67" s="4"/>
      <c r="H67" s="4"/>
      <c r="I67" s="4"/>
      <c r="J67" s="4"/>
      <c r="K67" s="4"/>
      <c r="L67" s="4"/>
      <c r="M67" s="4"/>
    </row>
    <row r="68" ht="14.25" customHeight="1">
      <c r="A68" s="397"/>
      <c r="B68" s="397"/>
      <c r="C68" s="397"/>
      <c r="D68" s="398"/>
      <c r="E68" s="4"/>
      <c r="F68" s="4"/>
      <c r="G68" s="4"/>
      <c r="H68" s="4"/>
      <c r="I68" s="4"/>
      <c r="J68" s="4"/>
      <c r="K68" s="4"/>
      <c r="L68" s="4"/>
      <c r="M68" s="4"/>
    </row>
    <row r="69" ht="14.25" customHeight="1">
      <c r="A69" s="397"/>
      <c r="B69" s="397"/>
      <c r="C69" s="397"/>
      <c r="D69" s="398"/>
      <c r="E69" s="4"/>
      <c r="F69" s="4"/>
      <c r="G69" s="4"/>
      <c r="H69" s="4"/>
      <c r="I69" s="4"/>
      <c r="J69" s="4"/>
      <c r="K69" s="4"/>
      <c r="L69" s="4"/>
      <c r="M69" s="4"/>
    </row>
    <row r="70" ht="14.25" customHeight="1">
      <c r="A70" s="397"/>
      <c r="B70" s="397"/>
      <c r="C70" s="397"/>
      <c r="D70" s="398"/>
      <c r="E70" s="4"/>
      <c r="F70" s="4"/>
      <c r="G70" s="4"/>
      <c r="H70" s="4"/>
      <c r="I70" s="4"/>
      <c r="J70" s="4"/>
      <c r="K70" s="4"/>
      <c r="L70" s="4"/>
      <c r="M70" s="4"/>
    </row>
    <row r="71" ht="14.25" customHeight="1">
      <c r="A71" s="397"/>
      <c r="B71" s="397"/>
      <c r="C71" s="397"/>
      <c r="D71" s="398"/>
      <c r="E71" s="4"/>
      <c r="F71" s="4"/>
      <c r="G71" s="4"/>
      <c r="H71" s="4"/>
      <c r="I71" s="4"/>
      <c r="J71" s="4"/>
      <c r="K71" s="4"/>
      <c r="L71" s="4"/>
      <c r="M71" s="4"/>
    </row>
    <row r="72" ht="14.25" customHeight="1">
      <c r="A72" s="397"/>
      <c r="B72" s="397"/>
      <c r="C72" s="397"/>
      <c r="D72" s="398"/>
      <c r="E72" s="4"/>
      <c r="F72" s="4"/>
      <c r="G72" s="4"/>
      <c r="H72" s="4"/>
      <c r="I72" s="4"/>
      <c r="J72" s="4"/>
      <c r="K72" s="4"/>
      <c r="L72" s="4"/>
      <c r="M72" s="4"/>
    </row>
    <row r="73" ht="14.25" customHeight="1">
      <c r="A73" s="397"/>
      <c r="B73" s="397"/>
      <c r="C73" s="397"/>
      <c r="D73" s="398"/>
      <c r="E73" s="4"/>
      <c r="F73" s="4"/>
      <c r="G73" s="4"/>
      <c r="H73" s="4"/>
      <c r="I73" s="4"/>
      <c r="J73" s="4"/>
      <c r="K73" s="4"/>
      <c r="L73" s="4"/>
      <c r="M73" s="4"/>
    </row>
    <row r="74" ht="14.25" customHeight="1">
      <c r="A74" s="397"/>
      <c r="B74" s="397"/>
      <c r="C74" s="397"/>
      <c r="D74" s="398"/>
      <c r="E74" s="4"/>
      <c r="F74" s="4"/>
      <c r="G74" s="4"/>
      <c r="H74" s="4"/>
      <c r="I74" s="4"/>
      <c r="J74" s="4"/>
      <c r="K74" s="4"/>
      <c r="L74" s="4"/>
      <c r="M74" s="4"/>
    </row>
    <row r="75" ht="14.25" customHeight="1">
      <c r="A75" s="397"/>
      <c r="B75" s="397"/>
      <c r="C75" s="397"/>
      <c r="D75" s="398"/>
      <c r="E75" s="4"/>
      <c r="F75" s="4"/>
      <c r="G75" s="4"/>
      <c r="H75" s="4"/>
      <c r="I75" s="4"/>
      <c r="J75" s="4"/>
      <c r="K75" s="4"/>
      <c r="L75" s="4"/>
      <c r="M75" s="4"/>
    </row>
    <row r="76" ht="14.25" customHeight="1">
      <c r="A76" s="397"/>
      <c r="B76" s="397"/>
      <c r="C76" s="397"/>
      <c r="D76" s="398"/>
      <c r="E76" s="4"/>
      <c r="F76" s="4"/>
      <c r="G76" s="4"/>
      <c r="H76" s="4"/>
      <c r="I76" s="4"/>
      <c r="J76" s="4"/>
      <c r="K76" s="4"/>
      <c r="L76" s="4"/>
      <c r="M76" s="4"/>
    </row>
    <row r="77" ht="14.25" customHeight="1">
      <c r="A77" s="397"/>
      <c r="B77" s="397"/>
      <c r="C77" s="397"/>
      <c r="D77" s="398"/>
      <c r="E77" s="4"/>
      <c r="F77" s="4"/>
      <c r="G77" s="4"/>
      <c r="H77" s="4"/>
      <c r="I77" s="4"/>
      <c r="J77" s="4"/>
      <c r="K77" s="4"/>
      <c r="L77" s="4"/>
      <c r="M77" s="4"/>
    </row>
    <row r="78" ht="14.25" customHeight="1">
      <c r="A78" s="397"/>
      <c r="B78" s="397"/>
      <c r="C78" s="397"/>
      <c r="D78" s="398"/>
      <c r="E78" s="4"/>
      <c r="F78" s="4"/>
      <c r="G78" s="4"/>
      <c r="H78" s="4"/>
      <c r="I78" s="4"/>
      <c r="J78" s="4"/>
      <c r="K78" s="4"/>
      <c r="L78" s="4"/>
      <c r="M78" s="4"/>
    </row>
    <row r="79" ht="14.25" customHeight="1">
      <c r="A79" s="397"/>
      <c r="B79" s="397"/>
      <c r="C79" s="397"/>
      <c r="D79" s="398"/>
      <c r="E79" s="4"/>
      <c r="F79" s="4"/>
      <c r="G79" s="4"/>
      <c r="H79" s="4"/>
      <c r="I79" s="4"/>
      <c r="J79" s="4"/>
      <c r="K79" s="4"/>
      <c r="L79" s="4"/>
      <c r="M79" s="4"/>
    </row>
    <row r="80" ht="14.25" customHeight="1">
      <c r="A80" s="397"/>
      <c r="B80" s="397"/>
      <c r="C80" s="397"/>
      <c r="D80" s="398"/>
      <c r="E80" s="4"/>
      <c r="F80" s="4"/>
      <c r="G80" s="4"/>
      <c r="H80" s="4"/>
      <c r="I80" s="4"/>
      <c r="J80" s="4"/>
      <c r="K80" s="4"/>
      <c r="L80" s="4"/>
      <c r="M80" s="4"/>
    </row>
    <row r="81" ht="14.25" customHeight="1">
      <c r="A81" s="397"/>
      <c r="B81" s="397"/>
      <c r="C81" s="397"/>
      <c r="D81" s="398"/>
      <c r="E81" s="4"/>
      <c r="F81" s="4"/>
      <c r="G81" s="4"/>
      <c r="H81" s="4"/>
      <c r="I81" s="4"/>
      <c r="J81" s="4"/>
      <c r="K81" s="4"/>
      <c r="L81" s="4"/>
      <c r="M81" s="4"/>
    </row>
    <row r="82" ht="14.25" customHeight="1">
      <c r="A82" s="397"/>
      <c r="B82" s="397"/>
      <c r="C82" s="397"/>
      <c r="D82" s="398"/>
      <c r="E82" s="4"/>
      <c r="F82" s="4"/>
      <c r="G82" s="4"/>
      <c r="H82" s="4"/>
      <c r="I82" s="4"/>
      <c r="J82" s="4"/>
      <c r="K82" s="4"/>
      <c r="L82" s="4"/>
      <c r="M82" s="4"/>
    </row>
    <row r="83" ht="14.25" customHeight="1">
      <c r="A83" s="397"/>
      <c r="B83" s="397"/>
      <c r="C83" s="397"/>
      <c r="D83" s="398"/>
      <c r="E83" s="4"/>
      <c r="F83" s="4"/>
      <c r="G83" s="4"/>
      <c r="H83" s="4"/>
      <c r="I83" s="4"/>
      <c r="J83" s="4"/>
      <c r="K83" s="4"/>
      <c r="L83" s="4"/>
      <c r="M83" s="4"/>
    </row>
    <row r="84" ht="14.25" customHeight="1">
      <c r="A84" s="397"/>
      <c r="B84" s="397"/>
      <c r="C84" s="397"/>
      <c r="D84" s="398"/>
      <c r="E84" s="4"/>
      <c r="F84" s="4"/>
      <c r="G84" s="4"/>
      <c r="H84" s="4"/>
      <c r="I84" s="4"/>
      <c r="J84" s="4"/>
      <c r="K84" s="4"/>
      <c r="L84" s="4"/>
      <c r="M84" s="4"/>
    </row>
    <row r="85" ht="14.25" customHeight="1">
      <c r="A85" s="397"/>
      <c r="B85" s="397"/>
      <c r="C85" s="397"/>
      <c r="D85" s="398"/>
      <c r="E85" s="4"/>
      <c r="F85" s="4"/>
      <c r="G85" s="4"/>
      <c r="H85" s="4"/>
      <c r="I85" s="4"/>
      <c r="J85" s="4"/>
      <c r="K85" s="4"/>
      <c r="L85" s="4"/>
      <c r="M85" s="4"/>
    </row>
    <row r="86" ht="14.25" customHeight="1">
      <c r="A86" s="397"/>
      <c r="B86" s="397"/>
      <c r="C86" s="397"/>
      <c r="D86" s="398"/>
      <c r="E86" s="4"/>
      <c r="F86" s="4"/>
      <c r="G86" s="4"/>
      <c r="H86" s="4"/>
      <c r="I86" s="4"/>
      <c r="J86" s="4"/>
      <c r="K86" s="4"/>
      <c r="L86" s="4"/>
      <c r="M86" s="4"/>
    </row>
    <row r="87" ht="14.25" customHeight="1">
      <c r="A87" s="397"/>
      <c r="B87" s="397"/>
      <c r="C87" s="397"/>
      <c r="D87" s="398"/>
      <c r="E87" s="4"/>
      <c r="F87" s="4"/>
      <c r="G87" s="4"/>
      <c r="H87" s="4"/>
      <c r="I87" s="4"/>
      <c r="J87" s="4"/>
      <c r="K87" s="4"/>
      <c r="L87" s="4"/>
      <c r="M87" s="4"/>
    </row>
    <row r="88" ht="14.25" customHeight="1">
      <c r="A88" s="397"/>
      <c r="B88" s="397"/>
      <c r="C88" s="397"/>
      <c r="D88" s="398"/>
      <c r="E88" s="4"/>
      <c r="F88" s="4"/>
      <c r="G88" s="4"/>
      <c r="H88" s="4"/>
      <c r="I88" s="4"/>
      <c r="J88" s="4"/>
      <c r="K88" s="4"/>
      <c r="L88" s="4"/>
      <c r="M88" s="4"/>
    </row>
    <row r="89" ht="14.25" customHeight="1">
      <c r="A89" s="397"/>
      <c r="B89" s="397"/>
      <c r="C89" s="397"/>
      <c r="D89" s="398"/>
      <c r="E89" s="4"/>
      <c r="F89" s="4"/>
      <c r="G89" s="4"/>
      <c r="H89" s="4"/>
      <c r="I89" s="4"/>
      <c r="J89" s="4"/>
      <c r="K89" s="4"/>
      <c r="L89" s="4"/>
      <c r="M89" s="4"/>
    </row>
    <row r="90" ht="14.25" customHeight="1">
      <c r="A90" s="397"/>
      <c r="B90" s="397"/>
      <c r="C90" s="397"/>
      <c r="D90" s="398"/>
      <c r="E90" s="4"/>
      <c r="F90" s="4"/>
      <c r="G90" s="4"/>
      <c r="H90" s="4"/>
      <c r="I90" s="4"/>
      <c r="J90" s="4"/>
      <c r="K90" s="4"/>
      <c r="L90" s="4"/>
      <c r="M90" s="4"/>
    </row>
    <row r="91" ht="14.25" customHeight="1">
      <c r="A91" s="397"/>
      <c r="B91" s="397"/>
      <c r="C91" s="397"/>
      <c r="D91" s="398"/>
      <c r="E91" s="4"/>
      <c r="F91" s="4"/>
      <c r="G91" s="4"/>
      <c r="H91" s="4"/>
      <c r="I91" s="4"/>
      <c r="J91" s="4"/>
      <c r="K91" s="4"/>
      <c r="L91" s="4"/>
      <c r="M91" s="4"/>
    </row>
    <row r="92" ht="14.25" customHeight="1">
      <c r="A92" s="397"/>
      <c r="B92" s="397"/>
      <c r="C92" s="397"/>
      <c r="D92" s="398"/>
      <c r="E92" s="4"/>
      <c r="F92" s="4"/>
      <c r="G92" s="4"/>
      <c r="H92" s="4"/>
      <c r="I92" s="4"/>
      <c r="J92" s="4"/>
      <c r="K92" s="4"/>
      <c r="L92" s="4"/>
      <c r="M92" s="4"/>
    </row>
    <row r="93" ht="14.25" customHeight="1">
      <c r="A93" s="397"/>
      <c r="B93" s="397"/>
      <c r="C93" s="397"/>
      <c r="D93" s="398"/>
      <c r="E93" s="4"/>
      <c r="F93" s="4"/>
      <c r="G93" s="4"/>
      <c r="H93" s="4"/>
      <c r="I93" s="4"/>
      <c r="J93" s="4"/>
      <c r="K93" s="4"/>
      <c r="L93" s="4"/>
      <c r="M93" s="4"/>
    </row>
    <row r="94" ht="14.25" customHeight="1">
      <c r="A94" s="397"/>
      <c r="B94" s="397"/>
      <c r="C94" s="397"/>
      <c r="D94" s="398"/>
      <c r="E94" s="4"/>
      <c r="F94" s="4"/>
      <c r="G94" s="4"/>
      <c r="H94" s="4"/>
      <c r="I94" s="4"/>
      <c r="J94" s="4"/>
      <c r="K94" s="4"/>
      <c r="L94" s="4"/>
      <c r="M94" s="4"/>
    </row>
    <row r="95" ht="14.25" customHeight="1">
      <c r="A95" s="397"/>
      <c r="B95" s="397"/>
      <c r="C95" s="397"/>
      <c r="D95" s="398"/>
      <c r="E95" s="4"/>
      <c r="F95" s="4"/>
      <c r="G95" s="4"/>
      <c r="H95" s="4"/>
      <c r="I95" s="4"/>
      <c r="J95" s="4"/>
      <c r="K95" s="4"/>
      <c r="L95" s="4"/>
      <c r="M95" s="4"/>
    </row>
    <row r="96" ht="14.25" customHeight="1">
      <c r="A96" s="397"/>
      <c r="B96" s="397"/>
      <c r="C96" s="397"/>
      <c r="D96" s="398"/>
      <c r="E96" s="4"/>
      <c r="F96" s="4"/>
      <c r="G96" s="4"/>
      <c r="H96" s="4"/>
      <c r="I96" s="4"/>
      <c r="J96" s="4"/>
      <c r="K96" s="4"/>
      <c r="L96" s="4"/>
      <c r="M96" s="4"/>
    </row>
    <row r="97" ht="14.25" customHeight="1">
      <c r="A97" s="397"/>
      <c r="B97" s="397"/>
      <c r="C97" s="397"/>
      <c r="D97" s="398"/>
      <c r="E97" s="4"/>
      <c r="F97" s="4"/>
      <c r="G97" s="4"/>
      <c r="H97" s="4"/>
      <c r="I97" s="4"/>
      <c r="J97" s="4"/>
      <c r="K97" s="4"/>
      <c r="L97" s="4"/>
      <c r="M97" s="4"/>
    </row>
    <row r="98" ht="14.25" customHeight="1">
      <c r="A98" s="397"/>
      <c r="B98" s="397"/>
      <c r="C98" s="397"/>
      <c r="D98" s="398"/>
      <c r="E98" s="4"/>
      <c r="F98" s="4"/>
      <c r="G98" s="4"/>
      <c r="H98" s="4"/>
      <c r="I98" s="4"/>
      <c r="J98" s="4"/>
      <c r="K98" s="4"/>
      <c r="L98" s="4"/>
      <c r="M98" s="4"/>
    </row>
    <row r="99" ht="14.25" customHeight="1">
      <c r="A99" s="397"/>
      <c r="B99" s="397"/>
      <c r="C99" s="397"/>
      <c r="D99" s="398"/>
      <c r="E99" s="4"/>
      <c r="F99" s="4"/>
      <c r="G99" s="4"/>
      <c r="H99" s="4"/>
      <c r="I99" s="4"/>
      <c r="J99" s="4"/>
      <c r="K99" s="4"/>
      <c r="L99" s="4"/>
      <c r="M99" s="4"/>
    </row>
    <row r="100" ht="14.25" customHeight="1">
      <c r="A100" s="397"/>
      <c r="B100" s="397"/>
      <c r="C100" s="397"/>
      <c r="D100" s="398"/>
      <c r="E100" s="4"/>
      <c r="F100" s="4"/>
      <c r="G100" s="4"/>
      <c r="H100" s="4"/>
      <c r="I100" s="4"/>
      <c r="J100" s="4"/>
      <c r="K100" s="4"/>
      <c r="L100" s="4"/>
      <c r="M100" s="4"/>
    </row>
    <row r="101" ht="14.25" customHeight="1">
      <c r="A101" s="397"/>
      <c r="B101" s="397"/>
      <c r="C101" s="397"/>
      <c r="D101" s="398"/>
      <c r="E101" s="4"/>
      <c r="F101" s="4"/>
      <c r="G101" s="4"/>
      <c r="H101" s="4"/>
      <c r="I101" s="4"/>
      <c r="J101" s="4"/>
      <c r="K101" s="4"/>
      <c r="L101" s="4"/>
      <c r="M101" s="4"/>
    </row>
    <row r="102" ht="14.25" customHeight="1">
      <c r="A102" s="397"/>
      <c r="B102" s="397"/>
      <c r="C102" s="397"/>
      <c r="D102" s="398"/>
      <c r="E102" s="4"/>
      <c r="F102" s="4"/>
      <c r="G102" s="4"/>
      <c r="H102" s="4"/>
      <c r="I102" s="4"/>
      <c r="J102" s="4"/>
      <c r="K102" s="4"/>
      <c r="L102" s="4"/>
      <c r="M102" s="4"/>
    </row>
    <row r="103" ht="14.25" customHeight="1">
      <c r="A103" s="397"/>
      <c r="B103" s="397"/>
      <c r="C103" s="397"/>
      <c r="D103" s="398"/>
      <c r="E103" s="4"/>
      <c r="F103" s="4"/>
      <c r="G103" s="4"/>
      <c r="H103" s="4"/>
      <c r="I103" s="4"/>
      <c r="J103" s="4"/>
      <c r="K103" s="4"/>
      <c r="L103" s="4"/>
      <c r="M103" s="4"/>
    </row>
    <row r="104" ht="14.25" customHeight="1">
      <c r="A104" s="397"/>
      <c r="B104" s="397"/>
      <c r="C104" s="397"/>
      <c r="D104" s="398"/>
      <c r="E104" s="4"/>
      <c r="F104" s="4"/>
      <c r="G104" s="4"/>
      <c r="H104" s="4"/>
      <c r="I104" s="4"/>
      <c r="J104" s="4"/>
      <c r="K104" s="4"/>
      <c r="L104" s="4"/>
      <c r="M104" s="4"/>
    </row>
    <row r="105" ht="14.25" customHeight="1">
      <c r="A105" s="397"/>
      <c r="B105" s="397"/>
      <c r="C105" s="397"/>
      <c r="D105" s="398"/>
      <c r="E105" s="4"/>
      <c r="F105" s="4"/>
      <c r="G105" s="4"/>
      <c r="H105" s="4"/>
      <c r="I105" s="4"/>
      <c r="J105" s="4"/>
      <c r="K105" s="4"/>
      <c r="L105" s="4"/>
      <c r="M105" s="4"/>
    </row>
    <row r="106" ht="14.25" customHeight="1">
      <c r="A106" s="397"/>
      <c r="B106" s="397"/>
      <c r="C106" s="397"/>
      <c r="D106" s="398"/>
      <c r="E106" s="4"/>
      <c r="F106" s="4"/>
      <c r="G106" s="4"/>
      <c r="H106" s="4"/>
      <c r="I106" s="4"/>
      <c r="J106" s="4"/>
      <c r="K106" s="4"/>
      <c r="L106" s="4"/>
      <c r="M106" s="4"/>
    </row>
    <row r="107" ht="14.25" customHeight="1">
      <c r="A107" s="397"/>
      <c r="B107" s="397"/>
      <c r="C107" s="397"/>
      <c r="D107" s="398"/>
      <c r="E107" s="4"/>
      <c r="F107" s="4"/>
      <c r="G107" s="4"/>
      <c r="H107" s="4"/>
      <c r="I107" s="4"/>
      <c r="J107" s="4"/>
      <c r="K107" s="4"/>
      <c r="L107" s="4"/>
      <c r="M107" s="4"/>
    </row>
    <row r="108" ht="14.25" customHeight="1">
      <c r="A108" s="397"/>
      <c r="B108" s="397"/>
      <c r="C108" s="397"/>
      <c r="D108" s="398"/>
      <c r="E108" s="4"/>
      <c r="F108" s="4"/>
      <c r="G108" s="4"/>
      <c r="H108" s="4"/>
      <c r="I108" s="4"/>
      <c r="J108" s="4"/>
      <c r="K108" s="4"/>
      <c r="L108" s="4"/>
      <c r="M108" s="4"/>
    </row>
    <row r="109" ht="14.25" customHeight="1">
      <c r="A109" s="397"/>
      <c r="B109" s="397"/>
      <c r="C109" s="397"/>
      <c r="D109" s="398"/>
      <c r="E109" s="4"/>
      <c r="F109" s="4"/>
      <c r="G109" s="4"/>
      <c r="H109" s="4"/>
      <c r="I109" s="4"/>
      <c r="J109" s="4"/>
      <c r="K109" s="4"/>
      <c r="L109" s="4"/>
      <c r="M109" s="4"/>
    </row>
    <row r="110" ht="14.25" customHeight="1">
      <c r="A110" s="397"/>
      <c r="B110" s="397"/>
      <c r="C110" s="397"/>
      <c r="D110" s="398"/>
      <c r="E110" s="4"/>
      <c r="F110" s="4"/>
      <c r="G110" s="4"/>
      <c r="H110" s="4"/>
      <c r="I110" s="4"/>
      <c r="J110" s="4"/>
      <c r="K110" s="4"/>
      <c r="L110" s="4"/>
      <c r="M110" s="4"/>
    </row>
    <row r="111" ht="14.25" customHeight="1">
      <c r="A111" s="397"/>
      <c r="B111" s="397"/>
      <c r="C111" s="397"/>
      <c r="D111" s="398"/>
      <c r="E111" s="4"/>
      <c r="F111" s="4"/>
      <c r="G111" s="4"/>
      <c r="H111" s="4"/>
      <c r="I111" s="4"/>
      <c r="J111" s="4"/>
      <c r="K111" s="4"/>
      <c r="L111" s="4"/>
      <c r="M111" s="4"/>
    </row>
    <row r="112" ht="14.25" customHeight="1">
      <c r="A112" s="397"/>
      <c r="B112" s="397"/>
      <c r="C112" s="397"/>
      <c r="D112" s="398"/>
      <c r="E112" s="4"/>
      <c r="F112" s="4"/>
      <c r="G112" s="4"/>
      <c r="H112" s="4"/>
      <c r="I112" s="4"/>
      <c r="J112" s="4"/>
      <c r="K112" s="4"/>
      <c r="L112" s="4"/>
      <c r="M112" s="4"/>
    </row>
    <row r="113" ht="14.25" customHeight="1">
      <c r="A113" s="397"/>
      <c r="B113" s="397"/>
      <c r="C113" s="397"/>
      <c r="D113" s="398"/>
      <c r="E113" s="4"/>
      <c r="F113" s="4"/>
      <c r="G113" s="4"/>
      <c r="H113" s="4"/>
      <c r="I113" s="4"/>
      <c r="J113" s="4"/>
      <c r="K113" s="4"/>
      <c r="L113" s="4"/>
      <c r="M113" s="4"/>
    </row>
    <row r="114" ht="14.25" customHeight="1">
      <c r="A114" s="397"/>
      <c r="B114" s="397"/>
      <c r="C114" s="397"/>
      <c r="D114" s="398"/>
      <c r="E114" s="4"/>
      <c r="F114" s="4"/>
      <c r="G114" s="4"/>
      <c r="H114" s="4"/>
      <c r="I114" s="4"/>
      <c r="J114" s="4"/>
      <c r="K114" s="4"/>
      <c r="L114" s="4"/>
      <c r="M114" s="4"/>
    </row>
    <row r="115" ht="14.25" customHeight="1">
      <c r="A115" s="397"/>
      <c r="B115" s="397"/>
      <c r="C115" s="397"/>
      <c r="D115" s="398"/>
      <c r="E115" s="4"/>
      <c r="F115" s="4"/>
      <c r="G115" s="4"/>
      <c r="H115" s="4"/>
      <c r="I115" s="4"/>
      <c r="J115" s="4"/>
      <c r="K115" s="4"/>
      <c r="L115" s="4"/>
      <c r="M115" s="4"/>
    </row>
    <row r="116" ht="14.25" customHeight="1">
      <c r="A116" s="397"/>
      <c r="B116" s="397"/>
      <c r="C116" s="397"/>
      <c r="D116" s="398"/>
      <c r="E116" s="4"/>
      <c r="F116" s="4"/>
      <c r="G116" s="4"/>
      <c r="H116" s="4"/>
      <c r="I116" s="4"/>
      <c r="J116" s="4"/>
      <c r="K116" s="4"/>
      <c r="L116" s="4"/>
      <c r="M116" s="4"/>
    </row>
    <row r="117" ht="14.25" customHeight="1">
      <c r="A117" s="397"/>
      <c r="B117" s="397"/>
      <c r="C117" s="397"/>
      <c r="D117" s="398"/>
      <c r="E117" s="4"/>
      <c r="F117" s="4"/>
      <c r="G117" s="4"/>
      <c r="H117" s="4"/>
      <c r="I117" s="4"/>
      <c r="J117" s="4"/>
      <c r="K117" s="4"/>
      <c r="L117" s="4"/>
      <c r="M117" s="4"/>
    </row>
    <row r="118" ht="14.25" customHeight="1">
      <c r="A118" s="397"/>
      <c r="B118" s="397"/>
      <c r="C118" s="397"/>
      <c r="D118" s="398"/>
      <c r="E118" s="4"/>
      <c r="F118" s="4"/>
      <c r="G118" s="4"/>
      <c r="H118" s="4"/>
      <c r="I118" s="4"/>
      <c r="J118" s="4"/>
      <c r="K118" s="4"/>
      <c r="L118" s="4"/>
      <c r="M118" s="4"/>
    </row>
    <row r="119" ht="14.25" customHeight="1">
      <c r="A119" s="397"/>
      <c r="B119" s="397"/>
      <c r="C119" s="397"/>
      <c r="D119" s="398"/>
      <c r="E119" s="4"/>
      <c r="F119" s="4"/>
      <c r="G119" s="4"/>
      <c r="H119" s="4"/>
      <c r="I119" s="4"/>
      <c r="J119" s="4"/>
      <c r="K119" s="4"/>
      <c r="L119" s="4"/>
      <c r="M119" s="4"/>
    </row>
    <row r="120" ht="14.25" customHeight="1">
      <c r="A120" s="397"/>
      <c r="B120" s="397"/>
      <c r="C120" s="397"/>
      <c r="D120" s="398"/>
      <c r="E120" s="4"/>
      <c r="F120" s="4"/>
      <c r="G120" s="4"/>
      <c r="H120" s="4"/>
      <c r="I120" s="4"/>
      <c r="J120" s="4"/>
      <c r="K120" s="4"/>
      <c r="L120" s="4"/>
      <c r="M120" s="4"/>
    </row>
    <row r="121" ht="14.25" customHeight="1">
      <c r="A121" s="397"/>
      <c r="B121" s="397"/>
      <c r="C121" s="397"/>
      <c r="D121" s="398"/>
      <c r="E121" s="4"/>
      <c r="F121" s="4"/>
      <c r="G121" s="4"/>
      <c r="H121" s="4"/>
      <c r="I121" s="4"/>
      <c r="J121" s="4"/>
      <c r="K121" s="4"/>
      <c r="L121" s="4"/>
      <c r="M121" s="4"/>
    </row>
    <row r="122" ht="14.25" customHeight="1">
      <c r="A122" s="397"/>
      <c r="B122" s="397"/>
      <c r="C122" s="397"/>
      <c r="D122" s="398"/>
      <c r="E122" s="4"/>
      <c r="F122" s="4"/>
      <c r="G122" s="4"/>
      <c r="H122" s="4"/>
      <c r="I122" s="4"/>
      <c r="J122" s="4"/>
      <c r="K122" s="4"/>
      <c r="L122" s="4"/>
      <c r="M122" s="4"/>
    </row>
    <row r="123" ht="14.25" customHeight="1">
      <c r="A123" s="397"/>
      <c r="B123" s="397"/>
      <c r="C123" s="397"/>
      <c r="D123" s="398"/>
      <c r="E123" s="4"/>
      <c r="F123" s="4"/>
      <c r="G123" s="4"/>
      <c r="H123" s="4"/>
      <c r="I123" s="4"/>
      <c r="J123" s="4"/>
      <c r="K123" s="4"/>
      <c r="L123" s="4"/>
      <c r="M123" s="4"/>
    </row>
    <row r="124" ht="14.25" customHeight="1">
      <c r="A124" s="397"/>
      <c r="B124" s="397"/>
      <c r="C124" s="397"/>
      <c r="D124" s="398"/>
      <c r="E124" s="4"/>
      <c r="F124" s="4"/>
      <c r="G124" s="4"/>
      <c r="H124" s="4"/>
      <c r="I124" s="4"/>
      <c r="J124" s="4"/>
      <c r="K124" s="4"/>
      <c r="L124" s="4"/>
      <c r="M124" s="4"/>
    </row>
    <row r="125" ht="14.25" customHeight="1">
      <c r="A125" s="397"/>
      <c r="B125" s="397"/>
      <c r="C125" s="397"/>
      <c r="D125" s="398"/>
      <c r="E125" s="4"/>
      <c r="F125" s="4"/>
      <c r="G125" s="4"/>
      <c r="H125" s="4"/>
      <c r="I125" s="4"/>
      <c r="J125" s="4"/>
      <c r="K125" s="4"/>
      <c r="L125" s="4"/>
      <c r="M125" s="4"/>
    </row>
    <row r="126" ht="14.25" customHeight="1">
      <c r="A126" s="397"/>
      <c r="B126" s="397"/>
      <c r="C126" s="397"/>
      <c r="D126" s="398"/>
      <c r="E126" s="4"/>
      <c r="F126" s="4"/>
      <c r="G126" s="4"/>
      <c r="H126" s="4"/>
      <c r="I126" s="4"/>
      <c r="J126" s="4"/>
      <c r="K126" s="4"/>
      <c r="L126" s="4"/>
      <c r="M126" s="4"/>
    </row>
    <row r="127" ht="14.25" customHeight="1">
      <c r="A127" s="397"/>
      <c r="B127" s="397"/>
      <c r="C127" s="397"/>
      <c r="D127" s="398"/>
      <c r="E127" s="4"/>
      <c r="F127" s="4"/>
      <c r="G127" s="4"/>
      <c r="H127" s="4"/>
      <c r="I127" s="4"/>
      <c r="J127" s="4"/>
      <c r="K127" s="4"/>
      <c r="L127" s="4"/>
      <c r="M127" s="4"/>
    </row>
    <row r="128" ht="14.25" customHeight="1">
      <c r="A128" s="397"/>
      <c r="B128" s="397"/>
      <c r="C128" s="397"/>
      <c r="D128" s="398"/>
      <c r="E128" s="4"/>
      <c r="F128" s="4"/>
      <c r="G128" s="4"/>
      <c r="H128" s="4"/>
      <c r="I128" s="4"/>
      <c r="J128" s="4"/>
      <c r="K128" s="4"/>
      <c r="L128" s="4"/>
      <c r="M128" s="4"/>
    </row>
    <row r="129" ht="14.25" customHeight="1">
      <c r="A129" s="397"/>
      <c r="B129" s="397"/>
      <c r="C129" s="397"/>
      <c r="D129" s="398"/>
      <c r="E129" s="4"/>
      <c r="F129" s="4"/>
      <c r="G129" s="4"/>
      <c r="H129" s="4"/>
      <c r="I129" s="4"/>
      <c r="J129" s="4"/>
      <c r="K129" s="4"/>
      <c r="L129" s="4"/>
      <c r="M129" s="4"/>
    </row>
    <row r="130" ht="14.25" customHeight="1">
      <c r="A130" s="397"/>
      <c r="B130" s="397"/>
      <c r="C130" s="397"/>
      <c r="D130" s="398"/>
      <c r="E130" s="4"/>
      <c r="F130" s="4"/>
      <c r="G130" s="4"/>
      <c r="H130" s="4"/>
      <c r="I130" s="4"/>
      <c r="J130" s="4"/>
      <c r="K130" s="4"/>
      <c r="L130" s="4"/>
      <c r="M130" s="4"/>
    </row>
    <row r="131" ht="14.25" customHeight="1">
      <c r="A131" s="397"/>
      <c r="B131" s="397"/>
      <c r="C131" s="397"/>
      <c r="D131" s="398"/>
      <c r="E131" s="4"/>
      <c r="F131" s="4"/>
      <c r="G131" s="4"/>
      <c r="H131" s="4"/>
      <c r="I131" s="4"/>
      <c r="J131" s="4"/>
      <c r="K131" s="4"/>
      <c r="L131" s="4"/>
      <c r="M131" s="4"/>
    </row>
    <row r="132" ht="14.25" customHeight="1">
      <c r="A132" s="397"/>
      <c r="B132" s="397"/>
      <c r="C132" s="397"/>
      <c r="D132" s="398"/>
      <c r="E132" s="4"/>
      <c r="F132" s="4"/>
      <c r="G132" s="4"/>
      <c r="H132" s="4"/>
      <c r="I132" s="4"/>
      <c r="J132" s="4"/>
      <c r="K132" s="4"/>
      <c r="L132" s="4"/>
      <c r="M132" s="4"/>
    </row>
    <row r="133" ht="14.25" customHeight="1">
      <c r="A133" s="397"/>
      <c r="B133" s="397"/>
      <c r="C133" s="397"/>
      <c r="D133" s="398"/>
      <c r="E133" s="4"/>
      <c r="F133" s="4"/>
      <c r="G133" s="4"/>
      <c r="H133" s="4"/>
      <c r="I133" s="4"/>
      <c r="J133" s="4"/>
      <c r="K133" s="4"/>
      <c r="L133" s="4"/>
      <c r="M133" s="4"/>
    </row>
    <row r="134" ht="14.25" customHeight="1">
      <c r="A134" s="397"/>
      <c r="B134" s="397"/>
      <c r="C134" s="397"/>
      <c r="D134" s="398"/>
      <c r="E134" s="4"/>
      <c r="F134" s="4"/>
      <c r="G134" s="4"/>
      <c r="H134" s="4"/>
      <c r="I134" s="4"/>
      <c r="J134" s="4"/>
      <c r="K134" s="4"/>
      <c r="L134" s="4"/>
      <c r="M134" s="4"/>
    </row>
    <row r="135" ht="14.25" customHeight="1">
      <c r="A135" s="397"/>
      <c r="B135" s="397"/>
      <c r="C135" s="397"/>
      <c r="D135" s="398"/>
      <c r="E135" s="4"/>
      <c r="F135" s="4"/>
      <c r="G135" s="4"/>
      <c r="H135" s="4"/>
      <c r="I135" s="4"/>
      <c r="J135" s="4"/>
      <c r="K135" s="4"/>
      <c r="L135" s="4"/>
      <c r="M135" s="4"/>
    </row>
    <row r="136" ht="14.25" customHeight="1">
      <c r="A136" s="397"/>
      <c r="B136" s="397"/>
      <c r="C136" s="397"/>
      <c r="D136" s="398"/>
      <c r="E136" s="4"/>
      <c r="F136" s="4"/>
      <c r="G136" s="4"/>
      <c r="H136" s="4"/>
      <c r="I136" s="4"/>
      <c r="J136" s="4"/>
      <c r="K136" s="4"/>
      <c r="L136" s="4"/>
      <c r="M136" s="4"/>
    </row>
    <row r="137" ht="14.25" customHeight="1">
      <c r="A137" s="397"/>
      <c r="B137" s="397"/>
      <c r="C137" s="397"/>
      <c r="D137" s="398"/>
      <c r="E137" s="4"/>
      <c r="F137" s="4"/>
      <c r="G137" s="4"/>
      <c r="H137" s="4"/>
      <c r="I137" s="4"/>
      <c r="J137" s="4"/>
      <c r="K137" s="4"/>
      <c r="L137" s="4"/>
      <c r="M137" s="4"/>
    </row>
    <row r="138" ht="14.25" customHeight="1">
      <c r="A138" s="397"/>
      <c r="B138" s="397"/>
      <c r="C138" s="397"/>
      <c r="D138" s="398"/>
      <c r="E138" s="4"/>
      <c r="F138" s="4"/>
      <c r="G138" s="4"/>
      <c r="H138" s="4"/>
      <c r="I138" s="4"/>
      <c r="J138" s="4"/>
      <c r="K138" s="4"/>
      <c r="L138" s="4"/>
      <c r="M138" s="4"/>
    </row>
    <row r="139" ht="14.25" customHeight="1">
      <c r="A139" s="397"/>
      <c r="B139" s="397"/>
      <c r="C139" s="397"/>
      <c r="D139" s="398"/>
      <c r="E139" s="4"/>
      <c r="F139" s="4"/>
      <c r="G139" s="4"/>
      <c r="H139" s="4"/>
      <c r="I139" s="4"/>
      <c r="J139" s="4"/>
      <c r="K139" s="4"/>
      <c r="L139" s="4"/>
      <c r="M139" s="4"/>
    </row>
    <row r="140" ht="14.25" customHeight="1">
      <c r="A140" s="397"/>
      <c r="B140" s="397"/>
      <c r="C140" s="397"/>
      <c r="D140" s="398"/>
      <c r="E140" s="4"/>
      <c r="F140" s="4"/>
      <c r="G140" s="4"/>
      <c r="H140" s="4"/>
      <c r="I140" s="4"/>
      <c r="J140" s="4"/>
      <c r="K140" s="4"/>
      <c r="L140" s="4"/>
      <c r="M140" s="4"/>
    </row>
    <row r="141" ht="14.25" customHeight="1">
      <c r="A141" s="397"/>
      <c r="B141" s="397"/>
      <c r="C141" s="397"/>
      <c r="D141" s="398"/>
      <c r="E141" s="4"/>
      <c r="F141" s="4"/>
      <c r="G141" s="4"/>
      <c r="H141" s="4"/>
      <c r="I141" s="4"/>
      <c r="J141" s="4"/>
      <c r="K141" s="4"/>
      <c r="L141" s="4"/>
      <c r="M141" s="4"/>
    </row>
    <row r="142" ht="14.25" customHeight="1">
      <c r="A142" s="397"/>
      <c r="B142" s="397"/>
      <c r="C142" s="397"/>
      <c r="D142" s="398"/>
      <c r="E142" s="4"/>
      <c r="F142" s="4"/>
      <c r="G142" s="4"/>
      <c r="H142" s="4"/>
      <c r="I142" s="4"/>
      <c r="J142" s="4"/>
      <c r="K142" s="4"/>
      <c r="L142" s="4"/>
      <c r="M142" s="4"/>
    </row>
    <row r="143" ht="14.25" customHeight="1">
      <c r="A143" s="397"/>
      <c r="B143" s="397"/>
      <c r="C143" s="397"/>
      <c r="D143" s="398"/>
      <c r="E143" s="4"/>
      <c r="F143" s="4"/>
      <c r="G143" s="4"/>
      <c r="H143" s="4"/>
      <c r="I143" s="4"/>
      <c r="J143" s="4"/>
      <c r="K143" s="4"/>
      <c r="L143" s="4"/>
      <c r="M143" s="4"/>
    </row>
    <row r="144" ht="14.25" customHeight="1">
      <c r="A144" s="397"/>
      <c r="B144" s="397"/>
      <c r="C144" s="397"/>
      <c r="D144" s="398"/>
      <c r="E144" s="4"/>
      <c r="F144" s="4"/>
      <c r="G144" s="4"/>
      <c r="H144" s="4"/>
      <c r="I144" s="4"/>
      <c r="J144" s="4"/>
      <c r="K144" s="4"/>
      <c r="L144" s="4"/>
      <c r="M144" s="4"/>
    </row>
    <row r="145" ht="14.25" customHeight="1">
      <c r="A145" s="397"/>
      <c r="B145" s="397"/>
      <c r="C145" s="397"/>
      <c r="D145" s="398"/>
      <c r="E145" s="4"/>
      <c r="F145" s="4"/>
      <c r="G145" s="4"/>
      <c r="H145" s="4"/>
      <c r="I145" s="4"/>
      <c r="J145" s="4"/>
      <c r="K145" s="4"/>
      <c r="L145" s="4"/>
      <c r="M145" s="4"/>
    </row>
    <row r="146" ht="14.25" customHeight="1">
      <c r="A146" s="397"/>
      <c r="B146" s="397"/>
      <c r="C146" s="397"/>
      <c r="D146" s="398"/>
      <c r="E146" s="4"/>
      <c r="F146" s="4"/>
      <c r="G146" s="4"/>
      <c r="H146" s="4"/>
      <c r="I146" s="4"/>
      <c r="J146" s="4"/>
      <c r="K146" s="4"/>
      <c r="L146" s="4"/>
      <c r="M146" s="4"/>
    </row>
    <row r="147" ht="14.25" customHeight="1">
      <c r="A147" s="397"/>
      <c r="B147" s="397"/>
      <c r="C147" s="397"/>
      <c r="D147" s="398"/>
      <c r="E147" s="4"/>
      <c r="F147" s="4"/>
      <c r="G147" s="4"/>
      <c r="H147" s="4"/>
      <c r="I147" s="4"/>
      <c r="J147" s="4"/>
      <c r="K147" s="4"/>
      <c r="L147" s="4"/>
      <c r="M147" s="4"/>
    </row>
    <row r="148" ht="14.25" customHeight="1">
      <c r="A148" s="397"/>
      <c r="B148" s="397"/>
      <c r="C148" s="397"/>
      <c r="D148" s="398"/>
      <c r="E148" s="4"/>
      <c r="F148" s="4"/>
      <c r="G148" s="4"/>
      <c r="H148" s="4"/>
      <c r="I148" s="4"/>
      <c r="J148" s="4"/>
      <c r="K148" s="4"/>
      <c r="L148" s="4"/>
      <c r="M148" s="4"/>
    </row>
    <row r="149" ht="14.25" customHeight="1">
      <c r="A149" s="397"/>
      <c r="B149" s="397"/>
      <c r="C149" s="397"/>
      <c r="D149" s="398"/>
      <c r="E149" s="4"/>
      <c r="F149" s="4"/>
      <c r="G149" s="4"/>
      <c r="H149" s="4"/>
      <c r="I149" s="4"/>
      <c r="J149" s="4"/>
      <c r="K149" s="4"/>
      <c r="L149" s="4"/>
      <c r="M149" s="4"/>
    </row>
    <row r="150" ht="14.25" customHeight="1">
      <c r="A150" s="397"/>
      <c r="B150" s="397"/>
      <c r="C150" s="397"/>
      <c r="D150" s="398"/>
      <c r="E150" s="4"/>
      <c r="F150" s="4"/>
      <c r="G150" s="4"/>
      <c r="H150" s="4"/>
      <c r="I150" s="4"/>
      <c r="J150" s="4"/>
      <c r="K150" s="4"/>
      <c r="L150" s="4"/>
      <c r="M150" s="4"/>
    </row>
    <row r="151" ht="14.25" customHeight="1">
      <c r="A151" s="397"/>
      <c r="B151" s="397"/>
      <c r="C151" s="397"/>
      <c r="D151" s="398"/>
      <c r="E151" s="4"/>
      <c r="F151" s="4"/>
      <c r="G151" s="4"/>
      <c r="H151" s="4"/>
      <c r="I151" s="4"/>
      <c r="J151" s="4"/>
      <c r="K151" s="4"/>
      <c r="L151" s="4"/>
      <c r="M151" s="4"/>
    </row>
    <row r="152" ht="14.25" customHeight="1">
      <c r="A152" s="397"/>
      <c r="B152" s="397"/>
      <c r="C152" s="397"/>
      <c r="D152" s="398"/>
      <c r="E152" s="4"/>
      <c r="F152" s="4"/>
      <c r="G152" s="4"/>
      <c r="H152" s="4"/>
      <c r="I152" s="4"/>
      <c r="J152" s="4"/>
      <c r="K152" s="4"/>
      <c r="L152" s="4"/>
      <c r="M152" s="4"/>
    </row>
    <row r="153" ht="14.25" customHeight="1">
      <c r="A153" s="397"/>
      <c r="B153" s="397"/>
      <c r="C153" s="397"/>
      <c r="D153" s="398"/>
      <c r="E153" s="4"/>
      <c r="F153" s="4"/>
      <c r="G153" s="4"/>
      <c r="H153" s="4"/>
      <c r="I153" s="4"/>
      <c r="J153" s="4"/>
      <c r="K153" s="4"/>
      <c r="L153" s="4"/>
      <c r="M153" s="4"/>
    </row>
    <row r="154" ht="14.25" customHeight="1">
      <c r="A154" s="397"/>
      <c r="B154" s="397"/>
      <c r="C154" s="397"/>
      <c r="D154" s="398"/>
      <c r="E154" s="4"/>
      <c r="F154" s="4"/>
      <c r="G154" s="4"/>
      <c r="H154" s="4"/>
      <c r="I154" s="4"/>
      <c r="J154" s="4"/>
      <c r="K154" s="4"/>
      <c r="L154" s="4"/>
      <c r="M154" s="4"/>
    </row>
    <row r="155" ht="14.25" customHeight="1">
      <c r="A155" s="397"/>
      <c r="B155" s="397"/>
      <c r="C155" s="397"/>
      <c r="D155" s="398"/>
      <c r="E155" s="4"/>
      <c r="F155" s="4"/>
      <c r="G155" s="4"/>
      <c r="H155" s="4"/>
      <c r="I155" s="4"/>
      <c r="J155" s="4"/>
      <c r="K155" s="4"/>
      <c r="L155" s="4"/>
      <c r="M155" s="4"/>
    </row>
    <row r="156" ht="14.25" customHeight="1">
      <c r="A156" s="397"/>
      <c r="B156" s="397"/>
      <c r="C156" s="397"/>
      <c r="D156" s="398"/>
      <c r="E156" s="4"/>
      <c r="F156" s="4"/>
      <c r="G156" s="4"/>
      <c r="H156" s="4"/>
      <c r="I156" s="4"/>
      <c r="J156" s="4"/>
      <c r="K156" s="4"/>
      <c r="L156" s="4"/>
      <c r="M156" s="4"/>
    </row>
    <row r="157" ht="14.25" customHeight="1">
      <c r="A157" s="397"/>
      <c r="B157" s="397"/>
      <c r="C157" s="397"/>
      <c r="D157" s="398"/>
      <c r="E157" s="4"/>
      <c r="F157" s="4"/>
      <c r="G157" s="4"/>
      <c r="H157" s="4"/>
      <c r="I157" s="4"/>
      <c r="J157" s="4"/>
      <c r="K157" s="4"/>
      <c r="L157" s="4"/>
      <c r="M157" s="4"/>
    </row>
    <row r="158" ht="14.25" customHeight="1">
      <c r="A158" s="397"/>
      <c r="B158" s="397"/>
      <c r="C158" s="397"/>
      <c r="D158" s="398"/>
      <c r="E158" s="4"/>
      <c r="F158" s="4"/>
      <c r="G158" s="4"/>
      <c r="H158" s="4"/>
      <c r="I158" s="4"/>
      <c r="J158" s="4"/>
      <c r="K158" s="4"/>
      <c r="L158" s="4"/>
      <c r="M158" s="4"/>
    </row>
    <row r="159" ht="14.25" customHeight="1">
      <c r="A159" s="397"/>
      <c r="B159" s="397"/>
      <c r="C159" s="397"/>
      <c r="D159" s="398"/>
      <c r="E159" s="4"/>
      <c r="F159" s="4"/>
      <c r="G159" s="4"/>
      <c r="H159" s="4"/>
      <c r="I159" s="4"/>
      <c r="J159" s="4"/>
      <c r="K159" s="4"/>
      <c r="L159" s="4"/>
      <c r="M159" s="4"/>
    </row>
    <row r="160" ht="14.25" customHeight="1">
      <c r="A160" s="397"/>
      <c r="B160" s="397"/>
      <c r="C160" s="397"/>
      <c r="D160" s="398"/>
      <c r="E160" s="4"/>
      <c r="F160" s="4"/>
      <c r="G160" s="4"/>
      <c r="H160" s="4"/>
      <c r="I160" s="4"/>
      <c r="J160" s="4"/>
      <c r="K160" s="4"/>
      <c r="L160" s="4"/>
      <c r="M160" s="4"/>
    </row>
    <row r="161" ht="14.25" customHeight="1">
      <c r="A161" s="397"/>
      <c r="B161" s="397"/>
      <c r="C161" s="397"/>
      <c r="D161" s="398"/>
      <c r="E161" s="4"/>
      <c r="F161" s="4"/>
      <c r="G161" s="4"/>
      <c r="H161" s="4"/>
      <c r="I161" s="4"/>
      <c r="J161" s="4"/>
      <c r="K161" s="4"/>
      <c r="L161" s="4"/>
      <c r="M161" s="4"/>
    </row>
    <row r="162" ht="14.25" customHeight="1">
      <c r="A162" s="397"/>
      <c r="B162" s="397"/>
      <c r="C162" s="397"/>
      <c r="D162" s="398"/>
      <c r="E162" s="4"/>
      <c r="F162" s="4"/>
      <c r="G162" s="4"/>
      <c r="H162" s="4"/>
      <c r="I162" s="4"/>
      <c r="J162" s="4"/>
      <c r="K162" s="4"/>
      <c r="L162" s="4"/>
      <c r="M162" s="4"/>
    </row>
    <row r="163" ht="14.25" customHeight="1">
      <c r="A163" s="397"/>
      <c r="B163" s="397"/>
      <c r="C163" s="397"/>
      <c r="D163" s="398"/>
      <c r="E163" s="4"/>
      <c r="F163" s="4"/>
      <c r="G163" s="4"/>
      <c r="H163" s="4"/>
      <c r="I163" s="4"/>
      <c r="J163" s="4"/>
      <c r="K163" s="4"/>
      <c r="L163" s="4"/>
      <c r="M163" s="4"/>
    </row>
    <row r="164" ht="14.25" customHeight="1">
      <c r="A164" s="397"/>
      <c r="B164" s="397"/>
      <c r="C164" s="397"/>
      <c r="D164" s="398"/>
      <c r="E164" s="4"/>
      <c r="F164" s="4"/>
      <c r="G164" s="4"/>
      <c r="H164" s="4"/>
      <c r="I164" s="4"/>
      <c r="J164" s="4"/>
      <c r="K164" s="4"/>
      <c r="L164" s="4"/>
      <c r="M164" s="4"/>
    </row>
    <row r="165" ht="14.25" customHeight="1">
      <c r="A165" s="397"/>
      <c r="B165" s="397"/>
      <c r="C165" s="397"/>
      <c r="D165" s="398"/>
      <c r="E165" s="4"/>
      <c r="F165" s="4"/>
      <c r="G165" s="4"/>
      <c r="H165" s="4"/>
      <c r="I165" s="4"/>
      <c r="J165" s="4"/>
      <c r="K165" s="4"/>
      <c r="L165" s="4"/>
      <c r="M165" s="4"/>
    </row>
    <row r="166" ht="14.25" customHeight="1">
      <c r="A166" s="397"/>
      <c r="B166" s="397"/>
      <c r="C166" s="397"/>
      <c r="D166" s="398"/>
      <c r="E166" s="4"/>
      <c r="F166" s="4"/>
      <c r="G166" s="4"/>
      <c r="H166" s="4"/>
      <c r="I166" s="4"/>
      <c r="J166" s="4"/>
      <c r="K166" s="4"/>
      <c r="L166" s="4"/>
      <c r="M166" s="4"/>
    </row>
    <row r="167" ht="14.25" customHeight="1">
      <c r="A167" s="397"/>
      <c r="B167" s="397"/>
      <c r="C167" s="397"/>
      <c r="D167" s="398"/>
      <c r="E167" s="4"/>
      <c r="F167" s="4"/>
      <c r="G167" s="4"/>
      <c r="H167" s="4"/>
      <c r="I167" s="4"/>
      <c r="J167" s="4"/>
      <c r="K167" s="4"/>
      <c r="L167" s="4"/>
      <c r="M167" s="4"/>
    </row>
    <row r="168" ht="14.25" customHeight="1">
      <c r="A168" s="397"/>
      <c r="B168" s="397"/>
      <c r="C168" s="397"/>
      <c r="D168" s="398"/>
      <c r="E168" s="4"/>
      <c r="F168" s="4"/>
      <c r="G168" s="4"/>
      <c r="H168" s="4"/>
      <c r="I168" s="4"/>
      <c r="J168" s="4"/>
      <c r="K168" s="4"/>
      <c r="L168" s="4"/>
      <c r="M168" s="4"/>
    </row>
    <row r="169" ht="14.25" customHeight="1">
      <c r="A169" s="397"/>
      <c r="B169" s="397"/>
      <c r="C169" s="397"/>
      <c r="D169" s="398"/>
      <c r="E169" s="4"/>
      <c r="F169" s="4"/>
      <c r="G169" s="4"/>
      <c r="H169" s="4"/>
      <c r="I169" s="4"/>
      <c r="J169" s="4"/>
      <c r="K169" s="4"/>
      <c r="L169" s="4"/>
      <c r="M169" s="4"/>
    </row>
    <row r="170" ht="14.25" customHeight="1">
      <c r="A170" s="397"/>
      <c r="B170" s="397"/>
      <c r="C170" s="397"/>
      <c r="D170" s="398"/>
      <c r="E170" s="4"/>
      <c r="F170" s="4"/>
      <c r="G170" s="4"/>
      <c r="H170" s="4"/>
      <c r="I170" s="4"/>
      <c r="J170" s="4"/>
      <c r="K170" s="4"/>
      <c r="L170" s="4"/>
      <c r="M170" s="4"/>
    </row>
    <row r="171" ht="14.25" customHeight="1">
      <c r="A171" s="397"/>
      <c r="B171" s="397"/>
      <c r="C171" s="397"/>
      <c r="D171" s="398"/>
      <c r="E171" s="4"/>
      <c r="F171" s="4"/>
      <c r="G171" s="4"/>
      <c r="H171" s="4"/>
      <c r="I171" s="4"/>
      <c r="J171" s="4"/>
      <c r="K171" s="4"/>
      <c r="L171" s="4"/>
      <c r="M171" s="4"/>
    </row>
    <row r="172" ht="14.25" customHeight="1">
      <c r="A172" s="397"/>
      <c r="B172" s="397"/>
      <c r="C172" s="397"/>
      <c r="D172" s="398"/>
      <c r="E172" s="4"/>
      <c r="F172" s="4"/>
      <c r="G172" s="4"/>
      <c r="H172" s="4"/>
      <c r="I172" s="4"/>
      <c r="J172" s="4"/>
      <c r="K172" s="4"/>
      <c r="L172" s="4"/>
      <c r="M172" s="4"/>
    </row>
    <row r="173" ht="14.25" customHeight="1">
      <c r="A173" s="397"/>
      <c r="B173" s="397"/>
      <c r="C173" s="397"/>
      <c r="D173" s="398"/>
      <c r="E173" s="4"/>
      <c r="F173" s="4"/>
      <c r="G173" s="4"/>
      <c r="H173" s="4"/>
      <c r="I173" s="4"/>
      <c r="J173" s="4"/>
      <c r="K173" s="4"/>
      <c r="L173" s="4"/>
      <c r="M173" s="4"/>
    </row>
    <row r="174" ht="14.25" customHeight="1">
      <c r="A174" s="397"/>
      <c r="B174" s="397"/>
      <c r="C174" s="397"/>
      <c r="D174" s="398"/>
      <c r="E174" s="4"/>
      <c r="F174" s="4"/>
      <c r="G174" s="4"/>
      <c r="H174" s="4"/>
      <c r="I174" s="4"/>
      <c r="J174" s="4"/>
      <c r="K174" s="4"/>
      <c r="L174" s="4"/>
      <c r="M174" s="4"/>
    </row>
    <row r="175" ht="14.25" customHeight="1">
      <c r="A175" s="397"/>
      <c r="B175" s="397"/>
      <c r="C175" s="397"/>
      <c r="D175" s="398"/>
      <c r="E175" s="4"/>
      <c r="F175" s="4"/>
      <c r="G175" s="4"/>
      <c r="H175" s="4"/>
      <c r="I175" s="4"/>
      <c r="J175" s="4"/>
      <c r="K175" s="4"/>
      <c r="L175" s="4"/>
      <c r="M175" s="4"/>
    </row>
    <row r="176" ht="14.25" customHeight="1">
      <c r="A176" s="397"/>
      <c r="B176" s="397"/>
      <c r="C176" s="397"/>
      <c r="D176" s="398"/>
      <c r="E176" s="4"/>
      <c r="F176" s="4"/>
      <c r="G176" s="4"/>
      <c r="H176" s="4"/>
      <c r="I176" s="4"/>
      <c r="J176" s="4"/>
      <c r="K176" s="4"/>
      <c r="L176" s="4"/>
      <c r="M176" s="4"/>
    </row>
    <row r="177" ht="14.25" customHeight="1">
      <c r="A177" s="397"/>
      <c r="B177" s="397"/>
      <c r="C177" s="397"/>
      <c r="D177" s="398"/>
      <c r="E177" s="4"/>
      <c r="F177" s="4"/>
      <c r="G177" s="4"/>
      <c r="H177" s="4"/>
      <c r="I177" s="4"/>
      <c r="J177" s="4"/>
      <c r="K177" s="4"/>
      <c r="L177" s="4"/>
      <c r="M177" s="4"/>
    </row>
    <row r="178" ht="14.25" customHeight="1">
      <c r="A178" s="397"/>
      <c r="B178" s="397"/>
      <c r="C178" s="397"/>
      <c r="D178" s="398"/>
      <c r="E178" s="4"/>
      <c r="F178" s="4"/>
      <c r="G178" s="4"/>
      <c r="H178" s="4"/>
      <c r="I178" s="4"/>
      <c r="J178" s="4"/>
      <c r="K178" s="4"/>
      <c r="L178" s="4"/>
      <c r="M178" s="4"/>
    </row>
    <row r="179" ht="14.25" customHeight="1">
      <c r="A179" s="397"/>
      <c r="B179" s="397"/>
      <c r="C179" s="397"/>
      <c r="D179" s="398"/>
      <c r="E179" s="4"/>
      <c r="F179" s="4"/>
      <c r="G179" s="4"/>
      <c r="H179" s="4"/>
      <c r="I179" s="4"/>
      <c r="J179" s="4"/>
      <c r="K179" s="4"/>
      <c r="L179" s="4"/>
      <c r="M179" s="4"/>
    </row>
    <row r="180" ht="14.25" customHeight="1">
      <c r="A180" s="397"/>
      <c r="B180" s="397"/>
      <c r="C180" s="397"/>
      <c r="D180" s="398"/>
      <c r="E180" s="4"/>
      <c r="F180" s="4"/>
      <c r="G180" s="4"/>
      <c r="H180" s="4"/>
      <c r="I180" s="4"/>
      <c r="J180" s="4"/>
      <c r="K180" s="4"/>
      <c r="L180" s="4"/>
      <c r="M180" s="4"/>
    </row>
    <row r="181" ht="14.25" customHeight="1">
      <c r="A181" s="397"/>
      <c r="B181" s="397"/>
      <c r="C181" s="397"/>
      <c r="D181" s="398"/>
      <c r="E181" s="4"/>
      <c r="F181" s="4"/>
      <c r="G181" s="4"/>
      <c r="H181" s="4"/>
      <c r="I181" s="4"/>
      <c r="J181" s="4"/>
      <c r="K181" s="4"/>
      <c r="L181" s="4"/>
      <c r="M181" s="4"/>
    </row>
    <row r="182" ht="14.25" customHeight="1">
      <c r="A182" s="397"/>
      <c r="B182" s="397"/>
      <c r="C182" s="397"/>
      <c r="D182" s="398"/>
      <c r="E182" s="4"/>
      <c r="F182" s="4"/>
      <c r="G182" s="4"/>
      <c r="H182" s="4"/>
      <c r="I182" s="4"/>
      <c r="J182" s="4"/>
      <c r="K182" s="4"/>
      <c r="L182" s="4"/>
      <c r="M182" s="4"/>
    </row>
    <row r="183" ht="14.25" customHeight="1">
      <c r="A183" s="397"/>
      <c r="B183" s="397"/>
      <c r="C183" s="397"/>
      <c r="D183" s="398"/>
      <c r="E183" s="4"/>
      <c r="F183" s="4"/>
      <c r="G183" s="4"/>
      <c r="H183" s="4"/>
      <c r="I183" s="4"/>
      <c r="J183" s="4"/>
      <c r="K183" s="4"/>
      <c r="L183" s="4"/>
      <c r="M183" s="4"/>
    </row>
    <row r="184" ht="14.25" customHeight="1">
      <c r="A184" s="397"/>
      <c r="B184" s="397"/>
      <c r="C184" s="397"/>
      <c r="D184" s="398"/>
      <c r="E184" s="4"/>
      <c r="F184" s="4"/>
      <c r="G184" s="4"/>
      <c r="H184" s="4"/>
      <c r="I184" s="4"/>
      <c r="J184" s="4"/>
      <c r="K184" s="4"/>
      <c r="L184" s="4"/>
      <c r="M184" s="4"/>
    </row>
    <row r="185" ht="14.25" customHeight="1">
      <c r="A185" s="397"/>
      <c r="B185" s="397"/>
      <c r="C185" s="397"/>
      <c r="D185" s="398"/>
      <c r="E185" s="4"/>
      <c r="F185" s="4"/>
      <c r="G185" s="4"/>
      <c r="H185" s="4"/>
      <c r="I185" s="4"/>
      <c r="J185" s="4"/>
      <c r="K185" s="4"/>
      <c r="L185" s="4"/>
      <c r="M185" s="4"/>
    </row>
    <row r="186" ht="14.25" customHeight="1">
      <c r="A186" s="397"/>
      <c r="B186" s="397"/>
      <c r="C186" s="397"/>
      <c r="D186" s="398"/>
      <c r="E186" s="4"/>
      <c r="F186" s="4"/>
      <c r="G186" s="4"/>
      <c r="H186" s="4"/>
      <c r="I186" s="4"/>
      <c r="J186" s="4"/>
      <c r="K186" s="4"/>
      <c r="L186" s="4"/>
      <c r="M186" s="4"/>
    </row>
    <row r="187" ht="14.25" customHeight="1">
      <c r="A187" s="397"/>
      <c r="B187" s="397"/>
      <c r="C187" s="397"/>
      <c r="D187" s="398"/>
      <c r="E187" s="4"/>
      <c r="F187" s="4"/>
      <c r="G187" s="4"/>
      <c r="H187" s="4"/>
      <c r="I187" s="4"/>
      <c r="J187" s="4"/>
      <c r="K187" s="4"/>
      <c r="L187" s="4"/>
      <c r="M187" s="4"/>
    </row>
    <row r="188" ht="14.25" customHeight="1">
      <c r="A188" s="397"/>
      <c r="B188" s="397"/>
      <c r="C188" s="397"/>
      <c r="D188" s="398"/>
      <c r="E188" s="4"/>
      <c r="F188" s="4"/>
      <c r="G188" s="4"/>
      <c r="H188" s="4"/>
      <c r="I188" s="4"/>
      <c r="J188" s="4"/>
      <c r="K188" s="4"/>
      <c r="L188" s="4"/>
      <c r="M188" s="4"/>
    </row>
    <row r="189" ht="14.25" customHeight="1">
      <c r="A189" s="397"/>
      <c r="B189" s="397"/>
      <c r="C189" s="397"/>
      <c r="D189" s="398"/>
      <c r="E189" s="4"/>
      <c r="F189" s="4"/>
      <c r="G189" s="4"/>
      <c r="H189" s="4"/>
      <c r="I189" s="4"/>
      <c r="J189" s="4"/>
      <c r="K189" s="4"/>
      <c r="L189" s="4"/>
      <c r="M189" s="4"/>
    </row>
    <row r="190" ht="14.25" customHeight="1">
      <c r="A190" s="397"/>
      <c r="B190" s="397"/>
      <c r="C190" s="397"/>
      <c r="D190" s="398"/>
      <c r="E190" s="4"/>
      <c r="F190" s="4"/>
      <c r="G190" s="4"/>
      <c r="H190" s="4"/>
      <c r="I190" s="4"/>
      <c r="J190" s="4"/>
      <c r="K190" s="4"/>
      <c r="L190" s="4"/>
      <c r="M190" s="4"/>
    </row>
    <row r="191" ht="14.25" customHeight="1">
      <c r="A191" s="397"/>
      <c r="B191" s="397"/>
      <c r="C191" s="397"/>
      <c r="D191" s="398"/>
      <c r="E191" s="4"/>
      <c r="F191" s="4"/>
      <c r="G191" s="4"/>
      <c r="H191" s="4"/>
      <c r="I191" s="4"/>
      <c r="J191" s="4"/>
      <c r="K191" s="4"/>
      <c r="L191" s="4"/>
      <c r="M191" s="4"/>
    </row>
    <row r="192" ht="14.25" customHeight="1">
      <c r="A192" s="397"/>
      <c r="B192" s="397"/>
      <c r="C192" s="397"/>
      <c r="D192" s="398"/>
      <c r="E192" s="4"/>
      <c r="F192" s="4"/>
      <c r="G192" s="4"/>
      <c r="H192" s="4"/>
      <c r="I192" s="4"/>
      <c r="J192" s="4"/>
      <c r="K192" s="4"/>
      <c r="L192" s="4"/>
      <c r="M192" s="4"/>
    </row>
    <row r="193" ht="14.25" customHeight="1">
      <c r="A193" s="397"/>
      <c r="B193" s="397"/>
      <c r="C193" s="397"/>
      <c r="D193" s="398"/>
      <c r="E193" s="4"/>
      <c r="F193" s="4"/>
      <c r="G193" s="4"/>
      <c r="H193" s="4"/>
      <c r="I193" s="4"/>
      <c r="J193" s="4"/>
      <c r="K193" s="4"/>
      <c r="L193" s="4"/>
      <c r="M193" s="4"/>
    </row>
    <row r="194" ht="14.25" customHeight="1">
      <c r="A194" s="397"/>
      <c r="B194" s="397"/>
      <c r="C194" s="397"/>
      <c r="D194" s="398"/>
      <c r="E194" s="4"/>
      <c r="F194" s="4"/>
      <c r="G194" s="4"/>
      <c r="H194" s="4"/>
      <c r="I194" s="4"/>
      <c r="J194" s="4"/>
      <c r="K194" s="4"/>
      <c r="L194" s="4"/>
      <c r="M194" s="4"/>
    </row>
    <row r="195" ht="14.25" customHeight="1">
      <c r="A195" s="397"/>
      <c r="B195" s="397"/>
      <c r="C195" s="397"/>
      <c r="D195" s="398"/>
      <c r="E195" s="4"/>
      <c r="F195" s="4"/>
      <c r="G195" s="4"/>
      <c r="H195" s="4"/>
      <c r="I195" s="4"/>
      <c r="J195" s="4"/>
      <c r="K195" s="4"/>
      <c r="L195" s="4"/>
      <c r="M195" s="4"/>
    </row>
    <row r="196" ht="14.25" customHeight="1">
      <c r="A196" s="397"/>
      <c r="B196" s="397"/>
      <c r="C196" s="397"/>
      <c r="D196" s="398"/>
      <c r="E196" s="4"/>
      <c r="F196" s="4"/>
      <c r="G196" s="4"/>
      <c r="H196" s="4"/>
      <c r="I196" s="4"/>
      <c r="J196" s="4"/>
      <c r="K196" s="4"/>
      <c r="L196" s="4"/>
      <c r="M196" s="4"/>
    </row>
    <row r="197" ht="14.25" customHeight="1">
      <c r="A197" s="397"/>
      <c r="B197" s="397"/>
      <c r="C197" s="397"/>
      <c r="D197" s="398"/>
      <c r="E197" s="4"/>
      <c r="F197" s="4"/>
      <c r="G197" s="4"/>
      <c r="H197" s="4"/>
      <c r="I197" s="4"/>
      <c r="J197" s="4"/>
      <c r="K197" s="4"/>
      <c r="L197" s="4"/>
      <c r="M197" s="4"/>
    </row>
    <row r="198" ht="14.25" customHeight="1">
      <c r="A198" s="397"/>
      <c r="B198" s="397"/>
      <c r="C198" s="397"/>
      <c r="D198" s="398"/>
      <c r="E198" s="4"/>
      <c r="F198" s="4"/>
      <c r="G198" s="4"/>
      <c r="H198" s="4"/>
      <c r="I198" s="4"/>
      <c r="J198" s="4"/>
      <c r="K198" s="4"/>
      <c r="L198" s="4"/>
      <c r="M198" s="4"/>
    </row>
    <row r="199" ht="14.25" customHeight="1">
      <c r="A199" s="397"/>
      <c r="B199" s="397"/>
      <c r="C199" s="397"/>
      <c r="D199" s="398"/>
      <c r="E199" s="4"/>
      <c r="F199" s="4"/>
      <c r="G199" s="4"/>
      <c r="H199" s="4"/>
      <c r="I199" s="4"/>
      <c r="J199" s="4"/>
      <c r="K199" s="4"/>
      <c r="L199" s="4"/>
      <c r="M199" s="4"/>
    </row>
    <row r="200" ht="14.25" customHeight="1">
      <c r="A200" s="397"/>
      <c r="B200" s="397"/>
      <c r="C200" s="397"/>
      <c r="D200" s="398"/>
      <c r="E200" s="4"/>
      <c r="F200" s="4"/>
      <c r="G200" s="4"/>
      <c r="H200" s="4"/>
      <c r="I200" s="4"/>
      <c r="J200" s="4"/>
      <c r="K200" s="4"/>
      <c r="L200" s="4"/>
      <c r="M200" s="4"/>
    </row>
    <row r="201" ht="14.25" customHeight="1">
      <c r="A201" s="397"/>
      <c r="B201" s="397"/>
      <c r="C201" s="397"/>
      <c r="D201" s="398"/>
      <c r="E201" s="4"/>
      <c r="F201" s="4"/>
      <c r="G201" s="4"/>
      <c r="H201" s="4"/>
      <c r="I201" s="4"/>
      <c r="J201" s="4"/>
      <c r="K201" s="4"/>
      <c r="L201" s="4"/>
      <c r="M201" s="4"/>
    </row>
    <row r="202" ht="14.25" customHeight="1">
      <c r="A202" s="397"/>
      <c r="B202" s="397"/>
      <c r="C202" s="397"/>
      <c r="D202" s="398"/>
      <c r="E202" s="4"/>
      <c r="F202" s="4"/>
      <c r="G202" s="4"/>
      <c r="H202" s="4"/>
      <c r="I202" s="4"/>
      <c r="J202" s="4"/>
      <c r="K202" s="4"/>
      <c r="L202" s="4"/>
      <c r="M202" s="4"/>
    </row>
    <row r="203" ht="14.25" customHeight="1">
      <c r="A203" s="397"/>
      <c r="B203" s="397"/>
      <c r="C203" s="397"/>
      <c r="D203" s="398"/>
      <c r="E203" s="4"/>
      <c r="F203" s="4"/>
      <c r="G203" s="4"/>
      <c r="H203" s="4"/>
      <c r="I203" s="4"/>
      <c r="J203" s="4"/>
      <c r="K203" s="4"/>
      <c r="L203" s="4"/>
      <c r="M203" s="4"/>
    </row>
    <row r="204" ht="14.25" customHeight="1">
      <c r="A204" s="397"/>
      <c r="B204" s="397"/>
      <c r="C204" s="397"/>
      <c r="D204" s="398"/>
      <c r="E204" s="4"/>
      <c r="F204" s="4"/>
      <c r="G204" s="4"/>
      <c r="H204" s="4"/>
      <c r="I204" s="4"/>
      <c r="J204" s="4"/>
      <c r="K204" s="4"/>
      <c r="L204" s="4"/>
      <c r="M204" s="4"/>
    </row>
    <row r="205" ht="14.25" customHeight="1">
      <c r="A205" s="397"/>
      <c r="B205" s="397"/>
      <c r="C205" s="397"/>
      <c r="D205" s="398"/>
      <c r="E205" s="4"/>
      <c r="F205" s="4"/>
      <c r="G205" s="4"/>
      <c r="H205" s="4"/>
      <c r="I205" s="4"/>
      <c r="J205" s="4"/>
      <c r="K205" s="4"/>
      <c r="L205" s="4"/>
      <c r="M205" s="4"/>
    </row>
    <row r="206" ht="14.25" customHeight="1">
      <c r="A206" s="397"/>
      <c r="B206" s="397"/>
      <c r="C206" s="397"/>
      <c r="D206" s="398"/>
      <c r="E206" s="4"/>
      <c r="F206" s="4"/>
      <c r="G206" s="4"/>
      <c r="H206" s="4"/>
      <c r="I206" s="4"/>
      <c r="J206" s="4"/>
      <c r="K206" s="4"/>
      <c r="L206" s="4"/>
      <c r="M206" s="4"/>
    </row>
    <row r="207" ht="14.25" customHeight="1">
      <c r="A207" s="397"/>
      <c r="B207" s="397"/>
      <c r="C207" s="397"/>
      <c r="D207" s="398"/>
      <c r="E207" s="4"/>
      <c r="F207" s="4"/>
      <c r="G207" s="4"/>
      <c r="H207" s="4"/>
      <c r="I207" s="4"/>
      <c r="J207" s="4"/>
      <c r="K207" s="4"/>
      <c r="L207" s="4"/>
      <c r="M207" s="4"/>
    </row>
    <row r="208" ht="14.25" customHeight="1">
      <c r="A208" s="397"/>
      <c r="B208" s="397"/>
      <c r="C208" s="397"/>
      <c r="D208" s="398"/>
      <c r="E208" s="4"/>
      <c r="F208" s="4"/>
      <c r="G208" s="4"/>
      <c r="H208" s="4"/>
      <c r="I208" s="4"/>
      <c r="J208" s="4"/>
      <c r="K208" s="4"/>
      <c r="L208" s="4"/>
      <c r="M208" s="4"/>
    </row>
    <row r="209" ht="14.25" customHeight="1">
      <c r="A209" s="397"/>
      <c r="B209" s="397"/>
      <c r="C209" s="397"/>
      <c r="D209" s="398"/>
      <c r="E209" s="4"/>
      <c r="F209" s="4"/>
      <c r="G209" s="4"/>
      <c r="H209" s="4"/>
      <c r="I209" s="4"/>
      <c r="J209" s="4"/>
      <c r="K209" s="4"/>
      <c r="L209" s="4"/>
      <c r="M209" s="4"/>
    </row>
    <row r="210" ht="14.25" customHeight="1">
      <c r="A210" s="397"/>
      <c r="B210" s="397"/>
      <c r="C210" s="397"/>
      <c r="D210" s="398"/>
      <c r="E210" s="4"/>
      <c r="F210" s="4"/>
      <c r="G210" s="4"/>
      <c r="H210" s="4"/>
      <c r="I210" s="4"/>
      <c r="J210" s="4"/>
      <c r="K210" s="4"/>
      <c r="L210" s="4"/>
      <c r="M210" s="4"/>
    </row>
    <row r="211" ht="14.25" customHeight="1">
      <c r="A211" s="397"/>
      <c r="B211" s="397"/>
      <c r="C211" s="397"/>
      <c r="D211" s="398"/>
      <c r="E211" s="4"/>
      <c r="F211" s="4"/>
      <c r="G211" s="4"/>
      <c r="H211" s="4"/>
      <c r="I211" s="4"/>
      <c r="J211" s="4"/>
      <c r="K211" s="4"/>
      <c r="L211" s="4"/>
      <c r="M211" s="4"/>
    </row>
    <row r="212" ht="14.25" customHeight="1">
      <c r="A212" s="397"/>
      <c r="B212" s="397"/>
      <c r="C212" s="397"/>
      <c r="D212" s="398"/>
      <c r="E212" s="4"/>
      <c r="F212" s="4"/>
      <c r="G212" s="4"/>
      <c r="H212" s="4"/>
      <c r="I212" s="4"/>
      <c r="J212" s="4"/>
      <c r="K212" s="4"/>
      <c r="L212" s="4"/>
      <c r="M212" s="4"/>
    </row>
    <row r="213" ht="14.25" customHeight="1">
      <c r="A213" s="397"/>
      <c r="B213" s="397"/>
      <c r="C213" s="397"/>
      <c r="D213" s="398"/>
      <c r="E213" s="4"/>
      <c r="F213" s="4"/>
      <c r="G213" s="4"/>
      <c r="H213" s="4"/>
      <c r="I213" s="4"/>
      <c r="J213" s="4"/>
      <c r="K213" s="4"/>
      <c r="L213" s="4"/>
      <c r="M213" s="4"/>
    </row>
    <row r="214" ht="14.25" customHeight="1">
      <c r="A214" s="397"/>
      <c r="B214" s="397"/>
      <c r="C214" s="397"/>
      <c r="D214" s="398"/>
      <c r="E214" s="4"/>
      <c r="F214" s="4"/>
      <c r="G214" s="4"/>
      <c r="H214" s="4"/>
      <c r="I214" s="4"/>
      <c r="J214" s="4"/>
      <c r="K214" s="4"/>
      <c r="L214" s="4"/>
      <c r="M214" s="4"/>
    </row>
    <row r="215" ht="14.25" customHeight="1">
      <c r="A215" s="397"/>
      <c r="B215" s="397"/>
      <c r="C215" s="397"/>
      <c r="D215" s="398"/>
      <c r="E215" s="4"/>
      <c r="F215" s="4"/>
      <c r="G215" s="4"/>
      <c r="H215" s="4"/>
      <c r="I215" s="4"/>
      <c r="J215" s="4"/>
      <c r="K215" s="4"/>
      <c r="L215" s="4"/>
      <c r="M215" s="4"/>
    </row>
    <row r="216" ht="14.25" customHeight="1">
      <c r="A216" s="397"/>
      <c r="B216" s="397"/>
      <c r="C216" s="397"/>
      <c r="D216" s="398"/>
      <c r="E216" s="4"/>
      <c r="F216" s="4"/>
      <c r="G216" s="4"/>
      <c r="H216" s="4"/>
      <c r="I216" s="4"/>
      <c r="J216" s="4"/>
      <c r="K216" s="4"/>
      <c r="L216" s="4"/>
      <c r="M216" s="4"/>
    </row>
    <row r="217" ht="14.25" customHeight="1">
      <c r="A217" s="397"/>
      <c r="B217" s="397"/>
      <c r="C217" s="397"/>
      <c r="D217" s="398"/>
      <c r="E217" s="4"/>
      <c r="F217" s="4"/>
      <c r="G217" s="4"/>
      <c r="H217" s="4"/>
      <c r="I217" s="4"/>
      <c r="J217" s="4"/>
      <c r="K217" s="4"/>
      <c r="L217" s="4"/>
      <c r="M217" s="4"/>
    </row>
    <row r="218" ht="14.25" customHeight="1">
      <c r="A218" s="397"/>
      <c r="B218" s="397"/>
      <c r="C218" s="397"/>
      <c r="D218" s="398"/>
      <c r="E218" s="4"/>
      <c r="F218" s="4"/>
      <c r="G218" s="4"/>
      <c r="H218" s="4"/>
      <c r="I218" s="4"/>
      <c r="J218" s="4"/>
      <c r="K218" s="4"/>
      <c r="L218" s="4"/>
      <c r="M218" s="4"/>
    </row>
    <row r="219" ht="14.25" customHeight="1">
      <c r="A219" s="397"/>
      <c r="B219" s="397"/>
      <c r="C219" s="397"/>
      <c r="D219" s="398"/>
      <c r="E219" s="4"/>
      <c r="F219" s="4"/>
      <c r="G219" s="4"/>
      <c r="H219" s="4"/>
      <c r="I219" s="4"/>
      <c r="J219" s="4"/>
      <c r="K219" s="4"/>
      <c r="L219" s="4"/>
      <c r="M219" s="4"/>
    </row>
    <row r="220" ht="14.25" customHeight="1">
      <c r="A220" s="397"/>
      <c r="B220" s="397"/>
      <c r="C220" s="397"/>
      <c r="D220" s="398"/>
      <c r="E220" s="4"/>
      <c r="F220" s="4"/>
      <c r="G220" s="4"/>
      <c r="H220" s="4"/>
      <c r="I220" s="4"/>
      <c r="J220" s="4"/>
      <c r="K220" s="4"/>
      <c r="L220" s="4"/>
      <c r="M220" s="4"/>
    </row>
    <row r="221" ht="14.25" customHeight="1">
      <c r="A221" s="397"/>
      <c r="B221" s="397"/>
      <c r="C221" s="397"/>
      <c r="D221" s="398"/>
      <c r="E221" s="4"/>
      <c r="F221" s="4"/>
      <c r="G221" s="4"/>
      <c r="H221" s="4"/>
      <c r="I221" s="4"/>
      <c r="J221" s="4"/>
      <c r="K221" s="4"/>
      <c r="L221" s="4"/>
      <c r="M221" s="4"/>
    </row>
    <row r="222" ht="14.25" customHeight="1">
      <c r="A222" s="397"/>
      <c r="B222" s="397"/>
      <c r="C222" s="397"/>
      <c r="D222" s="398"/>
      <c r="E222" s="4"/>
      <c r="F222" s="4"/>
      <c r="G222" s="4"/>
      <c r="H222" s="4"/>
      <c r="I222" s="4"/>
      <c r="J222" s="4"/>
      <c r="K222" s="4"/>
      <c r="L222" s="4"/>
      <c r="M222" s="4"/>
    </row>
    <row r="223" ht="14.25" customHeight="1">
      <c r="A223" s="397"/>
      <c r="B223" s="397"/>
      <c r="C223" s="397"/>
      <c r="D223" s="398"/>
      <c r="E223" s="4"/>
      <c r="F223" s="4"/>
      <c r="G223" s="4"/>
      <c r="H223" s="4"/>
      <c r="I223" s="4"/>
      <c r="J223" s="4"/>
      <c r="K223" s="4"/>
      <c r="L223" s="4"/>
      <c r="M223" s="4"/>
    </row>
    <row r="224" ht="14.25" customHeight="1">
      <c r="A224" s="397"/>
      <c r="B224" s="397"/>
      <c r="C224" s="397"/>
      <c r="D224" s="398"/>
      <c r="E224" s="4"/>
      <c r="F224" s="4"/>
      <c r="G224" s="4"/>
      <c r="H224" s="4"/>
      <c r="I224" s="4"/>
      <c r="J224" s="4"/>
      <c r="K224" s="4"/>
      <c r="L224" s="4"/>
      <c r="M224" s="4"/>
    </row>
    <row r="225" ht="14.25" customHeight="1">
      <c r="A225" s="397"/>
      <c r="B225" s="397"/>
      <c r="C225" s="397"/>
      <c r="D225" s="398"/>
      <c r="E225" s="4"/>
      <c r="F225" s="4"/>
      <c r="G225" s="4"/>
      <c r="H225" s="4"/>
      <c r="I225" s="4"/>
      <c r="J225" s="4"/>
      <c r="K225" s="4"/>
      <c r="L225" s="4"/>
      <c r="M225" s="4"/>
    </row>
    <row r="226" ht="14.25" customHeight="1">
      <c r="A226" s="397"/>
      <c r="B226" s="397"/>
      <c r="C226" s="397"/>
      <c r="D226" s="398"/>
      <c r="E226" s="4"/>
      <c r="F226" s="4"/>
      <c r="G226" s="4"/>
      <c r="H226" s="4"/>
      <c r="I226" s="4"/>
      <c r="J226" s="4"/>
      <c r="K226" s="4"/>
      <c r="L226" s="4"/>
      <c r="M226" s="4"/>
    </row>
    <row r="227" ht="14.25" customHeight="1">
      <c r="A227" s="397"/>
      <c r="B227" s="397"/>
      <c r="C227" s="397"/>
      <c r="D227" s="398"/>
      <c r="E227" s="4"/>
      <c r="F227" s="4"/>
      <c r="G227" s="4"/>
      <c r="H227" s="4"/>
      <c r="I227" s="4"/>
      <c r="J227" s="4"/>
      <c r="K227" s="4"/>
      <c r="L227" s="4"/>
      <c r="M227" s="4"/>
    </row>
    <row r="228" ht="14.25" customHeight="1">
      <c r="A228" s="397"/>
      <c r="B228" s="397"/>
      <c r="C228" s="397"/>
      <c r="D228" s="398"/>
      <c r="E228" s="4"/>
      <c r="F228" s="4"/>
      <c r="G228" s="4"/>
      <c r="H228" s="4"/>
      <c r="I228" s="4"/>
      <c r="J228" s="4"/>
      <c r="K228" s="4"/>
      <c r="L228" s="4"/>
      <c r="M228" s="4"/>
    </row>
    <row r="229" ht="14.25" customHeight="1">
      <c r="A229" s="397"/>
      <c r="B229" s="397"/>
      <c r="C229" s="397"/>
      <c r="D229" s="398"/>
      <c r="E229" s="4"/>
      <c r="F229" s="4"/>
      <c r="G229" s="4"/>
      <c r="H229" s="4"/>
      <c r="I229" s="4"/>
      <c r="J229" s="4"/>
      <c r="K229" s="4"/>
      <c r="L229" s="4"/>
      <c r="M229" s="4"/>
    </row>
    <row r="230" ht="14.25" customHeight="1">
      <c r="A230" s="397"/>
      <c r="B230" s="397"/>
      <c r="C230" s="397"/>
      <c r="D230" s="398"/>
      <c r="E230" s="4"/>
      <c r="F230" s="4"/>
      <c r="G230" s="4"/>
      <c r="H230" s="4"/>
      <c r="I230" s="4"/>
      <c r="J230" s="4"/>
      <c r="K230" s="4"/>
      <c r="L230" s="4"/>
      <c r="M230" s="4"/>
    </row>
    <row r="231" ht="14.25" customHeight="1">
      <c r="A231" s="397"/>
      <c r="B231" s="397"/>
      <c r="C231" s="397"/>
      <c r="D231" s="398"/>
      <c r="E231" s="4"/>
      <c r="F231" s="4"/>
      <c r="G231" s="4"/>
      <c r="H231" s="4"/>
      <c r="I231" s="4"/>
      <c r="J231" s="4"/>
      <c r="K231" s="4"/>
      <c r="L231" s="4"/>
      <c r="M231" s="4"/>
    </row>
    <row r="232" ht="14.25" customHeight="1">
      <c r="A232" s="397"/>
      <c r="B232" s="397"/>
      <c r="C232" s="397"/>
      <c r="D232" s="398"/>
      <c r="E232" s="4"/>
      <c r="F232" s="4"/>
      <c r="G232" s="4"/>
      <c r="H232" s="4"/>
      <c r="I232" s="4"/>
      <c r="J232" s="4"/>
      <c r="K232" s="4"/>
      <c r="L232" s="4"/>
      <c r="M232" s="4"/>
    </row>
    <row r="233" ht="14.25" customHeight="1">
      <c r="A233" s="397"/>
      <c r="B233" s="397"/>
      <c r="C233" s="397"/>
      <c r="D233" s="398"/>
      <c r="E233" s="4"/>
      <c r="F233" s="4"/>
      <c r="G233" s="4"/>
      <c r="H233" s="4"/>
      <c r="I233" s="4"/>
      <c r="J233" s="4"/>
      <c r="K233" s="4"/>
      <c r="L233" s="4"/>
      <c r="M233" s="4"/>
    </row>
    <row r="234" ht="14.25" customHeight="1">
      <c r="A234" s="397"/>
      <c r="B234" s="397"/>
      <c r="C234" s="397"/>
      <c r="D234" s="398"/>
      <c r="E234" s="4"/>
      <c r="F234" s="4"/>
      <c r="G234" s="4"/>
      <c r="H234" s="4"/>
      <c r="I234" s="4"/>
      <c r="J234" s="4"/>
      <c r="K234" s="4"/>
      <c r="L234" s="4"/>
      <c r="M234" s="4"/>
    </row>
    <row r="235" ht="14.25" customHeight="1">
      <c r="A235" s="397"/>
      <c r="B235" s="397"/>
      <c r="C235" s="397"/>
      <c r="D235" s="398"/>
      <c r="E235" s="4"/>
      <c r="F235" s="4"/>
      <c r="G235" s="4"/>
      <c r="H235" s="4"/>
      <c r="I235" s="4"/>
      <c r="J235" s="4"/>
      <c r="K235" s="4"/>
      <c r="L235" s="4"/>
      <c r="M235" s="4"/>
    </row>
    <row r="236" ht="14.25" customHeight="1">
      <c r="A236" s="397"/>
      <c r="B236" s="397"/>
      <c r="C236" s="397"/>
      <c r="D236" s="398"/>
      <c r="E236" s="4"/>
      <c r="F236" s="4"/>
      <c r="G236" s="4"/>
      <c r="H236" s="4"/>
      <c r="I236" s="4"/>
      <c r="J236" s="4"/>
      <c r="K236" s="4"/>
      <c r="L236" s="4"/>
      <c r="M236" s="4"/>
    </row>
    <row r="237" ht="14.25" customHeight="1">
      <c r="A237" s="397"/>
      <c r="B237" s="397"/>
      <c r="C237" s="397"/>
      <c r="D237" s="398"/>
      <c r="E237" s="4"/>
      <c r="F237" s="4"/>
      <c r="G237" s="4"/>
      <c r="H237" s="4"/>
      <c r="I237" s="4"/>
      <c r="J237" s="4"/>
      <c r="K237" s="4"/>
      <c r="L237" s="4"/>
      <c r="M237" s="4"/>
    </row>
    <row r="238" ht="14.25" customHeight="1">
      <c r="A238" s="397"/>
      <c r="B238" s="397"/>
      <c r="C238" s="397"/>
      <c r="D238" s="398"/>
      <c r="E238" s="4"/>
      <c r="F238" s="4"/>
      <c r="G238" s="4"/>
      <c r="H238" s="4"/>
      <c r="I238" s="4"/>
      <c r="J238" s="4"/>
      <c r="K238" s="4"/>
      <c r="L238" s="4"/>
      <c r="M238" s="4"/>
    </row>
    <row r="239" ht="14.25" customHeight="1">
      <c r="A239" s="397"/>
      <c r="B239" s="397"/>
      <c r="C239" s="397"/>
      <c r="D239" s="398"/>
      <c r="E239" s="4"/>
      <c r="F239" s="4"/>
      <c r="G239" s="4"/>
      <c r="H239" s="4"/>
      <c r="I239" s="4"/>
      <c r="J239" s="4"/>
      <c r="K239" s="4"/>
      <c r="L239" s="4"/>
      <c r="M239" s="4"/>
    </row>
    <row r="240" ht="14.25" customHeight="1">
      <c r="A240" s="397"/>
      <c r="B240" s="397"/>
      <c r="C240" s="397"/>
      <c r="D240" s="398"/>
      <c r="E240" s="4"/>
      <c r="F240" s="4"/>
      <c r="G240" s="4"/>
      <c r="H240" s="4"/>
      <c r="I240" s="4"/>
      <c r="J240" s="4"/>
      <c r="K240" s="4"/>
      <c r="L240" s="4"/>
      <c r="M240" s="4"/>
    </row>
    <row r="241" ht="14.25" customHeight="1">
      <c r="A241" s="397"/>
      <c r="B241" s="397"/>
      <c r="C241" s="397"/>
      <c r="D241" s="398"/>
      <c r="E241" s="4"/>
      <c r="F241" s="4"/>
      <c r="G241" s="4"/>
      <c r="H241" s="4"/>
      <c r="I241" s="4"/>
      <c r="J241" s="4"/>
      <c r="K241" s="4"/>
      <c r="L241" s="4"/>
      <c r="M241" s="4"/>
    </row>
    <row r="242" ht="14.25" customHeight="1">
      <c r="A242" s="397"/>
      <c r="B242" s="397"/>
      <c r="C242" s="397"/>
      <c r="D242" s="398"/>
      <c r="E242" s="4"/>
      <c r="F242" s="4"/>
      <c r="G242" s="4"/>
      <c r="H242" s="4"/>
      <c r="I242" s="4"/>
      <c r="J242" s="4"/>
      <c r="K242" s="4"/>
      <c r="L242" s="4"/>
      <c r="M242" s="4"/>
    </row>
    <row r="243" ht="14.25" customHeight="1">
      <c r="A243" s="397"/>
      <c r="B243" s="397"/>
      <c r="C243" s="397"/>
      <c r="D243" s="398"/>
      <c r="E243" s="4"/>
      <c r="F243" s="4"/>
      <c r="G243" s="4"/>
      <c r="H243" s="4"/>
      <c r="I243" s="4"/>
      <c r="J243" s="4"/>
      <c r="K243" s="4"/>
      <c r="L243" s="4"/>
      <c r="M243" s="4"/>
    </row>
    <row r="244" ht="14.25" customHeight="1">
      <c r="A244" s="397"/>
      <c r="B244" s="397"/>
      <c r="C244" s="397"/>
      <c r="D244" s="398"/>
      <c r="E244" s="4"/>
      <c r="F244" s="4"/>
      <c r="G244" s="4"/>
      <c r="H244" s="4"/>
      <c r="I244" s="4"/>
      <c r="J244" s="4"/>
      <c r="K244" s="4"/>
      <c r="L244" s="4"/>
      <c r="M244" s="4"/>
    </row>
    <row r="245" ht="14.25" customHeight="1">
      <c r="A245" s="397"/>
      <c r="B245" s="397"/>
      <c r="C245" s="397"/>
      <c r="D245" s="398"/>
      <c r="E245" s="4"/>
      <c r="F245" s="4"/>
      <c r="G245" s="4"/>
      <c r="H245" s="4"/>
      <c r="I245" s="4"/>
      <c r="J245" s="4"/>
      <c r="K245" s="4"/>
      <c r="L245" s="4"/>
      <c r="M245" s="4"/>
    </row>
    <row r="246" ht="14.25" customHeight="1">
      <c r="A246" s="397"/>
      <c r="B246" s="397"/>
      <c r="C246" s="397"/>
      <c r="D246" s="398"/>
      <c r="E246" s="4"/>
      <c r="F246" s="4"/>
      <c r="G246" s="4"/>
      <c r="H246" s="4"/>
      <c r="I246" s="4"/>
      <c r="J246" s="4"/>
      <c r="K246" s="4"/>
      <c r="L246" s="4"/>
      <c r="M246" s="4"/>
    </row>
    <row r="247" ht="14.25" customHeight="1">
      <c r="A247" s="397"/>
      <c r="B247" s="397"/>
      <c r="C247" s="397"/>
      <c r="D247" s="398"/>
      <c r="E247" s="4"/>
      <c r="F247" s="4"/>
      <c r="G247" s="4"/>
      <c r="H247" s="4"/>
      <c r="I247" s="4"/>
      <c r="J247" s="4"/>
      <c r="K247" s="4"/>
      <c r="L247" s="4"/>
      <c r="M247" s="4"/>
    </row>
    <row r="248" ht="14.25" customHeight="1">
      <c r="A248" s="397"/>
      <c r="B248" s="397"/>
      <c r="C248" s="397"/>
      <c r="D248" s="398"/>
      <c r="E248" s="4"/>
      <c r="F248" s="4"/>
      <c r="G248" s="4"/>
      <c r="H248" s="4"/>
      <c r="I248" s="4"/>
      <c r="J248" s="4"/>
      <c r="K248" s="4"/>
      <c r="L248" s="4"/>
      <c r="M248" s="4"/>
    </row>
    <row r="249" ht="14.25" customHeight="1">
      <c r="A249" s="397"/>
      <c r="B249" s="397"/>
      <c r="C249" s="397"/>
      <c r="D249" s="398"/>
      <c r="E249" s="4"/>
      <c r="F249" s="4"/>
      <c r="G249" s="4"/>
      <c r="H249" s="4"/>
      <c r="I249" s="4"/>
      <c r="J249" s="4"/>
      <c r="K249" s="4"/>
      <c r="L249" s="4"/>
      <c r="M249" s="4"/>
    </row>
    <row r="250" ht="14.25" customHeight="1">
      <c r="A250" s="397"/>
      <c r="B250" s="397"/>
      <c r="C250" s="397"/>
      <c r="D250" s="398"/>
      <c r="E250" s="4"/>
      <c r="F250" s="4"/>
      <c r="G250" s="4"/>
      <c r="H250" s="4"/>
      <c r="I250" s="4"/>
      <c r="J250" s="4"/>
      <c r="K250" s="4"/>
      <c r="L250" s="4"/>
      <c r="M250" s="4"/>
    </row>
    <row r="251" ht="14.25" customHeight="1">
      <c r="A251" s="397"/>
      <c r="B251" s="397"/>
      <c r="C251" s="397"/>
      <c r="D251" s="398"/>
      <c r="E251" s="4"/>
      <c r="F251" s="4"/>
      <c r="G251" s="4"/>
      <c r="H251" s="4"/>
      <c r="I251" s="4"/>
      <c r="J251" s="4"/>
      <c r="K251" s="4"/>
      <c r="L251" s="4"/>
      <c r="M251" s="4"/>
    </row>
    <row r="252" ht="14.25" customHeight="1">
      <c r="A252" s="397"/>
      <c r="B252" s="397"/>
      <c r="C252" s="397"/>
      <c r="D252" s="398"/>
      <c r="E252" s="4"/>
      <c r="F252" s="4"/>
      <c r="G252" s="4"/>
      <c r="H252" s="4"/>
      <c r="I252" s="4"/>
      <c r="J252" s="4"/>
      <c r="K252" s="4"/>
      <c r="L252" s="4"/>
      <c r="M252" s="4"/>
    </row>
    <row r="253" ht="14.25" customHeight="1">
      <c r="A253" s="397"/>
      <c r="B253" s="397"/>
      <c r="C253" s="397"/>
      <c r="D253" s="398"/>
      <c r="E253" s="4"/>
      <c r="F253" s="4"/>
      <c r="G253" s="4"/>
      <c r="H253" s="4"/>
      <c r="I253" s="4"/>
      <c r="J253" s="4"/>
      <c r="K253" s="4"/>
      <c r="L253" s="4"/>
      <c r="M253" s="4"/>
    </row>
    <row r="254" ht="14.25" customHeight="1">
      <c r="A254" s="397"/>
      <c r="B254" s="397"/>
      <c r="C254" s="397"/>
      <c r="D254" s="398"/>
      <c r="E254" s="4"/>
      <c r="F254" s="4"/>
      <c r="G254" s="4"/>
      <c r="H254" s="4"/>
      <c r="I254" s="4"/>
      <c r="J254" s="4"/>
      <c r="K254" s="4"/>
      <c r="L254" s="4"/>
      <c r="M254" s="4"/>
    </row>
    <row r="255" ht="14.25" customHeight="1">
      <c r="A255" s="397"/>
      <c r="B255" s="397"/>
      <c r="C255" s="397"/>
      <c r="D255" s="398"/>
      <c r="E255" s="4"/>
      <c r="F255" s="4"/>
      <c r="G255" s="4"/>
      <c r="H255" s="4"/>
      <c r="I255" s="4"/>
      <c r="J255" s="4"/>
      <c r="K255" s="4"/>
      <c r="L255" s="4"/>
      <c r="M255" s="4"/>
    </row>
    <row r="256" ht="14.25" customHeight="1">
      <c r="A256" s="397"/>
      <c r="B256" s="397"/>
      <c r="C256" s="397"/>
      <c r="D256" s="398"/>
      <c r="E256" s="4"/>
      <c r="F256" s="4"/>
      <c r="G256" s="4"/>
      <c r="H256" s="4"/>
      <c r="I256" s="4"/>
      <c r="J256" s="4"/>
      <c r="K256" s="4"/>
      <c r="L256" s="4"/>
      <c r="M256" s="4"/>
    </row>
    <row r="257" ht="14.25" customHeight="1">
      <c r="A257" s="397"/>
      <c r="B257" s="397"/>
      <c r="C257" s="397"/>
      <c r="D257" s="398"/>
      <c r="E257" s="4"/>
      <c r="F257" s="4"/>
      <c r="G257" s="4"/>
      <c r="H257" s="4"/>
      <c r="I257" s="4"/>
      <c r="J257" s="4"/>
      <c r="K257" s="4"/>
      <c r="L257" s="4"/>
      <c r="M257" s="4"/>
    </row>
    <row r="258" ht="14.25" customHeight="1">
      <c r="A258" s="397"/>
      <c r="B258" s="397"/>
      <c r="C258" s="397"/>
      <c r="D258" s="398"/>
      <c r="E258" s="4"/>
      <c r="F258" s="4"/>
      <c r="G258" s="4"/>
      <c r="H258" s="4"/>
      <c r="I258" s="4"/>
      <c r="J258" s="4"/>
      <c r="K258" s="4"/>
      <c r="L258" s="4"/>
      <c r="M258" s="4"/>
    </row>
    <row r="259" ht="14.25" customHeight="1">
      <c r="A259" s="397"/>
      <c r="B259" s="397"/>
      <c r="C259" s="397"/>
      <c r="D259" s="398"/>
      <c r="E259" s="4"/>
      <c r="F259" s="4"/>
      <c r="G259" s="4"/>
      <c r="H259" s="4"/>
      <c r="I259" s="4"/>
      <c r="J259" s="4"/>
      <c r="K259" s="4"/>
      <c r="L259" s="4"/>
      <c r="M259" s="4"/>
    </row>
    <row r="260" ht="14.25" customHeight="1">
      <c r="A260" s="397"/>
      <c r="B260" s="397"/>
      <c r="C260" s="397"/>
      <c r="D260" s="398"/>
      <c r="E260" s="4"/>
      <c r="F260" s="4"/>
      <c r="G260" s="4"/>
      <c r="H260" s="4"/>
      <c r="I260" s="4"/>
      <c r="J260" s="4"/>
      <c r="K260" s="4"/>
      <c r="L260" s="4"/>
      <c r="M260" s="4"/>
    </row>
    <row r="261" ht="14.25" customHeight="1">
      <c r="A261" s="397"/>
      <c r="B261" s="397"/>
      <c r="C261" s="397"/>
      <c r="D261" s="398"/>
      <c r="E261" s="4"/>
      <c r="F261" s="4"/>
      <c r="G261" s="4"/>
      <c r="H261" s="4"/>
      <c r="I261" s="4"/>
      <c r="J261" s="4"/>
      <c r="K261" s="4"/>
      <c r="L261" s="4"/>
      <c r="M261" s="4"/>
    </row>
    <row r="262" ht="14.25" customHeight="1">
      <c r="A262" s="397"/>
      <c r="B262" s="397"/>
      <c r="C262" s="397"/>
      <c r="D262" s="398"/>
      <c r="E262" s="4"/>
      <c r="F262" s="4"/>
      <c r="G262" s="4"/>
      <c r="H262" s="4"/>
      <c r="I262" s="4"/>
      <c r="J262" s="4"/>
      <c r="K262" s="4"/>
      <c r="L262" s="4"/>
      <c r="M262" s="4"/>
    </row>
    <row r="263" ht="14.25" customHeight="1">
      <c r="A263" s="397"/>
      <c r="B263" s="397"/>
      <c r="C263" s="397"/>
      <c r="D263" s="398"/>
      <c r="E263" s="4"/>
      <c r="F263" s="4"/>
      <c r="G263" s="4"/>
      <c r="H263" s="4"/>
      <c r="I263" s="4"/>
      <c r="J263" s="4"/>
      <c r="K263" s="4"/>
      <c r="L263" s="4"/>
      <c r="M263" s="4"/>
    </row>
    <row r="264" ht="14.25" customHeight="1">
      <c r="A264" s="397"/>
      <c r="B264" s="397"/>
      <c r="C264" s="397"/>
      <c r="D264" s="398"/>
      <c r="E264" s="4"/>
      <c r="F264" s="4"/>
      <c r="G264" s="4"/>
      <c r="H264" s="4"/>
      <c r="I264" s="4"/>
      <c r="J264" s="4"/>
      <c r="K264" s="4"/>
      <c r="L264" s="4"/>
      <c r="M264" s="4"/>
    </row>
    <row r="265" ht="14.25" customHeight="1">
      <c r="A265" s="397"/>
      <c r="B265" s="397"/>
      <c r="C265" s="397"/>
      <c r="D265" s="398"/>
      <c r="E265" s="4"/>
      <c r="F265" s="4"/>
      <c r="G265" s="4"/>
      <c r="H265" s="4"/>
      <c r="I265" s="4"/>
      <c r="J265" s="4"/>
      <c r="K265" s="4"/>
      <c r="L265" s="4"/>
      <c r="M265" s="4"/>
    </row>
    <row r="266" ht="14.25" customHeight="1">
      <c r="A266" s="397"/>
      <c r="B266" s="397"/>
      <c r="C266" s="397"/>
      <c r="D266" s="398"/>
      <c r="E266" s="4"/>
      <c r="F266" s="4"/>
      <c r="G266" s="4"/>
      <c r="H266" s="4"/>
      <c r="I266" s="4"/>
      <c r="J266" s="4"/>
      <c r="K266" s="4"/>
      <c r="L266" s="4"/>
      <c r="M266" s="4"/>
    </row>
    <row r="267" ht="14.25" customHeight="1">
      <c r="A267" s="397"/>
      <c r="B267" s="397"/>
      <c r="C267" s="397"/>
      <c r="D267" s="398"/>
      <c r="E267" s="4"/>
      <c r="F267" s="4"/>
      <c r="G267" s="4"/>
      <c r="H267" s="4"/>
      <c r="I267" s="4"/>
      <c r="J267" s="4"/>
      <c r="K267" s="4"/>
      <c r="L267" s="4"/>
      <c r="M267" s="4"/>
    </row>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A43:D43"/>
    <mergeCell ref="A55:D55"/>
    <mergeCell ref="A1:D1"/>
    <mergeCell ref="F1:G1"/>
    <mergeCell ref="K1:M1"/>
    <mergeCell ref="F2:G2"/>
    <mergeCell ref="A3:D3"/>
    <mergeCell ref="A12:D12"/>
    <mergeCell ref="D30:D32"/>
  </mergeCells>
  <conditionalFormatting sqref="B66">
    <cfRule type="cellIs" dxfId="1" priority="1" operator="lessThan">
      <formula>$B$67</formula>
    </cfRule>
  </conditionalFormatting>
  <conditionalFormatting sqref="B66">
    <cfRule type="cellIs" dxfId="2" priority="2" operator="greaterThan">
      <formula>$B$67</formula>
    </cfRule>
  </conditionalFormatting>
  <hyperlinks>
    <hyperlink r:id="rId1" ref="D8"/>
    <hyperlink r:id="rId2" ref="D64"/>
  </hyperlinks>
  <printOptions/>
  <pageMargins bottom="0.75" footer="0.0" header="0.0" left="0.25" right="0.25" top="0.75"/>
  <pageSetup orientation="landscape"/>
  <drawing r:id="rId3"/>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outlineLevelRow="1"/>
  <cols>
    <col customWidth="1" min="2" max="2" width="21.0"/>
    <col customWidth="1" min="3" max="3" width="12.38"/>
    <col customWidth="1" min="7" max="7" width="18.63"/>
    <col customWidth="1" min="9" max="9" width="16.25"/>
    <col customWidth="1" min="10" max="10" width="15.13"/>
    <col customWidth="1" min="11" max="11" width="15.38"/>
  </cols>
  <sheetData>
    <row r="1">
      <c r="A1" s="4"/>
      <c r="B1" s="4"/>
      <c r="C1" s="4"/>
      <c r="D1" s="4"/>
      <c r="E1" s="4"/>
      <c r="F1" s="4"/>
      <c r="G1" s="4"/>
      <c r="H1" s="4"/>
      <c r="I1" s="4"/>
      <c r="J1" s="4"/>
      <c r="K1" s="4"/>
      <c r="L1" s="4"/>
    </row>
    <row r="2">
      <c r="A2" s="4"/>
      <c r="B2" s="452" t="s">
        <v>226</v>
      </c>
      <c r="C2" s="452" t="s">
        <v>78</v>
      </c>
      <c r="D2" s="452" t="s">
        <v>812</v>
      </c>
      <c r="E2" s="452" t="s">
        <v>813</v>
      </c>
      <c r="F2" s="452" t="s">
        <v>814</v>
      </c>
      <c r="G2" s="452" t="s">
        <v>815</v>
      </c>
      <c r="H2" s="452" t="s">
        <v>816</v>
      </c>
      <c r="I2" s="453" t="s">
        <v>817</v>
      </c>
      <c r="J2" s="453" t="s">
        <v>818</v>
      </c>
      <c r="K2" s="453" t="s">
        <v>819</v>
      </c>
      <c r="L2" s="4"/>
    </row>
    <row r="3">
      <c r="A3" s="4"/>
      <c r="B3" s="454" t="s">
        <v>820</v>
      </c>
      <c r="C3" s="455">
        <v>0.1</v>
      </c>
      <c r="D3" s="456">
        <v>1.5</v>
      </c>
      <c r="E3" s="38">
        <v>5.0</v>
      </c>
      <c r="F3" s="457">
        <v>1.0</v>
      </c>
      <c r="G3" s="458" t="s">
        <v>821</v>
      </c>
      <c r="H3" s="459">
        <f t="shared" ref="H3:H7" si="1">(1+C3)*D3*F3</f>
        <v>1.65</v>
      </c>
      <c r="I3" s="13">
        <f t="shared" ref="I3:I23" si="2">IF(E3=3.3, H3/E3, 0)</f>
        <v>0</v>
      </c>
      <c r="J3" s="13">
        <f t="shared" ref="J3:J23" si="3">IF(E3=5, H3/E3, 0)</f>
        <v>0.33</v>
      </c>
      <c r="K3" s="13">
        <f>IF(E3=12, H3/E3, 0)</f>
        <v>0</v>
      </c>
      <c r="L3" s="4"/>
    </row>
    <row r="4">
      <c r="A4" s="4"/>
      <c r="B4" s="454" t="s">
        <v>822</v>
      </c>
      <c r="C4" s="455">
        <v>0.1</v>
      </c>
      <c r="D4" s="456">
        <v>5.0E-5</v>
      </c>
      <c r="E4" s="38">
        <v>5.0</v>
      </c>
      <c r="F4" s="457">
        <v>1.0</v>
      </c>
      <c r="G4" s="460" t="s">
        <v>823</v>
      </c>
      <c r="H4" s="459">
        <f t="shared" si="1"/>
        <v>0.000055</v>
      </c>
      <c r="I4" s="13">
        <f t="shared" si="2"/>
        <v>0</v>
      </c>
      <c r="J4" s="13">
        <f t="shared" si="3"/>
        <v>0.000011</v>
      </c>
      <c r="K4" s="13"/>
      <c r="L4" s="4"/>
    </row>
    <row r="5">
      <c r="A5" s="4"/>
      <c r="B5" s="454" t="s">
        <v>824</v>
      </c>
      <c r="C5" s="455">
        <v>0.1</v>
      </c>
      <c r="D5" s="456">
        <v>0.396</v>
      </c>
      <c r="E5" s="38">
        <v>3.3</v>
      </c>
      <c r="F5" s="457">
        <v>1.0</v>
      </c>
      <c r="G5" s="460" t="s">
        <v>823</v>
      </c>
      <c r="H5" s="459">
        <f t="shared" si="1"/>
        <v>0.4356</v>
      </c>
      <c r="I5" s="13">
        <f t="shared" si="2"/>
        <v>0.132</v>
      </c>
      <c r="J5" s="13">
        <f t="shared" si="3"/>
        <v>0</v>
      </c>
      <c r="K5" s="13"/>
      <c r="L5" s="4"/>
    </row>
    <row r="6">
      <c r="A6" s="4"/>
      <c r="B6" s="454" t="s">
        <v>825</v>
      </c>
      <c r="C6" s="455"/>
      <c r="D6" s="456"/>
      <c r="E6" s="38"/>
      <c r="F6" s="457"/>
      <c r="G6" s="460"/>
      <c r="H6" s="459">
        <f t="shared" si="1"/>
        <v>0</v>
      </c>
      <c r="I6" s="13">
        <f t="shared" si="2"/>
        <v>0</v>
      </c>
      <c r="J6" s="13">
        <f t="shared" si="3"/>
        <v>0</v>
      </c>
      <c r="K6" s="13">
        <f t="shared" ref="K6:K17" si="4">IF(E6=12, H6/E6, 0)</f>
        <v>0</v>
      </c>
      <c r="L6" s="4"/>
    </row>
    <row r="7">
      <c r="A7" s="4"/>
      <c r="B7" s="454" t="s">
        <v>826</v>
      </c>
      <c r="C7" s="455">
        <v>0.1</v>
      </c>
      <c r="D7" s="456">
        <v>10.4</v>
      </c>
      <c r="E7" s="38">
        <v>12.0</v>
      </c>
      <c r="F7" s="457">
        <v>1.0</v>
      </c>
      <c r="G7" s="460" t="s">
        <v>827</v>
      </c>
      <c r="H7" s="459">
        <f t="shared" si="1"/>
        <v>11.44</v>
      </c>
      <c r="I7" s="13">
        <f t="shared" si="2"/>
        <v>0</v>
      </c>
      <c r="J7" s="13">
        <f t="shared" si="3"/>
        <v>0</v>
      </c>
      <c r="K7" s="13">
        <f t="shared" si="4"/>
        <v>0.9533333333</v>
      </c>
      <c r="L7" s="4"/>
    </row>
    <row r="8">
      <c r="A8" s="4"/>
      <c r="B8" s="454" t="s">
        <v>825</v>
      </c>
      <c r="C8" s="455"/>
      <c r="D8" s="456"/>
      <c r="E8" s="38"/>
      <c r="F8" s="457"/>
      <c r="G8" s="460"/>
      <c r="H8" s="459"/>
      <c r="I8" s="13">
        <f t="shared" si="2"/>
        <v>0</v>
      </c>
      <c r="J8" s="13">
        <f t="shared" si="3"/>
        <v>0</v>
      </c>
      <c r="K8" s="13">
        <f t="shared" si="4"/>
        <v>0</v>
      </c>
      <c r="L8" s="4"/>
    </row>
    <row r="9">
      <c r="A9" s="4"/>
      <c r="B9" s="454" t="s">
        <v>825</v>
      </c>
      <c r="C9" s="455"/>
      <c r="D9" s="456"/>
      <c r="E9" s="38"/>
      <c r="F9" s="457"/>
      <c r="G9" s="460"/>
      <c r="H9" s="459">
        <f t="shared" ref="H9:H23" si="5">(1+C9)*D9*F9</f>
        <v>0</v>
      </c>
      <c r="I9" s="13">
        <f t="shared" si="2"/>
        <v>0</v>
      </c>
      <c r="J9" s="13">
        <f t="shared" si="3"/>
        <v>0</v>
      </c>
      <c r="K9" s="13">
        <f t="shared" si="4"/>
        <v>0</v>
      </c>
      <c r="L9" s="4"/>
    </row>
    <row r="10">
      <c r="A10" s="4"/>
      <c r="B10" s="454" t="s">
        <v>828</v>
      </c>
      <c r="C10" s="455">
        <v>0.1</v>
      </c>
      <c r="D10" s="456">
        <v>3.1</v>
      </c>
      <c r="E10" s="38">
        <v>5.0</v>
      </c>
      <c r="F10" s="457">
        <v>2.0</v>
      </c>
      <c r="G10" s="458" t="s">
        <v>829</v>
      </c>
      <c r="H10" s="459">
        <f t="shared" si="5"/>
        <v>6.82</v>
      </c>
      <c r="I10" s="13">
        <f t="shared" si="2"/>
        <v>0</v>
      </c>
      <c r="J10" s="13">
        <f t="shared" si="3"/>
        <v>1.364</v>
      </c>
      <c r="K10" s="13">
        <f t="shared" si="4"/>
        <v>0</v>
      </c>
      <c r="L10" s="4"/>
    </row>
    <row r="11">
      <c r="A11" s="4"/>
      <c r="B11" s="454" t="s">
        <v>830</v>
      </c>
      <c r="C11" s="455">
        <v>0.1</v>
      </c>
      <c r="D11" s="456">
        <v>1.4</v>
      </c>
      <c r="E11" s="38">
        <v>5.0</v>
      </c>
      <c r="F11" s="457">
        <v>1.0</v>
      </c>
      <c r="G11" s="458" t="s">
        <v>831</v>
      </c>
      <c r="H11" s="459">
        <f t="shared" si="5"/>
        <v>1.54</v>
      </c>
      <c r="I11" s="13">
        <f t="shared" si="2"/>
        <v>0</v>
      </c>
      <c r="J11" s="13">
        <f t="shared" si="3"/>
        <v>0.308</v>
      </c>
      <c r="K11" s="13">
        <f t="shared" si="4"/>
        <v>0</v>
      </c>
      <c r="L11" s="4"/>
    </row>
    <row r="12">
      <c r="A12" s="4"/>
      <c r="B12" s="454" t="s">
        <v>832</v>
      </c>
      <c r="C12" s="455">
        <v>0.1</v>
      </c>
      <c r="D12" s="456">
        <v>0.324</v>
      </c>
      <c r="E12" s="38">
        <v>3.3</v>
      </c>
      <c r="F12" s="457">
        <v>1.0</v>
      </c>
      <c r="G12" s="461" t="s">
        <v>833</v>
      </c>
      <c r="H12" s="459">
        <f t="shared" si="5"/>
        <v>0.3564</v>
      </c>
      <c r="I12" s="13">
        <f t="shared" si="2"/>
        <v>0.108</v>
      </c>
      <c r="J12" s="13">
        <f t="shared" si="3"/>
        <v>0</v>
      </c>
      <c r="K12" s="13">
        <f t="shared" si="4"/>
        <v>0</v>
      </c>
      <c r="L12" s="4"/>
    </row>
    <row r="13">
      <c r="A13" s="4"/>
      <c r="B13" s="454" t="s">
        <v>834</v>
      </c>
      <c r="C13" s="455">
        <v>0.1</v>
      </c>
      <c r="D13" s="456">
        <v>0.07</v>
      </c>
      <c r="E13" s="38">
        <v>3.3</v>
      </c>
      <c r="F13" s="457">
        <v>1.0</v>
      </c>
      <c r="G13" s="462" t="s">
        <v>835</v>
      </c>
      <c r="H13" s="459">
        <f t="shared" si="5"/>
        <v>0.077</v>
      </c>
      <c r="I13" s="13">
        <f t="shared" si="2"/>
        <v>0.02333333333</v>
      </c>
      <c r="J13" s="13">
        <f t="shared" si="3"/>
        <v>0</v>
      </c>
      <c r="K13" s="13">
        <f t="shared" si="4"/>
        <v>0</v>
      </c>
      <c r="L13" s="4"/>
    </row>
    <row r="14">
      <c r="A14" s="4"/>
      <c r="B14" s="463" t="s">
        <v>836</v>
      </c>
      <c r="C14" s="455">
        <v>0.1</v>
      </c>
      <c r="D14" s="456">
        <v>0.5</v>
      </c>
      <c r="E14" s="38">
        <v>5.0</v>
      </c>
      <c r="F14" s="457">
        <v>2.0</v>
      </c>
      <c r="G14" s="458" t="s">
        <v>837</v>
      </c>
      <c r="H14" s="459">
        <f t="shared" si="5"/>
        <v>1.1</v>
      </c>
      <c r="I14" s="13">
        <f t="shared" si="2"/>
        <v>0</v>
      </c>
      <c r="J14" s="13">
        <f t="shared" si="3"/>
        <v>0.22</v>
      </c>
      <c r="K14" s="13">
        <f t="shared" si="4"/>
        <v>0</v>
      </c>
      <c r="L14" s="4"/>
    </row>
    <row r="15">
      <c r="A15" s="4"/>
      <c r="B15" s="454" t="s">
        <v>838</v>
      </c>
      <c r="C15" s="455">
        <v>0.1</v>
      </c>
      <c r="D15" s="456">
        <v>1.75</v>
      </c>
      <c r="E15" s="38">
        <v>5.0</v>
      </c>
      <c r="F15" s="457">
        <v>1.0</v>
      </c>
      <c r="G15" s="458" t="s">
        <v>839</v>
      </c>
      <c r="H15" s="459">
        <f t="shared" si="5"/>
        <v>1.925</v>
      </c>
      <c r="I15" s="13">
        <f t="shared" si="2"/>
        <v>0</v>
      </c>
      <c r="J15" s="13">
        <f t="shared" si="3"/>
        <v>0.385</v>
      </c>
      <c r="K15" s="13">
        <f t="shared" si="4"/>
        <v>0</v>
      </c>
      <c r="L15" s="4"/>
    </row>
    <row r="16">
      <c r="A16" s="4"/>
      <c r="B16" s="454" t="s">
        <v>840</v>
      </c>
      <c r="C16" s="455">
        <v>0.1</v>
      </c>
      <c r="D16" s="456">
        <v>0.22</v>
      </c>
      <c r="E16" s="38">
        <v>5.0</v>
      </c>
      <c r="F16" s="457">
        <v>1.0</v>
      </c>
      <c r="G16" s="458" t="s">
        <v>841</v>
      </c>
      <c r="H16" s="459">
        <f t="shared" si="5"/>
        <v>0.242</v>
      </c>
      <c r="I16" s="13">
        <f t="shared" si="2"/>
        <v>0</v>
      </c>
      <c r="J16" s="13">
        <f t="shared" si="3"/>
        <v>0.0484</v>
      </c>
      <c r="K16" s="13">
        <f t="shared" si="4"/>
        <v>0</v>
      </c>
      <c r="L16" s="4"/>
    </row>
    <row r="17">
      <c r="A17" s="4"/>
      <c r="B17" s="454" t="s">
        <v>842</v>
      </c>
      <c r="C17" s="455">
        <v>0.1</v>
      </c>
      <c r="D17" s="456">
        <v>0.011</v>
      </c>
      <c r="E17" s="38">
        <v>5.0</v>
      </c>
      <c r="F17" s="457">
        <v>1.0</v>
      </c>
      <c r="G17" s="460"/>
      <c r="H17" s="459">
        <f t="shared" si="5"/>
        <v>0.0121</v>
      </c>
      <c r="I17" s="13">
        <f t="shared" si="2"/>
        <v>0</v>
      </c>
      <c r="J17" s="13">
        <f t="shared" si="3"/>
        <v>0.00242</v>
      </c>
      <c r="K17" s="13">
        <f t="shared" si="4"/>
        <v>0</v>
      </c>
      <c r="L17" s="4"/>
    </row>
    <row r="18">
      <c r="A18" s="4"/>
      <c r="B18" s="454" t="s">
        <v>843</v>
      </c>
      <c r="C18" s="455">
        <v>0.1</v>
      </c>
      <c r="D18" s="456">
        <v>0.504</v>
      </c>
      <c r="E18" s="38">
        <v>3.3</v>
      </c>
      <c r="F18" s="457">
        <v>1.0</v>
      </c>
      <c r="G18" s="460"/>
      <c r="H18" s="459">
        <f t="shared" si="5"/>
        <v>0.5544</v>
      </c>
      <c r="I18" s="13">
        <f t="shared" si="2"/>
        <v>0.168</v>
      </c>
      <c r="J18" s="13">
        <f t="shared" si="3"/>
        <v>0</v>
      </c>
      <c r="K18" s="13"/>
      <c r="L18" s="4"/>
    </row>
    <row r="19">
      <c r="A19" s="4"/>
      <c r="B19" s="454" t="s">
        <v>825</v>
      </c>
      <c r="C19" s="455"/>
      <c r="D19" s="456"/>
      <c r="E19" s="38"/>
      <c r="F19" s="457"/>
      <c r="G19" s="460"/>
      <c r="H19" s="459">
        <f t="shared" si="5"/>
        <v>0</v>
      </c>
      <c r="I19" s="13">
        <f t="shared" si="2"/>
        <v>0</v>
      </c>
      <c r="J19" s="13">
        <f t="shared" si="3"/>
        <v>0</v>
      </c>
      <c r="K19" s="13">
        <f t="shared" ref="K19:K23" si="6">IF(E19=12, H19/E19, 0)</f>
        <v>0</v>
      </c>
      <c r="L19" s="4"/>
    </row>
    <row r="20">
      <c r="A20" s="4"/>
      <c r="B20" s="454" t="s">
        <v>844</v>
      </c>
      <c r="C20" s="455">
        <v>0.0</v>
      </c>
      <c r="D20" s="456">
        <v>1.28</v>
      </c>
      <c r="E20" s="38"/>
      <c r="F20" s="457">
        <v>1.0</v>
      </c>
      <c r="G20" s="460" t="s">
        <v>845</v>
      </c>
      <c r="H20" s="459">
        <f t="shared" si="5"/>
        <v>1.28</v>
      </c>
      <c r="I20" s="13">
        <f t="shared" si="2"/>
        <v>0</v>
      </c>
      <c r="J20" s="13">
        <f t="shared" si="3"/>
        <v>0</v>
      </c>
      <c r="K20" s="13">
        <f t="shared" si="6"/>
        <v>0</v>
      </c>
      <c r="L20" s="4"/>
    </row>
    <row r="21" ht="15.75" customHeight="1">
      <c r="A21" s="4"/>
      <c r="B21" s="454" t="s">
        <v>825</v>
      </c>
      <c r="C21" s="455"/>
      <c r="D21" s="456"/>
      <c r="E21" s="38"/>
      <c r="F21" s="457"/>
      <c r="G21" s="460"/>
      <c r="H21" s="459">
        <f t="shared" si="5"/>
        <v>0</v>
      </c>
      <c r="I21" s="13">
        <f t="shared" si="2"/>
        <v>0</v>
      </c>
      <c r="J21" s="13">
        <f t="shared" si="3"/>
        <v>0</v>
      </c>
      <c r="K21" s="13">
        <f t="shared" si="6"/>
        <v>0</v>
      </c>
      <c r="L21" s="4"/>
    </row>
    <row r="22" ht="15.75" customHeight="1">
      <c r="A22" s="4"/>
      <c r="B22" s="454" t="s">
        <v>846</v>
      </c>
      <c r="C22" s="455">
        <v>0.1</v>
      </c>
      <c r="D22" s="456">
        <v>4.836</v>
      </c>
      <c r="E22" s="38">
        <v>12.0</v>
      </c>
      <c r="F22" s="457">
        <v>1.0</v>
      </c>
      <c r="G22" s="460" t="s">
        <v>847</v>
      </c>
      <c r="H22" s="459">
        <f t="shared" si="5"/>
        <v>5.3196</v>
      </c>
      <c r="I22" s="13">
        <f t="shared" si="2"/>
        <v>0</v>
      </c>
      <c r="J22" s="13">
        <f t="shared" si="3"/>
        <v>0</v>
      </c>
      <c r="K22" s="13">
        <f t="shared" si="6"/>
        <v>0.4433</v>
      </c>
      <c r="L22" s="4"/>
    </row>
    <row r="23" ht="15.75" customHeight="1">
      <c r="A23" s="4"/>
      <c r="B23" s="454" t="s">
        <v>825</v>
      </c>
      <c r="C23" s="455"/>
      <c r="D23" s="456"/>
      <c r="E23" s="38"/>
      <c r="F23" s="457"/>
      <c r="G23" s="460"/>
      <c r="H23" s="459">
        <f t="shared" si="5"/>
        <v>0</v>
      </c>
      <c r="I23" s="13">
        <f t="shared" si="2"/>
        <v>0</v>
      </c>
      <c r="J23" s="13">
        <f t="shared" si="3"/>
        <v>0</v>
      </c>
      <c r="K23" s="13">
        <f t="shared" si="6"/>
        <v>0</v>
      </c>
      <c r="L23" s="4"/>
    </row>
    <row r="24" ht="15.75" customHeight="1">
      <c r="A24" s="4"/>
      <c r="B24" s="4"/>
      <c r="C24" s="4"/>
      <c r="D24" s="4"/>
      <c r="E24" s="464"/>
      <c r="F24" s="4"/>
      <c r="G24" s="4"/>
      <c r="H24" s="4"/>
      <c r="I24" s="465">
        <f t="shared" ref="I24:K24" si="7">SUM(I3:I23)</f>
        <v>0.4313333333</v>
      </c>
      <c r="J24" s="465">
        <f t="shared" si="7"/>
        <v>2.657831</v>
      </c>
      <c r="K24" s="465">
        <f t="shared" si="7"/>
        <v>1.396633333</v>
      </c>
      <c r="L24" s="4"/>
    </row>
    <row r="25" ht="15.75" customHeight="1">
      <c r="A25" s="4"/>
      <c r="B25" s="4"/>
      <c r="C25" s="4"/>
      <c r="D25" s="4"/>
      <c r="E25" s="464"/>
      <c r="F25" s="4"/>
      <c r="G25" s="4"/>
      <c r="H25" s="4"/>
      <c r="I25" s="4"/>
      <c r="J25" s="4"/>
      <c r="K25" s="4"/>
      <c r="L25" s="4"/>
    </row>
    <row r="26" ht="15.75" customHeight="1">
      <c r="A26" s="4"/>
      <c r="B26" s="4"/>
      <c r="C26" s="4"/>
      <c r="D26" s="4"/>
      <c r="E26" s="464"/>
      <c r="F26" s="4"/>
      <c r="G26" s="4"/>
      <c r="H26" s="4"/>
      <c r="I26" s="4"/>
      <c r="J26" s="4"/>
      <c r="K26" s="4"/>
      <c r="L26" s="4"/>
    </row>
    <row r="27" ht="15.75" customHeight="1">
      <c r="A27" s="4"/>
      <c r="B27" s="4"/>
      <c r="C27" s="4"/>
      <c r="D27" s="4"/>
      <c r="E27" s="464"/>
      <c r="F27" s="4"/>
      <c r="G27" s="4"/>
      <c r="H27" s="4"/>
      <c r="I27" s="4"/>
      <c r="J27" s="4"/>
      <c r="K27" s="4"/>
      <c r="L27" s="4"/>
    </row>
    <row r="28" ht="15.75" customHeight="1">
      <c r="A28" s="4"/>
      <c r="B28" s="4"/>
      <c r="C28" s="4"/>
      <c r="D28" s="4"/>
      <c r="E28" s="464"/>
      <c r="F28" s="4"/>
      <c r="G28" s="4"/>
      <c r="H28" s="4"/>
      <c r="I28" s="4"/>
      <c r="J28" s="4"/>
      <c r="K28" s="4"/>
      <c r="L28" s="4"/>
    </row>
    <row r="29" ht="15.75" customHeight="1">
      <c r="A29" s="4"/>
      <c r="B29" s="4"/>
      <c r="C29" s="4"/>
      <c r="D29" s="4"/>
      <c r="E29" s="464"/>
      <c r="F29" s="4"/>
      <c r="G29" s="4"/>
      <c r="H29" s="4"/>
      <c r="I29" s="4"/>
      <c r="J29" s="4"/>
      <c r="K29" s="4"/>
      <c r="L29" s="4"/>
    </row>
    <row r="30" ht="15.75" customHeight="1">
      <c r="A30" s="4"/>
      <c r="B30" s="4"/>
      <c r="C30" s="4"/>
      <c r="D30" s="4"/>
      <c r="E30" s="464"/>
      <c r="F30" s="4"/>
      <c r="G30" s="4"/>
      <c r="H30" s="4"/>
      <c r="I30" s="4"/>
      <c r="J30" s="4"/>
      <c r="K30" s="4"/>
      <c r="L30" s="4"/>
    </row>
    <row r="31" ht="15.75" customHeight="1">
      <c r="A31" s="4"/>
      <c r="B31" s="4"/>
      <c r="C31" s="4"/>
      <c r="D31" s="4"/>
      <c r="E31" s="464"/>
      <c r="F31" s="4"/>
      <c r="G31" s="4"/>
      <c r="H31" s="4"/>
      <c r="I31" s="4"/>
      <c r="J31" s="4"/>
      <c r="K31" s="4"/>
      <c r="L31" s="4"/>
    </row>
    <row r="32" ht="15.75" customHeight="1">
      <c r="A32" s="4"/>
      <c r="B32" s="4"/>
      <c r="C32" s="4"/>
      <c r="D32" s="4"/>
      <c r="E32" s="464"/>
      <c r="F32" s="4"/>
      <c r="G32" s="4"/>
      <c r="H32" s="4"/>
      <c r="I32" s="4"/>
      <c r="J32" s="4"/>
      <c r="K32" s="4"/>
      <c r="L32" s="4"/>
    </row>
    <row r="33" ht="15.75" customHeight="1">
      <c r="A33" s="4"/>
      <c r="B33" s="4"/>
      <c r="C33" s="4"/>
      <c r="D33" s="4"/>
      <c r="E33" s="464"/>
      <c r="F33" s="4"/>
      <c r="G33" s="4"/>
      <c r="H33" s="4"/>
      <c r="I33" s="4"/>
      <c r="J33" s="4"/>
      <c r="K33" s="4"/>
      <c r="L33" s="4"/>
    </row>
    <row r="34" ht="15.75" customHeight="1">
      <c r="A34" s="4"/>
      <c r="B34" s="4"/>
      <c r="C34" s="4"/>
      <c r="D34" s="4"/>
      <c r="E34" s="464"/>
      <c r="F34" s="4"/>
      <c r="G34" s="4"/>
      <c r="H34" s="4"/>
      <c r="I34" s="4"/>
      <c r="J34" s="4"/>
      <c r="K34" s="4"/>
      <c r="L34" s="4"/>
    </row>
    <row r="35" ht="15.75" customHeight="1">
      <c r="A35" s="4"/>
      <c r="B35" s="4"/>
      <c r="C35" s="4"/>
      <c r="D35" s="4"/>
      <c r="E35" s="464"/>
      <c r="F35" s="4"/>
      <c r="G35" s="4"/>
      <c r="H35" s="4"/>
      <c r="I35" s="4"/>
      <c r="J35" s="4"/>
      <c r="K35" s="4"/>
      <c r="L35" s="4"/>
    </row>
    <row r="36" ht="15.75" customHeight="1">
      <c r="E36" s="466"/>
    </row>
    <row r="37" ht="15.75" customHeight="1">
      <c r="E37" s="466"/>
    </row>
    <row r="38" ht="15.75" customHeight="1">
      <c r="E38" s="466"/>
    </row>
    <row r="39" ht="15.75" customHeight="1">
      <c r="E39" s="466"/>
    </row>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G3"/>
    <hyperlink r:id="rId2" ref="G10"/>
    <hyperlink r:id="rId3" ref="G11"/>
    <hyperlink r:id="rId4" ref="G12"/>
    <hyperlink r:id="rId5" ref="G13"/>
    <hyperlink r:id="rId6" ref="G14"/>
    <hyperlink r:id="rId7" ref="G15"/>
    <hyperlink r:id="rId8" ref="G16"/>
  </hyperlinks>
  <printOptions/>
  <pageMargins bottom="0.75" footer="0.0" header="0.0" left="0.7" right="0.7" top="0.75"/>
  <pageSetup orientation="landscape"/>
  <drawing r:id="rId9"/>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1"/>
    <pageSetUpPr fitToPage="1"/>
  </sheetPr>
  <sheetViews>
    <sheetView showGridLines="0" workbookViewId="0"/>
  </sheetViews>
  <sheetFormatPr customHeight="1" defaultColWidth="12.63" defaultRowHeight="15.0" outlineLevelRow="1"/>
  <cols>
    <col customWidth="1" min="1" max="1" width="0.38"/>
    <col customWidth="1" min="2" max="2" width="27.38"/>
    <col customWidth="1" min="3" max="3" width="6.5"/>
    <col customWidth="1" min="4" max="4" width="13.38"/>
    <col customWidth="1" min="5" max="5" width="4.0"/>
    <col customWidth="1" min="6" max="6" width="72.13"/>
    <col customWidth="1" min="7" max="7" width="14.63"/>
    <col customWidth="1" min="8" max="8" width="8.63"/>
    <col customWidth="1" min="9" max="9" width="7.5"/>
    <col customWidth="1" min="10" max="10" width="8.63"/>
    <col customWidth="1" min="11" max="11" width="7.5"/>
    <col customWidth="1" min="12" max="12" width="8.63"/>
    <col customWidth="1" min="13" max="13" width="7.5"/>
    <col customWidth="1" min="14" max="14" width="8.63"/>
    <col customWidth="1" min="15" max="15" width="7.0"/>
    <col customWidth="1" min="16" max="16" width="11.75"/>
    <col customWidth="1" min="17" max="18" width="7.63"/>
    <col customWidth="1" min="19" max="19" width="9.75"/>
    <col customWidth="1" min="20" max="20" width="9.5"/>
    <col customWidth="1" min="21" max="21" width="10.5"/>
    <col customWidth="1" min="22" max="22" width="13.63"/>
    <col customWidth="1" min="23" max="26" width="7.63"/>
  </cols>
  <sheetData>
    <row r="1">
      <c r="A1" s="467" t="s">
        <v>848</v>
      </c>
      <c r="B1" s="96"/>
      <c r="C1" s="96"/>
      <c r="D1" s="96"/>
      <c r="E1" s="96"/>
      <c r="F1" s="96"/>
      <c r="G1" s="96"/>
      <c r="H1" s="96"/>
      <c r="I1" s="96"/>
      <c r="J1" s="96"/>
      <c r="K1" s="96"/>
      <c r="L1" s="96"/>
      <c r="M1" s="96"/>
      <c r="N1" s="96"/>
      <c r="O1" s="468"/>
      <c r="Q1" s="12" t="s">
        <v>8</v>
      </c>
    </row>
    <row r="2" ht="15.75" customHeight="1">
      <c r="A2" s="469" t="s">
        <v>849</v>
      </c>
      <c r="B2" s="8"/>
      <c r="C2" s="8"/>
      <c r="D2" s="8"/>
      <c r="E2" s="8"/>
      <c r="F2" s="8"/>
      <c r="G2" s="10"/>
      <c r="H2" s="469" t="s">
        <v>850</v>
      </c>
      <c r="I2" s="8"/>
      <c r="J2" s="8"/>
      <c r="K2" s="8"/>
      <c r="L2" s="8"/>
      <c r="M2" s="8"/>
      <c r="N2" s="8"/>
      <c r="O2" s="10"/>
      <c r="P2" s="397"/>
      <c r="Q2" s="470" t="s">
        <v>49</v>
      </c>
      <c r="R2" s="397"/>
      <c r="S2" s="397"/>
      <c r="T2" s="397"/>
      <c r="U2" s="397"/>
      <c r="V2" s="397"/>
      <c r="W2" s="397"/>
      <c r="X2" s="397"/>
      <c r="Y2" s="397"/>
      <c r="Z2" s="397"/>
    </row>
    <row r="3" ht="15.0" customHeight="1">
      <c r="A3" s="471" t="s">
        <v>14</v>
      </c>
      <c r="B3" s="471" t="s">
        <v>851</v>
      </c>
      <c r="C3" s="472" t="s">
        <v>78</v>
      </c>
      <c r="D3" s="471" t="s">
        <v>852</v>
      </c>
      <c r="E3" s="471" t="s">
        <v>814</v>
      </c>
      <c r="F3" s="471" t="s">
        <v>853</v>
      </c>
      <c r="G3" s="471" t="s">
        <v>854</v>
      </c>
      <c r="H3" s="473" t="s">
        <v>225</v>
      </c>
      <c r="I3" s="329"/>
      <c r="J3" s="473" t="s">
        <v>243</v>
      </c>
      <c r="K3" s="329"/>
      <c r="L3" s="473" t="s">
        <v>855</v>
      </c>
      <c r="M3" s="329"/>
      <c r="N3" s="473" t="s">
        <v>856</v>
      </c>
      <c r="O3" s="329"/>
      <c r="P3" s="474"/>
      <c r="Q3" s="475" t="s">
        <v>51</v>
      </c>
      <c r="R3" s="397"/>
      <c r="S3" s="397"/>
      <c r="T3" s="397"/>
      <c r="U3" s="397"/>
      <c r="V3" s="397"/>
      <c r="W3" s="397"/>
      <c r="X3" s="397"/>
      <c r="Y3" s="397"/>
      <c r="Z3" s="397"/>
    </row>
    <row r="4">
      <c r="A4" s="476"/>
      <c r="B4" s="476"/>
      <c r="D4" s="476"/>
      <c r="E4" s="476"/>
      <c r="F4" s="476"/>
      <c r="G4" s="476"/>
      <c r="H4" s="477" t="s">
        <v>857</v>
      </c>
      <c r="I4" s="478" t="s">
        <v>858</v>
      </c>
      <c r="J4" s="477" t="s">
        <v>857</v>
      </c>
      <c r="K4" s="478" t="s">
        <v>858</v>
      </c>
      <c r="L4" s="477" t="s">
        <v>857</v>
      </c>
      <c r="M4" s="478" t="s">
        <v>858</v>
      </c>
      <c r="N4" s="477" t="s">
        <v>857</v>
      </c>
      <c r="O4" s="478" t="s">
        <v>858</v>
      </c>
      <c r="P4" s="474"/>
      <c r="Q4" s="397"/>
      <c r="S4" s="397"/>
      <c r="T4" s="397"/>
      <c r="U4" s="397"/>
      <c r="W4" s="397"/>
      <c r="X4" s="397"/>
      <c r="Y4" s="397"/>
      <c r="Z4" s="397"/>
    </row>
    <row r="5">
      <c r="A5" s="469" t="s">
        <v>859</v>
      </c>
      <c r="B5" s="8"/>
      <c r="C5" s="8"/>
      <c r="D5" s="8"/>
      <c r="E5" s="8"/>
      <c r="F5" s="8"/>
      <c r="G5" s="479"/>
      <c r="H5" s="480"/>
      <c r="I5" s="480"/>
      <c r="J5" s="480"/>
      <c r="K5" s="480"/>
      <c r="L5" s="480"/>
      <c r="M5" s="480"/>
      <c r="N5" s="480"/>
      <c r="O5" s="481"/>
      <c r="P5" s="474"/>
      <c r="W5" s="397"/>
      <c r="X5" s="397"/>
      <c r="Y5" s="397"/>
      <c r="Z5" s="397"/>
    </row>
    <row r="6">
      <c r="A6" s="482" t="s">
        <v>40</v>
      </c>
      <c r="B6" s="483" t="s">
        <v>820</v>
      </c>
      <c r="C6" s="485">
        <v>0.1</v>
      </c>
      <c r="D6" s="486">
        <v>1.5</v>
      </c>
      <c r="E6" s="487">
        <v>1.0</v>
      </c>
      <c r="F6" s="493" t="s">
        <v>865</v>
      </c>
      <c r="G6" s="498">
        <f t="shared" ref="G6:G25" si="1">(1+C6)*D6*E6</f>
        <v>1.65</v>
      </c>
      <c r="H6" s="500">
        <v>0.5</v>
      </c>
      <c r="I6" s="503">
        <f>H6*$G6</f>
        <v>0.825</v>
      </c>
      <c r="J6" s="504">
        <v>0.75</v>
      </c>
      <c r="K6" s="506">
        <f>J6*$G6</f>
        <v>1.2375</v>
      </c>
      <c r="L6" s="504">
        <v>1.0</v>
      </c>
      <c r="M6" s="503">
        <f>L6*$G6</f>
        <v>1.65</v>
      </c>
      <c r="N6" s="504">
        <v>0.5</v>
      </c>
      <c r="O6" s="503">
        <f>N6*$G6</f>
        <v>0.825</v>
      </c>
      <c r="P6" s="509"/>
      <c r="Q6" s="397"/>
      <c r="X6" s="510"/>
      <c r="Z6" s="397"/>
    </row>
    <row r="7">
      <c r="A7" s="512"/>
      <c r="B7" s="513" t="s">
        <v>880</v>
      </c>
      <c r="C7" s="514">
        <v>0.1</v>
      </c>
      <c r="D7" s="515">
        <v>0.396</v>
      </c>
      <c r="E7" s="516">
        <v>1.0</v>
      </c>
      <c r="F7" s="517" t="s">
        <v>883</v>
      </c>
      <c r="G7" s="498">
        <f t="shared" si="1"/>
        <v>0.4356</v>
      </c>
      <c r="H7" s="519">
        <v>1.0</v>
      </c>
      <c r="I7" s="520">
        <v>0.396</v>
      </c>
      <c r="J7" s="519">
        <v>1.0</v>
      </c>
      <c r="K7" s="520">
        <v>0.396</v>
      </c>
      <c r="L7" s="519">
        <v>1.0</v>
      </c>
      <c r="M7" s="520">
        <v>0.396</v>
      </c>
      <c r="N7" s="522">
        <v>0.0</v>
      </c>
      <c r="O7" s="520">
        <v>0.0</v>
      </c>
      <c r="P7" s="509"/>
      <c r="Q7" s="524"/>
      <c r="R7" s="466"/>
      <c r="S7" s="466"/>
      <c r="T7" s="466"/>
      <c r="U7" s="466"/>
      <c r="V7" s="466"/>
      <c r="X7" s="510"/>
      <c r="Z7" s="397"/>
    </row>
    <row r="8">
      <c r="A8" s="476"/>
      <c r="B8" s="526" t="s">
        <v>825</v>
      </c>
      <c r="C8" s="527"/>
      <c r="D8" s="528"/>
      <c r="E8" s="529"/>
      <c r="F8" s="531"/>
      <c r="G8" s="533">
        <f t="shared" si="1"/>
        <v>0</v>
      </c>
      <c r="H8" s="534">
        <v>0.0</v>
      </c>
      <c r="I8" s="506">
        <f t="shared" ref="I8:I25" si="2">H8*$G8</f>
        <v>0</v>
      </c>
      <c r="J8" s="536">
        <v>0.0</v>
      </c>
      <c r="K8" s="506">
        <f t="shared" ref="K8:K25" si="3">J8*$G8</f>
        <v>0</v>
      </c>
      <c r="L8" s="536">
        <v>0.0</v>
      </c>
      <c r="M8" s="506">
        <f t="shared" ref="M8:M25" si="4">L8*$G8</f>
        <v>0</v>
      </c>
      <c r="N8" s="536">
        <v>0.0</v>
      </c>
      <c r="O8" s="506">
        <f t="shared" ref="O8:O25" si="5">N8*$G8</f>
        <v>0</v>
      </c>
      <c r="P8" s="509"/>
      <c r="Q8" s="524"/>
      <c r="R8" s="11"/>
      <c r="S8" s="11"/>
      <c r="T8" s="11"/>
      <c r="U8" s="11"/>
      <c r="V8" s="11"/>
      <c r="X8" s="510"/>
      <c r="Z8" s="397"/>
    </row>
    <row r="9">
      <c r="A9" s="541" t="s">
        <v>108</v>
      </c>
      <c r="B9" s="483" t="s">
        <v>887</v>
      </c>
      <c r="C9" s="485">
        <v>0.1</v>
      </c>
      <c r="D9" s="486">
        <v>10.4</v>
      </c>
      <c r="E9" s="487">
        <v>1.0</v>
      </c>
      <c r="F9" s="542" t="s">
        <v>827</v>
      </c>
      <c r="G9" s="544">
        <f t="shared" si="1"/>
        <v>11.44</v>
      </c>
      <c r="H9" s="500">
        <v>0.0105</v>
      </c>
      <c r="I9" s="503">
        <f t="shared" si="2"/>
        <v>0.12012</v>
      </c>
      <c r="J9" s="500">
        <v>0.03</v>
      </c>
      <c r="K9" s="547">
        <f t="shared" si="3"/>
        <v>0.3432</v>
      </c>
      <c r="L9" s="504">
        <v>0.03</v>
      </c>
      <c r="M9" s="503">
        <f t="shared" si="4"/>
        <v>0.3432</v>
      </c>
      <c r="N9" s="500">
        <v>0.0</v>
      </c>
      <c r="O9" s="503">
        <f t="shared" si="5"/>
        <v>0</v>
      </c>
      <c r="P9" s="509"/>
      <c r="Q9" s="397"/>
      <c r="R9" s="11"/>
      <c r="S9" s="11"/>
      <c r="T9" s="11"/>
      <c r="U9" s="11"/>
      <c r="V9" s="11"/>
      <c r="X9" s="510"/>
      <c r="Z9" s="397"/>
    </row>
    <row r="10">
      <c r="A10" s="151"/>
      <c r="B10" s="550" t="s">
        <v>888</v>
      </c>
      <c r="C10" s="551">
        <v>0.1</v>
      </c>
      <c r="D10" s="553">
        <v>1.7</v>
      </c>
      <c r="E10" s="555">
        <v>1.0</v>
      </c>
      <c r="F10" s="557" t="s">
        <v>827</v>
      </c>
      <c r="G10" s="498">
        <f t="shared" si="1"/>
        <v>1.87</v>
      </c>
      <c r="H10" s="558">
        <v>1.0</v>
      </c>
      <c r="I10" s="560">
        <f t="shared" si="2"/>
        <v>1.87</v>
      </c>
      <c r="J10" s="558">
        <v>1.0</v>
      </c>
      <c r="K10" s="563">
        <f t="shared" si="3"/>
        <v>1.87</v>
      </c>
      <c r="L10" s="564">
        <v>1.0</v>
      </c>
      <c r="M10" s="560">
        <f t="shared" si="4"/>
        <v>1.87</v>
      </c>
      <c r="N10" s="558">
        <v>0.0</v>
      </c>
      <c r="O10" s="560">
        <f t="shared" si="5"/>
        <v>0</v>
      </c>
      <c r="P10" s="509"/>
      <c r="Q10" s="397"/>
      <c r="R10" s="11"/>
      <c r="S10" s="568"/>
      <c r="T10" s="568"/>
      <c r="U10" s="568"/>
      <c r="V10" s="568"/>
      <c r="X10" s="510"/>
      <c r="Z10" s="397"/>
    </row>
    <row r="11">
      <c r="A11" s="153"/>
      <c r="B11" s="570" t="s">
        <v>825</v>
      </c>
      <c r="C11" s="572"/>
      <c r="D11" s="573"/>
      <c r="E11" s="574"/>
      <c r="F11" s="575"/>
      <c r="G11" s="533">
        <f t="shared" si="1"/>
        <v>0</v>
      </c>
      <c r="H11" s="576">
        <v>0.0</v>
      </c>
      <c r="I11" s="577">
        <f t="shared" si="2"/>
        <v>0</v>
      </c>
      <c r="J11" s="576">
        <v>0.0</v>
      </c>
      <c r="K11" s="578">
        <f t="shared" si="3"/>
        <v>0</v>
      </c>
      <c r="L11" s="579">
        <v>0.0</v>
      </c>
      <c r="M11" s="577">
        <f t="shared" si="4"/>
        <v>0</v>
      </c>
      <c r="N11" s="576">
        <v>0.0</v>
      </c>
      <c r="O11" s="577">
        <f t="shared" si="5"/>
        <v>0</v>
      </c>
      <c r="P11" s="509"/>
      <c r="Q11" s="397"/>
      <c r="R11" s="11"/>
      <c r="S11" s="568"/>
      <c r="T11" s="568"/>
      <c r="U11" s="568"/>
      <c r="V11" s="568"/>
      <c r="X11" s="510"/>
      <c r="Z11" s="397"/>
    </row>
    <row r="12">
      <c r="A12" s="521" t="s">
        <v>101</v>
      </c>
      <c r="B12" s="580" t="s">
        <v>894</v>
      </c>
      <c r="C12" s="581">
        <v>0.1</v>
      </c>
      <c r="D12" s="582">
        <v>3.1</v>
      </c>
      <c r="E12" s="583">
        <v>2.0</v>
      </c>
      <c r="F12" s="461" t="s">
        <v>895</v>
      </c>
      <c r="G12" s="544">
        <f t="shared" si="1"/>
        <v>6.82</v>
      </c>
      <c r="H12" s="586">
        <v>0.0</v>
      </c>
      <c r="I12" s="588">
        <f t="shared" si="2"/>
        <v>0</v>
      </c>
      <c r="J12" s="590">
        <v>0.0</v>
      </c>
      <c r="K12" s="588">
        <f t="shared" si="3"/>
        <v>0</v>
      </c>
      <c r="L12" s="590">
        <v>1.0</v>
      </c>
      <c r="M12" s="588">
        <f t="shared" si="4"/>
        <v>6.82</v>
      </c>
      <c r="N12" s="590">
        <v>0.0</v>
      </c>
      <c r="O12" s="588">
        <f t="shared" si="5"/>
        <v>0</v>
      </c>
      <c r="P12" s="509"/>
      <c r="Q12" s="397"/>
      <c r="R12" s="11"/>
      <c r="S12" s="568"/>
      <c r="T12" s="568"/>
      <c r="U12" s="568"/>
      <c r="V12" s="568"/>
      <c r="X12" s="510"/>
      <c r="Z12" s="397"/>
    </row>
    <row r="13">
      <c r="A13" s="521"/>
      <c r="B13" s="593" t="s">
        <v>899</v>
      </c>
      <c r="C13" s="551">
        <v>0.1</v>
      </c>
      <c r="D13" s="553">
        <v>1.4</v>
      </c>
      <c r="E13" s="555">
        <v>1.0</v>
      </c>
      <c r="F13" s="461" t="s">
        <v>901</v>
      </c>
      <c r="G13" s="498">
        <f t="shared" si="1"/>
        <v>1.54</v>
      </c>
      <c r="H13" s="558">
        <v>0.0</v>
      </c>
      <c r="I13" s="560">
        <f t="shared" si="2"/>
        <v>0</v>
      </c>
      <c r="J13" s="564">
        <v>0.1</v>
      </c>
      <c r="K13" s="560">
        <f t="shared" si="3"/>
        <v>0.154</v>
      </c>
      <c r="L13" s="564">
        <v>1.0</v>
      </c>
      <c r="M13" s="560">
        <f t="shared" si="4"/>
        <v>1.54</v>
      </c>
      <c r="N13" s="564">
        <v>0.0</v>
      </c>
      <c r="O13" s="560">
        <f t="shared" si="5"/>
        <v>0</v>
      </c>
      <c r="P13" s="509"/>
      <c r="Q13" s="397"/>
      <c r="R13" s="11"/>
      <c r="S13" s="568"/>
      <c r="T13" s="568"/>
      <c r="U13" s="568"/>
      <c r="V13" s="568"/>
      <c r="W13" s="597"/>
      <c r="X13" s="510"/>
      <c r="Y13" s="597"/>
      <c r="Z13" s="397"/>
    </row>
    <row r="14">
      <c r="A14" s="521"/>
      <c r="B14" s="593" t="s">
        <v>906</v>
      </c>
      <c r="C14" s="551">
        <v>0.1</v>
      </c>
      <c r="D14" s="553">
        <v>0.324</v>
      </c>
      <c r="E14" s="555">
        <v>1.0</v>
      </c>
      <c r="F14" s="461" t="s">
        <v>908</v>
      </c>
      <c r="G14" s="498">
        <f t="shared" si="1"/>
        <v>0.3564</v>
      </c>
      <c r="H14" s="558">
        <v>0.0</v>
      </c>
      <c r="I14" s="560">
        <f t="shared" si="2"/>
        <v>0</v>
      </c>
      <c r="J14" s="564">
        <v>1.0</v>
      </c>
      <c r="K14" s="560">
        <f t="shared" si="3"/>
        <v>0.3564</v>
      </c>
      <c r="L14" s="564">
        <v>1.0</v>
      </c>
      <c r="M14" s="560">
        <f t="shared" si="4"/>
        <v>0.3564</v>
      </c>
      <c r="N14" s="564">
        <v>0.0</v>
      </c>
      <c r="O14" s="560">
        <f t="shared" si="5"/>
        <v>0</v>
      </c>
      <c r="P14" s="509"/>
      <c r="Q14" s="397"/>
      <c r="R14" s="11"/>
      <c r="S14" s="568"/>
      <c r="T14" s="568"/>
      <c r="U14" s="568"/>
      <c r="V14" s="568"/>
      <c r="W14" s="597"/>
      <c r="X14" s="510"/>
      <c r="Y14" s="597"/>
      <c r="Z14" s="397"/>
    </row>
    <row r="15">
      <c r="A15" s="521"/>
      <c r="B15" s="602" t="s">
        <v>910</v>
      </c>
      <c r="C15" s="527">
        <v>0.1</v>
      </c>
      <c r="D15" s="528">
        <v>0.07</v>
      </c>
      <c r="E15" s="529">
        <v>1.0</v>
      </c>
      <c r="F15" s="462" t="s">
        <v>911</v>
      </c>
      <c r="G15" s="533">
        <f t="shared" si="1"/>
        <v>0.077</v>
      </c>
      <c r="H15" s="534">
        <v>0.0</v>
      </c>
      <c r="I15" s="506">
        <f t="shared" si="2"/>
        <v>0</v>
      </c>
      <c r="J15" s="536">
        <v>0.0</v>
      </c>
      <c r="K15" s="506">
        <f t="shared" si="3"/>
        <v>0</v>
      </c>
      <c r="L15" s="536">
        <v>0.0</v>
      </c>
      <c r="M15" s="506">
        <f t="shared" si="4"/>
        <v>0</v>
      </c>
      <c r="N15" s="536">
        <v>0.0</v>
      </c>
      <c r="O15" s="506">
        <f t="shared" si="5"/>
        <v>0</v>
      </c>
      <c r="P15" s="509"/>
      <c r="Q15" s="397"/>
      <c r="R15" s="11"/>
      <c r="S15" s="568"/>
      <c r="T15" s="568"/>
      <c r="U15" s="568"/>
      <c r="V15" s="568"/>
      <c r="W15" s="597"/>
      <c r="X15" s="510"/>
      <c r="Y15" s="597"/>
      <c r="Z15" s="397"/>
    </row>
    <row r="16">
      <c r="A16" s="541" t="s">
        <v>87</v>
      </c>
      <c r="B16" s="606" t="s">
        <v>836</v>
      </c>
      <c r="C16" s="485">
        <v>0.1</v>
      </c>
      <c r="D16" s="486">
        <v>0.5</v>
      </c>
      <c r="E16" s="487">
        <v>2.0</v>
      </c>
      <c r="F16" s="493" t="s">
        <v>913</v>
      </c>
      <c r="G16" s="544">
        <f t="shared" si="1"/>
        <v>1.1</v>
      </c>
      <c r="H16" s="500">
        <v>0.0</v>
      </c>
      <c r="I16" s="503">
        <f t="shared" si="2"/>
        <v>0</v>
      </c>
      <c r="J16" s="504">
        <v>0.1</v>
      </c>
      <c r="K16" s="503">
        <f t="shared" si="3"/>
        <v>0.11</v>
      </c>
      <c r="L16" s="500">
        <v>0.2</v>
      </c>
      <c r="M16" s="547">
        <f t="shared" si="4"/>
        <v>0.22</v>
      </c>
      <c r="N16" s="504">
        <v>0.5</v>
      </c>
      <c r="O16" s="503">
        <f t="shared" si="5"/>
        <v>0.55</v>
      </c>
      <c r="P16" s="509"/>
      <c r="Q16" s="397"/>
      <c r="R16" s="510"/>
      <c r="Z16" s="397"/>
    </row>
    <row r="17">
      <c r="A17" s="151"/>
      <c r="B17" s="550" t="s">
        <v>838</v>
      </c>
      <c r="C17" s="551">
        <v>0.1</v>
      </c>
      <c r="D17" s="553">
        <v>1.75</v>
      </c>
      <c r="E17" s="555">
        <v>1.0</v>
      </c>
      <c r="F17" s="461" t="s">
        <v>917</v>
      </c>
      <c r="G17" s="498">
        <f t="shared" si="1"/>
        <v>1.925</v>
      </c>
      <c r="H17" s="558">
        <v>0.0</v>
      </c>
      <c r="I17" s="560">
        <f t="shared" si="2"/>
        <v>0</v>
      </c>
      <c r="J17" s="564">
        <v>0.1</v>
      </c>
      <c r="K17" s="560">
        <f t="shared" si="3"/>
        <v>0.1925</v>
      </c>
      <c r="L17" s="558">
        <v>0.2</v>
      </c>
      <c r="M17" s="563">
        <f t="shared" si="4"/>
        <v>0.385</v>
      </c>
      <c r="N17" s="564">
        <v>0.5</v>
      </c>
      <c r="O17" s="560">
        <f t="shared" si="5"/>
        <v>0.9625</v>
      </c>
      <c r="P17" s="509"/>
      <c r="Q17" s="397"/>
      <c r="R17" s="510"/>
      <c r="S17" s="597"/>
      <c r="T17" s="510"/>
      <c r="U17" s="597"/>
      <c r="V17" s="510"/>
      <c r="W17" s="597"/>
      <c r="X17" s="510"/>
      <c r="Y17" s="597"/>
      <c r="Z17" s="397"/>
    </row>
    <row r="18">
      <c r="A18" s="151"/>
      <c r="B18" s="550" t="s">
        <v>840</v>
      </c>
      <c r="C18" s="551">
        <v>0.1</v>
      </c>
      <c r="D18" s="553">
        <v>0.22</v>
      </c>
      <c r="E18" s="555">
        <v>1.0</v>
      </c>
      <c r="F18" s="461" t="s">
        <v>922</v>
      </c>
      <c r="G18" s="498">
        <f t="shared" si="1"/>
        <v>0.242</v>
      </c>
      <c r="H18" s="558">
        <v>1.0</v>
      </c>
      <c r="I18" s="560">
        <f t="shared" si="2"/>
        <v>0.242</v>
      </c>
      <c r="J18" s="564">
        <v>1.0</v>
      </c>
      <c r="K18" s="560">
        <f t="shared" si="3"/>
        <v>0.242</v>
      </c>
      <c r="L18" s="558">
        <v>1.0</v>
      </c>
      <c r="M18" s="563">
        <f t="shared" si="4"/>
        <v>0.242</v>
      </c>
      <c r="N18" s="564">
        <v>1.0</v>
      </c>
      <c r="O18" s="560">
        <f t="shared" si="5"/>
        <v>0.242</v>
      </c>
      <c r="P18" s="509"/>
      <c r="Q18" s="397"/>
      <c r="R18" s="510"/>
      <c r="S18" s="597"/>
      <c r="T18" s="510"/>
      <c r="U18" s="597"/>
      <c r="V18" s="510"/>
      <c r="W18" s="597"/>
      <c r="X18" s="510"/>
      <c r="Y18" s="597"/>
      <c r="Z18" s="397"/>
    </row>
    <row r="19">
      <c r="A19" s="151"/>
      <c r="B19" s="550" t="s">
        <v>924</v>
      </c>
      <c r="C19" s="551">
        <v>0.1</v>
      </c>
      <c r="D19" s="553">
        <v>0.5051</v>
      </c>
      <c r="E19" s="555">
        <v>1.0</v>
      </c>
      <c r="F19" s="557" t="s">
        <v>883</v>
      </c>
      <c r="G19" s="498">
        <f t="shared" si="1"/>
        <v>0.55561</v>
      </c>
      <c r="H19" s="558">
        <v>1.0</v>
      </c>
      <c r="I19" s="560">
        <f t="shared" si="2"/>
        <v>0.55561</v>
      </c>
      <c r="J19" s="564">
        <v>1.0</v>
      </c>
      <c r="K19" s="560">
        <f t="shared" si="3"/>
        <v>0.55561</v>
      </c>
      <c r="L19" s="558">
        <v>1.0</v>
      </c>
      <c r="M19" s="563">
        <f t="shared" si="4"/>
        <v>0.55561</v>
      </c>
      <c r="N19" s="564">
        <v>0.0</v>
      </c>
      <c r="O19" s="560">
        <f t="shared" si="5"/>
        <v>0</v>
      </c>
      <c r="P19" s="509"/>
      <c r="R19" s="510"/>
      <c r="S19" s="597"/>
      <c r="T19" s="510"/>
      <c r="U19" s="597"/>
      <c r="V19" s="510"/>
      <c r="W19" s="597"/>
      <c r="X19" s="510"/>
      <c r="Y19" s="597"/>
      <c r="Z19" s="397"/>
    </row>
    <row r="20">
      <c r="A20" s="153"/>
      <c r="B20" s="570" t="s">
        <v>926</v>
      </c>
      <c r="C20" s="572">
        <v>0.1</v>
      </c>
      <c r="D20" s="573">
        <v>0.01</v>
      </c>
      <c r="E20" s="574">
        <v>1.0</v>
      </c>
      <c r="F20" s="621" t="s">
        <v>927</v>
      </c>
      <c r="G20" s="533">
        <f t="shared" si="1"/>
        <v>0.011</v>
      </c>
      <c r="H20" s="576">
        <v>1.0</v>
      </c>
      <c r="I20" s="577">
        <f t="shared" si="2"/>
        <v>0.011</v>
      </c>
      <c r="J20" s="579">
        <v>1.0</v>
      </c>
      <c r="K20" s="577">
        <f t="shared" si="3"/>
        <v>0.011</v>
      </c>
      <c r="L20" s="576">
        <v>1.0</v>
      </c>
      <c r="M20" s="578">
        <f t="shared" si="4"/>
        <v>0.011</v>
      </c>
      <c r="N20" s="579">
        <v>1.0</v>
      </c>
      <c r="O20" s="577">
        <f t="shared" si="5"/>
        <v>0.011</v>
      </c>
      <c r="P20" s="509"/>
      <c r="Q20" s="397"/>
      <c r="R20" s="510"/>
      <c r="S20" s="597"/>
      <c r="T20" s="510"/>
      <c r="U20" s="597"/>
      <c r="V20" s="510"/>
      <c r="W20" s="597"/>
      <c r="X20" s="510"/>
      <c r="Y20" s="597"/>
      <c r="Z20" s="397"/>
    </row>
    <row r="21" ht="15.75" customHeight="1">
      <c r="A21" s="482" t="s">
        <v>928</v>
      </c>
      <c r="B21" s="625" t="s">
        <v>844</v>
      </c>
      <c r="C21" s="485">
        <v>0.0</v>
      </c>
      <c r="D21" s="486">
        <v>1.28</v>
      </c>
      <c r="E21" s="487">
        <v>1.0</v>
      </c>
      <c r="F21" s="542" t="s">
        <v>845</v>
      </c>
      <c r="G21" s="626">
        <f t="shared" si="1"/>
        <v>1.28</v>
      </c>
      <c r="H21" s="500">
        <v>1.0</v>
      </c>
      <c r="I21" s="503">
        <f t="shared" si="2"/>
        <v>1.28</v>
      </c>
      <c r="J21" s="504">
        <v>1.0</v>
      </c>
      <c r="K21" s="503">
        <f t="shared" si="3"/>
        <v>1.28</v>
      </c>
      <c r="L21" s="504">
        <v>1.0</v>
      </c>
      <c r="M21" s="503">
        <f t="shared" si="4"/>
        <v>1.28</v>
      </c>
      <c r="N21" s="504">
        <v>1.0</v>
      </c>
      <c r="O21" s="503">
        <f t="shared" si="5"/>
        <v>1.28</v>
      </c>
      <c r="P21" s="509"/>
      <c r="Q21" s="397"/>
      <c r="R21" s="510"/>
      <c r="Z21" s="397"/>
    </row>
    <row r="22" ht="15.75" customHeight="1">
      <c r="A22" s="512"/>
      <c r="B22" s="629" t="s">
        <v>929</v>
      </c>
      <c r="C22" s="514">
        <v>0.1</v>
      </c>
      <c r="D22" s="515">
        <v>0.1677</v>
      </c>
      <c r="E22" s="516">
        <v>1.0</v>
      </c>
      <c r="F22" s="517" t="s">
        <v>930</v>
      </c>
      <c r="G22" s="533">
        <f t="shared" si="1"/>
        <v>0.18447</v>
      </c>
      <c r="H22" s="519">
        <v>1.0</v>
      </c>
      <c r="I22" s="520">
        <f t="shared" si="2"/>
        <v>0.18447</v>
      </c>
      <c r="J22" s="522">
        <v>1.0</v>
      </c>
      <c r="K22" s="520">
        <f t="shared" si="3"/>
        <v>0.18447</v>
      </c>
      <c r="L22" s="522">
        <v>1.0</v>
      </c>
      <c r="M22" s="520">
        <f t="shared" si="4"/>
        <v>0.18447</v>
      </c>
      <c r="N22" s="522">
        <v>1.0</v>
      </c>
      <c r="O22" s="520">
        <f t="shared" si="5"/>
        <v>0.18447</v>
      </c>
      <c r="P22" s="509"/>
      <c r="Q22" s="631"/>
      <c r="R22" s="510"/>
      <c r="S22" s="597"/>
      <c r="T22" s="510"/>
      <c r="U22" s="597"/>
      <c r="V22" s="510"/>
      <c r="W22" s="597"/>
      <c r="X22" s="510"/>
      <c r="Y22" s="597"/>
      <c r="Z22" s="397"/>
    </row>
    <row r="23" ht="15.75" customHeight="1">
      <c r="A23" s="476"/>
      <c r="B23" s="634" t="s">
        <v>931</v>
      </c>
      <c r="C23" s="572">
        <v>0.1</v>
      </c>
      <c r="D23" s="573">
        <v>0.087</v>
      </c>
      <c r="E23" s="574">
        <v>1.0</v>
      </c>
      <c r="F23" s="621" t="s">
        <v>932</v>
      </c>
      <c r="G23" s="533">
        <f t="shared" si="1"/>
        <v>0.0957</v>
      </c>
      <c r="H23" s="576">
        <v>1.0</v>
      </c>
      <c r="I23" s="520">
        <f t="shared" si="2"/>
        <v>0.0957</v>
      </c>
      <c r="J23" s="579">
        <v>1.0</v>
      </c>
      <c r="K23" s="520">
        <f t="shared" si="3"/>
        <v>0.0957</v>
      </c>
      <c r="L23" s="579">
        <v>1.0</v>
      </c>
      <c r="M23" s="520">
        <f t="shared" si="4"/>
        <v>0.0957</v>
      </c>
      <c r="N23" s="579">
        <v>1.0</v>
      </c>
      <c r="O23" s="577">
        <f t="shared" si="5"/>
        <v>0.0957</v>
      </c>
      <c r="P23" s="509"/>
      <c r="Q23" s="631"/>
      <c r="R23" s="510"/>
      <c r="S23" s="597"/>
      <c r="T23" s="510"/>
      <c r="U23" s="597"/>
      <c r="V23" s="510"/>
      <c r="W23" s="597"/>
      <c r="X23" s="510"/>
      <c r="Y23" s="597"/>
      <c r="Z23" s="397"/>
    </row>
    <row r="24" ht="15.75" customHeight="1">
      <c r="A24" s="482" t="s">
        <v>94</v>
      </c>
      <c r="B24" s="625" t="s">
        <v>846</v>
      </c>
      <c r="C24" s="485">
        <v>0.1</v>
      </c>
      <c r="D24" s="486">
        <v>4.836</v>
      </c>
      <c r="E24" s="487">
        <v>1.0</v>
      </c>
      <c r="F24" s="542" t="s">
        <v>847</v>
      </c>
      <c r="G24" s="626">
        <f t="shared" si="1"/>
        <v>5.3196</v>
      </c>
      <c r="H24" s="500">
        <v>0.3</v>
      </c>
      <c r="I24" s="503">
        <f t="shared" si="2"/>
        <v>1.59588</v>
      </c>
      <c r="J24" s="504">
        <v>0.3</v>
      </c>
      <c r="K24" s="503">
        <f t="shared" si="3"/>
        <v>1.59588</v>
      </c>
      <c r="L24" s="504">
        <v>0.3</v>
      </c>
      <c r="M24" s="503">
        <f t="shared" si="4"/>
        <v>1.59588</v>
      </c>
      <c r="N24" s="504">
        <v>0.3</v>
      </c>
      <c r="O24" s="503">
        <f t="shared" si="5"/>
        <v>1.59588</v>
      </c>
      <c r="P24" s="637"/>
      <c r="Q24" s="371"/>
      <c r="R24" s="510"/>
      <c r="Z24" s="397"/>
    </row>
    <row r="25" ht="15.75" customHeight="1">
      <c r="A25" s="476"/>
      <c r="B25" s="634" t="s">
        <v>825</v>
      </c>
      <c r="C25" s="572"/>
      <c r="D25" s="573"/>
      <c r="E25" s="574"/>
      <c r="F25" s="621"/>
      <c r="G25" s="533">
        <f t="shared" si="1"/>
        <v>0</v>
      </c>
      <c r="H25" s="576">
        <v>0.0</v>
      </c>
      <c r="I25" s="577">
        <f t="shared" si="2"/>
        <v>0</v>
      </c>
      <c r="J25" s="579">
        <v>0.0</v>
      </c>
      <c r="K25" s="577">
        <f t="shared" si="3"/>
        <v>0</v>
      </c>
      <c r="L25" s="579">
        <v>0.0</v>
      </c>
      <c r="M25" s="577">
        <f t="shared" si="4"/>
        <v>0</v>
      </c>
      <c r="N25" s="579">
        <v>0.0</v>
      </c>
      <c r="O25" s="577">
        <f t="shared" si="5"/>
        <v>0</v>
      </c>
      <c r="Q25" s="639"/>
      <c r="R25" s="641"/>
      <c r="S25" s="568"/>
      <c r="T25" s="641"/>
      <c r="U25" s="568"/>
      <c r="V25" s="641"/>
      <c r="W25" s="568"/>
      <c r="X25" s="641"/>
      <c r="Y25" s="568"/>
    </row>
    <row r="26" ht="15.75" customHeight="1">
      <c r="A26" s="643"/>
      <c r="B26" s="644"/>
      <c r="C26" s="644"/>
      <c r="D26" s="644"/>
      <c r="E26" s="644"/>
      <c r="F26" s="644"/>
      <c r="G26" s="645"/>
      <c r="H26" s="646"/>
      <c r="I26" s="646"/>
      <c r="J26" s="646"/>
      <c r="K26" s="646"/>
      <c r="L26" s="646"/>
      <c r="M26" s="646"/>
      <c r="N26" s="646"/>
      <c r="O26" s="647"/>
      <c r="Q26" s="639"/>
    </row>
    <row r="27" ht="15.75" customHeight="1">
      <c r="A27" s="648" t="s">
        <v>940</v>
      </c>
      <c r="B27" s="8"/>
      <c r="C27" s="8"/>
      <c r="D27" s="8"/>
      <c r="E27" s="8"/>
      <c r="F27" s="8"/>
      <c r="G27" s="10"/>
      <c r="H27" s="649">
        <f>SUM(I6:I27)</f>
        <v>7.17578</v>
      </c>
      <c r="I27" s="10"/>
      <c r="J27" s="649">
        <f>SUM(K6:K27)</f>
        <v>8.62426</v>
      </c>
      <c r="K27" s="10"/>
      <c r="L27" s="649">
        <f>SUM(M6:M27)</f>
        <v>17.54526</v>
      </c>
      <c r="M27" s="10"/>
      <c r="N27" s="649">
        <f>SUM(O6:O27)</f>
        <v>5.74655</v>
      </c>
      <c r="O27" s="10"/>
      <c r="Q27" s="639"/>
    </row>
    <row r="28" ht="15.75" customHeight="1">
      <c r="Q28" s="639"/>
    </row>
    <row r="29" ht="15.75" customHeight="1">
      <c r="A29" s="650" t="s">
        <v>941</v>
      </c>
      <c r="B29" s="147"/>
      <c r="C29" s="147"/>
      <c r="D29" s="147"/>
      <c r="E29" s="147"/>
      <c r="F29" s="147"/>
      <c r="G29" s="148"/>
      <c r="H29" s="651" t="s">
        <v>942</v>
      </c>
      <c r="I29" s="147"/>
      <c r="J29" s="147"/>
      <c r="K29" s="147"/>
      <c r="L29" s="147"/>
      <c r="M29" s="147"/>
      <c r="N29" s="147"/>
      <c r="O29" s="148"/>
      <c r="Q29" s="639"/>
    </row>
    <row r="30" ht="15.75" customHeight="1">
      <c r="A30" s="151"/>
      <c r="G30" s="81"/>
      <c r="H30" s="151"/>
      <c r="O30" s="81"/>
      <c r="Q30" s="639"/>
    </row>
    <row r="31" ht="15.75" customHeight="1">
      <c r="A31" s="151"/>
      <c r="G31" s="81"/>
      <c r="H31" s="151"/>
      <c r="O31" s="81"/>
      <c r="Q31" s="639"/>
    </row>
    <row r="32" ht="15.75" customHeight="1">
      <c r="A32" s="151"/>
      <c r="G32" s="81"/>
      <c r="H32" s="151"/>
      <c r="O32" s="81"/>
      <c r="Q32" s="639"/>
    </row>
    <row r="33" ht="15.75" customHeight="1">
      <c r="A33" s="151"/>
      <c r="G33" s="81"/>
      <c r="H33" s="151"/>
      <c r="O33" s="81"/>
      <c r="Q33" s="639"/>
    </row>
    <row r="34" ht="15.75" customHeight="1">
      <c r="A34" s="151"/>
      <c r="G34" s="81"/>
      <c r="H34" s="151"/>
      <c r="O34" s="81"/>
      <c r="Q34" s="639"/>
    </row>
    <row r="35" ht="15.75" customHeight="1">
      <c r="A35" s="151"/>
      <c r="G35" s="81"/>
      <c r="H35" s="151"/>
      <c r="O35" s="81"/>
    </row>
    <row r="36" ht="15.75" customHeight="1">
      <c r="A36" s="151"/>
      <c r="G36" s="81"/>
      <c r="H36" s="151"/>
      <c r="O36" s="81"/>
    </row>
    <row r="37" ht="21.75" customHeight="1">
      <c r="A37" s="153"/>
      <c r="B37" s="86"/>
      <c r="C37" s="86"/>
      <c r="D37" s="86"/>
      <c r="E37" s="86"/>
      <c r="F37" s="86"/>
      <c r="G37" s="88"/>
      <c r="H37" s="153"/>
      <c r="I37" s="86"/>
      <c r="J37" s="86"/>
      <c r="K37" s="86"/>
      <c r="L37" s="86"/>
      <c r="M37" s="86"/>
      <c r="N37" s="86"/>
      <c r="O37" s="88"/>
    </row>
    <row r="38" ht="15.75" customHeight="1"/>
    <row r="39" ht="15.75" customHeight="1">
      <c r="F39" s="397"/>
    </row>
    <row r="40" ht="15.75" customHeight="1">
      <c r="A40" s="11" t="s">
        <v>943</v>
      </c>
    </row>
    <row r="41" ht="15.75" customHeight="1"/>
    <row r="42" ht="15.75" customHeight="1"/>
    <row r="43" ht="15.75" customHeight="1"/>
    <row r="44" ht="15.75" customHeight="1">
      <c r="A44" s="11">
        <f>5/60*5</f>
        <v>0.4166666667</v>
      </c>
    </row>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7">
    <mergeCell ref="E3:E4"/>
    <mergeCell ref="F3:F4"/>
    <mergeCell ref="G3:G4"/>
    <mergeCell ref="H3:I3"/>
    <mergeCell ref="J3:K3"/>
    <mergeCell ref="L3:M3"/>
    <mergeCell ref="A1:O1"/>
    <mergeCell ref="A2:G2"/>
    <mergeCell ref="H2:O2"/>
    <mergeCell ref="A3:A4"/>
    <mergeCell ref="B3:B4"/>
    <mergeCell ref="C3:C4"/>
    <mergeCell ref="N3:O3"/>
    <mergeCell ref="A27:G27"/>
    <mergeCell ref="H27:I27"/>
    <mergeCell ref="J27:K27"/>
    <mergeCell ref="L27:M27"/>
    <mergeCell ref="N27:O27"/>
    <mergeCell ref="H29:O37"/>
    <mergeCell ref="D3:D4"/>
    <mergeCell ref="A5:G5"/>
    <mergeCell ref="A6:A8"/>
    <mergeCell ref="A9:A11"/>
    <mergeCell ref="A16:A20"/>
    <mergeCell ref="A21:A23"/>
    <mergeCell ref="A24:A25"/>
    <mergeCell ref="A29:G37"/>
  </mergeCells>
  <hyperlinks>
    <hyperlink r:id="rId2" ref="F6"/>
    <hyperlink r:id="rId3" ref="F12"/>
    <hyperlink r:id="rId4" ref="F13"/>
    <hyperlink r:id="rId5" ref="F14"/>
    <hyperlink r:id="rId6" ref="F15"/>
    <hyperlink r:id="rId7" ref="F16"/>
    <hyperlink r:id="rId8" ref="F17"/>
    <hyperlink r:id="rId9" ref="F18"/>
  </hyperlinks>
  <printOptions/>
  <pageMargins bottom="0.75" footer="0.0" header="0.0" left="0.7" right="0.7" top="0.75"/>
  <pageSetup fitToHeight="0" orientation="landscape"/>
  <drawing r:id="rId10"/>
  <legacyDrawing r:id="rId1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1"/>
    <pageSetUpPr fitToPage="1"/>
  </sheetPr>
  <sheetViews>
    <sheetView showGridLines="0" workbookViewId="0"/>
  </sheetViews>
  <sheetFormatPr customHeight="1" defaultColWidth="12.63" defaultRowHeight="15.0" outlineLevelRow="1"/>
  <cols>
    <col customWidth="1" min="1" max="1" width="23.5"/>
    <col customWidth="1" min="2" max="13" width="11.0"/>
    <col customWidth="1" min="14" max="14" width="1.88"/>
    <col customWidth="1" min="16" max="16" width="16.13"/>
    <col customWidth="1" min="17" max="17" width="1.0"/>
    <col customWidth="1" min="18" max="18" width="10.0"/>
    <col customWidth="1" min="19" max="19" width="143.0"/>
  </cols>
  <sheetData>
    <row r="1">
      <c r="A1" s="469" t="s">
        <v>860</v>
      </c>
      <c r="B1" s="8"/>
      <c r="C1" s="8"/>
      <c r="D1" s="8"/>
      <c r="E1" s="8"/>
      <c r="F1" s="8"/>
      <c r="G1" s="8"/>
      <c r="H1" s="8"/>
      <c r="I1" s="8"/>
      <c r="J1" s="8"/>
      <c r="K1" s="8"/>
      <c r="L1" s="8"/>
      <c r="M1" s="10"/>
      <c r="O1" s="7" t="s">
        <v>861</v>
      </c>
      <c r="P1" s="8"/>
      <c r="Q1" s="8"/>
      <c r="R1" s="8"/>
      <c r="S1" s="10"/>
    </row>
    <row r="2">
      <c r="A2" s="471" t="s">
        <v>862</v>
      </c>
      <c r="B2" s="488" t="s">
        <v>863</v>
      </c>
      <c r="C2" s="489" t="s">
        <v>864</v>
      </c>
      <c r="D2" s="490" t="s">
        <v>866</v>
      </c>
      <c r="E2" s="491"/>
      <c r="F2" s="492" t="s">
        <v>867</v>
      </c>
      <c r="G2" s="148"/>
      <c r="H2" s="490" t="s">
        <v>868</v>
      </c>
      <c r="I2" s="491"/>
      <c r="J2" s="490" t="s">
        <v>869</v>
      </c>
      <c r="K2" s="491"/>
      <c r="L2" s="494" t="s">
        <v>870</v>
      </c>
      <c r="M2" s="495" t="s">
        <v>871</v>
      </c>
      <c r="N2" s="496"/>
      <c r="O2" s="492" t="s">
        <v>216</v>
      </c>
      <c r="P2" s="148"/>
      <c r="Q2" s="497"/>
      <c r="R2" s="499" t="s">
        <v>872</v>
      </c>
      <c r="S2" s="471" t="s">
        <v>873</v>
      </c>
    </row>
    <row r="3">
      <c r="A3" s="476"/>
      <c r="B3" s="501"/>
      <c r="C3" s="502"/>
      <c r="D3" s="505" t="s">
        <v>874</v>
      </c>
      <c r="E3" s="505" t="s">
        <v>875</v>
      </c>
      <c r="F3" s="507" t="s">
        <v>876</v>
      </c>
      <c r="G3" s="508" t="s">
        <v>877</v>
      </c>
      <c r="H3" s="505" t="s">
        <v>878</v>
      </c>
      <c r="I3" s="511" t="s">
        <v>879</v>
      </c>
      <c r="J3" s="505" t="s">
        <v>881</v>
      </c>
      <c r="K3" s="511" t="s">
        <v>882</v>
      </c>
      <c r="L3" s="518" t="s">
        <v>884</v>
      </c>
      <c r="M3" s="88"/>
      <c r="N3" s="496"/>
      <c r="O3" s="153"/>
      <c r="P3" s="88"/>
      <c r="Q3" s="497"/>
      <c r="R3" s="476"/>
      <c r="S3" s="512"/>
    </row>
    <row r="4">
      <c r="A4" s="521" t="s">
        <v>885</v>
      </c>
      <c r="B4" s="523">
        <v>6.0</v>
      </c>
      <c r="C4" s="525">
        <v>2.0</v>
      </c>
      <c r="D4" s="523">
        <f>18.2/6</f>
        <v>3.033333333</v>
      </c>
      <c r="E4" s="530">
        <f>17/6</f>
        <v>2.833333333</v>
      </c>
      <c r="F4" s="532">
        <v>0.5022</v>
      </c>
      <c r="G4" s="532">
        <v>0.504</v>
      </c>
      <c r="H4" s="535">
        <f t="shared" ref="H4:H9" si="2">B4*D4</f>
        <v>18.2</v>
      </c>
      <c r="I4" s="537">
        <f t="shared" ref="I4:J4" si="1">B4*E4</f>
        <v>17</v>
      </c>
      <c r="J4" s="535">
        <f t="shared" si="1"/>
        <v>1.0044</v>
      </c>
      <c r="K4" s="537">
        <f t="shared" ref="K4:K9" si="4">C4*G4</f>
        <v>1.008</v>
      </c>
      <c r="L4" s="538">
        <f t="shared" ref="L4:L9" si="5">I4*K4</f>
        <v>17.136</v>
      </c>
      <c r="M4" s="539" t="s">
        <v>886</v>
      </c>
      <c r="N4" s="540"/>
      <c r="O4" s="543" t="str">
        <f>'Power Draw'!H3</f>
        <v>Safe</v>
      </c>
      <c r="P4" s="545"/>
      <c r="Q4" s="546"/>
      <c r="R4" s="548">
        <f>L10*B16</f>
        <v>15.628032</v>
      </c>
      <c r="S4" s="549"/>
    </row>
    <row r="5" ht="15.75" customHeight="1">
      <c r="A5" s="521" t="s">
        <v>889</v>
      </c>
      <c r="B5" s="552">
        <v>0.0</v>
      </c>
      <c r="C5" s="554">
        <v>0.0</v>
      </c>
      <c r="D5" s="552">
        <v>0.0</v>
      </c>
      <c r="E5" s="556">
        <v>0.0</v>
      </c>
      <c r="F5" s="532">
        <v>0.0</v>
      </c>
      <c r="G5" s="532">
        <v>0.0</v>
      </c>
      <c r="H5" s="538">
        <f t="shared" si="2"/>
        <v>0</v>
      </c>
      <c r="I5" s="559">
        <f t="shared" ref="I5:J5" si="3">B5*E5</f>
        <v>0</v>
      </c>
      <c r="J5" s="538">
        <f t="shared" si="3"/>
        <v>0</v>
      </c>
      <c r="K5" s="559">
        <f t="shared" si="4"/>
        <v>0</v>
      </c>
      <c r="L5" s="538">
        <f t="shared" si="5"/>
        <v>0</v>
      </c>
      <c r="M5" s="561" t="s">
        <v>890</v>
      </c>
      <c r="N5" s="562"/>
      <c r="O5" s="565" t="str">
        <f>'Power Draw'!J3</f>
        <v>Charge</v>
      </c>
      <c r="P5" s="566"/>
      <c r="Q5" s="567"/>
      <c r="R5" s="569">
        <f>L10*B16</f>
        <v>15.628032</v>
      </c>
      <c r="S5" s="571" t="s">
        <v>891</v>
      </c>
    </row>
    <row r="6">
      <c r="A6" s="521" t="s">
        <v>892</v>
      </c>
      <c r="B6" s="552">
        <v>6.0</v>
      </c>
      <c r="C6" s="554">
        <v>1.0</v>
      </c>
      <c r="D6" s="552">
        <f>18.2/6</f>
        <v>3.033333333</v>
      </c>
      <c r="E6" s="556">
        <f>17/6</f>
        <v>2.833333333</v>
      </c>
      <c r="F6" s="532">
        <v>0.5022</v>
      </c>
      <c r="G6" s="532">
        <v>0.504</v>
      </c>
      <c r="H6" s="538">
        <f t="shared" si="2"/>
        <v>18.2</v>
      </c>
      <c r="I6" s="559">
        <f t="shared" ref="I6:J6" si="6">B6*E6</f>
        <v>17</v>
      </c>
      <c r="J6" s="538">
        <f t="shared" si="6"/>
        <v>0.5022</v>
      </c>
      <c r="K6" s="559">
        <f t="shared" si="4"/>
        <v>0.504</v>
      </c>
      <c r="L6" s="538">
        <f t="shared" si="5"/>
        <v>8.568</v>
      </c>
      <c r="M6" s="561" t="s">
        <v>893</v>
      </c>
      <c r="N6" s="562"/>
      <c r="O6" s="565" t="str">
        <f>'Power Draw'!L3</f>
        <v>Experiment</v>
      </c>
      <c r="P6" s="566"/>
      <c r="Q6" s="567"/>
      <c r="R6" s="569">
        <f>L10*B16*0.75</f>
        <v>11.721024</v>
      </c>
      <c r="S6" s="571" t="s">
        <v>896</v>
      </c>
    </row>
    <row r="7">
      <c r="A7" s="521" t="s">
        <v>897</v>
      </c>
      <c r="B7" s="552">
        <v>0.0</v>
      </c>
      <c r="C7" s="554">
        <v>0.0</v>
      </c>
      <c r="D7" s="552">
        <v>0.0</v>
      </c>
      <c r="E7" s="556">
        <v>0.0</v>
      </c>
      <c r="F7" s="584">
        <v>0.0</v>
      </c>
      <c r="G7" s="585">
        <v>0.0</v>
      </c>
      <c r="H7" s="538">
        <f t="shared" si="2"/>
        <v>0</v>
      </c>
      <c r="I7" s="559">
        <f t="shared" ref="I7:J7" si="7">B7*E7</f>
        <v>0</v>
      </c>
      <c r="J7" s="538">
        <f t="shared" si="7"/>
        <v>0</v>
      </c>
      <c r="K7" s="559">
        <f t="shared" si="4"/>
        <v>0</v>
      </c>
      <c r="L7" s="538">
        <f t="shared" si="5"/>
        <v>0</v>
      </c>
      <c r="M7" s="561" t="s">
        <v>898</v>
      </c>
      <c r="N7" s="562"/>
      <c r="O7" s="587" t="str">
        <f>'Power Draw'!N3</f>
        <v>Safe (Detumble)</v>
      </c>
      <c r="P7" s="589"/>
      <c r="Q7" s="591"/>
      <c r="R7" s="592">
        <f>H11/6</f>
        <v>2.856</v>
      </c>
      <c r="S7" s="594" t="s">
        <v>900</v>
      </c>
    </row>
    <row r="8">
      <c r="A8" s="521" t="s">
        <v>902</v>
      </c>
      <c r="B8" s="552">
        <v>0.0</v>
      </c>
      <c r="C8" s="554">
        <v>0.0</v>
      </c>
      <c r="D8" s="552">
        <v>0.0</v>
      </c>
      <c r="E8" s="556">
        <v>0.0</v>
      </c>
      <c r="F8" s="584">
        <v>0.0</v>
      </c>
      <c r="G8" s="585">
        <v>0.0</v>
      </c>
      <c r="H8" s="538">
        <f t="shared" si="2"/>
        <v>0</v>
      </c>
      <c r="I8" s="559">
        <f t="shared" ref="I8:J8" si="8">B8*E8</f>
        <v>0</v>
      </c>
      <c r="J8" s="538">
        <f t="shared" si="8"/>
        <v>0</v>
      </c>
      <c r="K8" s="559">
        <f t="shared" si="4"/>
        <v>0</v>
      </c>
      <c r="L8" s="538">
        <f t="shared" si="5"/>
        <v>0</v>
      </c>
      <c r="M8" s="561" t="s">
        <v>903</v>
      </c>
      <c r="N8" s="562"/>
    </row>
    <row r="9" ht="15.0" customHeight="1">
      <c r="A9" s="521" t="s">
        <v>904</v>
      </c>
      <c r="B9" s="552">
        <v>0.0</v>
      </c>
      <c r="C9" s="554">
        <v>0.0</v>
      </c>
      <c r="D9" s="552">
        <v>0.0</v>
      </c>
      <c r="E9" s="556">
        <v>0.0</v>
      </c>
      <c r="F9" s="595">
        <v>0.0</v>
      </c>
      <c r="G9" s="596">
        <v>0.0</v>
      </c>
      <c r="H9" s="538">
        <f t="shared" si="2"/>
        <v>0</v>
      </c>
      <c r="I9" s="559">
        <f t="shared" ref="I9:J9" si="9">B9*E9</f>
        <v>0</v>
      </c>
      <c r="J9" s="538">
        <f t="shared" si="9"/>
        <v>0</v>
      </c>
      <c r="K9" s="559">
        <f t="shared" si="4"/>
        <v>0</v>
      </c>
      <c r="L9" s="538">
        <f t="shared" si="5"/>
        <v>0</v>
      </c>
      <c r="M9" s="561" t="s">
        <v>905</v>
      </c>
      <c r="N9" s="562"/>
      <c r="O9" s="598" t="s">
        <v>907</v>
      </c>
      <c r="P9" s="147"/>
      <c r="Q9" s="147"/>
      <c r="R9" s="147"/>
      <c r="S9" s="148"/>
    </row>
    <row r="10">
      <c r="A10" s="599" t="s">
        <v>909</v>
      </c>
      <c r="B10" s="8"/>
      <c r="C10" s="8"/>
      <c r="D10" s="8"/>
      <c r="E10" s="8"/>
      <c r="F10" s="8"/>
      <c r="G10" s="8"/>
      <c r="H10" s="600">
        <f>MAX(H4:H9)</f>
        <v>18.2</v>
      </c>
      <c r="I10" s="601">
        <f t="shared" ref="I10:K10" si="10">SUM(I4:I9)</f>
        <v>34</v>
      </c>
      <c r="J10" s="603">
        <f t="shared" si="10"/>
        <v>1.5066</v>
      </c>
      <c r="K10" s="601">
        <f t="shared" si="10"/>
        <v>1.512</v>
      </c>
      <c r="L10" s="604">
        <f>MAX(L4:L9)</f>
        <v>17.136</v>
      </c>
      <c r="M10" s="605"/>
      <c r="N10" s="562"/>
      <c r="O10" s="151"/>
      <c r="S10" s="81"/>
    </row>
    <row r="11">
      <c r="A11" s="599" t="s">
        <v>912</v>
      </c>
      <c r="B11" s="8"/>
      <c r="C11" s="8"/>
      <c r="D11" s="8"/>
      <c r="E11" s="8"/>
      <c r="F11" s="8"/>
      <c r="G11" s="8"/>
      <c r="H11" s="600">
        <f>L10</f>
        <v>17.136</v>
      </c>
      <c r="I11" s="8"/>
      <c r="J11" s="8"/>
      <c r="K11" s="8"/>
      <c r="L11" s="10"/>
      <c r="M11" s="476"/>
      <c r="O11" s="153"/>
      <c r="P11" s="86"/>
      <c r="Q11" s="86"/>
      <c r="R11" s="86"/>
      <c r="S11" s="88"/>
    </row>
    <row r="12">
      <c r="A12" s="607"/>
      <c r="B12" s="607"/>
      <c r="C12" s="608"/>
      <c r="D12" s="608"/>
      <c r="E12" s="608"/>
      <c r="F12" s="608"/>
      <c r="G12" s="608"/>
      <c r="H12" s="609"/>
      <c r="I12" s="609"/>
      <c r="J12" s="609"/>
      <c r="K12" s="609"/>
      <c r="L12" s="609"/>
      <c r="M12" s="610"/>
    </row>
    <row r="13">
      <c r="A13" s="611" t="s">
        <v>914</v>
      </c>
      <c r="B13" s="10"/>
      <c r="C13" s="562"/>
      <c r="D13" s="7" t="s">
        <v>915</v>
      </c>
      <c r="E13" s="8"/>
      <c r="F13" s="8"/>
      <c r="G13" s="8"/>
      <c r="H13" s="8"/>
      <c r="I13" s="8"/>
      <c r="J13" s="10"/>
      <c r="K13" s="464"/>
      <c r="L13" s="12" t="s">
        <v>8</v>
      </c>
      <c r="M13" s="464"/>
    </row>
    <row r="14">
      <c r="A14" s="612" t="s">
        <v>916</v>
      </c>
      <c r="B14" s="613">
        <v>0.96</v>
      </c>
      <c r="C14" s="4"/>
      <c r="D14" s="614" t="s">
        <v>866</v>
      </c>
      <c r="E14" s="615" t="s">
        <v>918</v>
      </c>
      <c r="F14" s="614" t="s">
        <v>863</v>
      </c>
      <c r="G14" s="615" t="s">
        <v>864</v>
      </c>
      <c r="H14" s="614" t="s">
        <v>919</v>
      </c>
      <c r="I14" s="615" t="s">
        <v>920</v>
      </c>
      <c r="J14" s="482" t="s">
        <v>921</v>
      </c>
      <c r="K14" s="464"/>
      <c r="L14" s="470" t="s">
        <v>49</v>
      </c>
      <c r="M14" s="464"/>
    </row>
    <row r="15" ht="28.5" customHeight="1">
      <c r="A15" s="616" t="s">
        <v>923</v>
      </c>
      <c r="B15" s="617">
        <v>0.95</v>
      </c>
      <c r="C15" s="4"/>
      <c r="D15" s="618"/>
      <c r="E15" s="619"/>
      <c r="F15" s="618"/>
      <c r="G15" s="619"/>
      <c r="H15" s="618"/>
      <c r="I15" s="619"/>
      <c r="J15" s="476"/>
      <c r="K15" s="464"/>
      <c r="L15" s="475" t="s">
        <v>51</v>
      </c>
      <c r="M15" s="464"/>
      <c r="N15" s="464"/>
      <c r="O15" s="11"/>
      <c r="P15" s="11"/>
    </row>
    <row r="16" ht="28.5" customHeight="1">
      <c r="A16" s="620" t="s">
        <v>925</v>
      </c>
      <c r="B16" s="622">
        <f>B14*B15</f>
        <v>0.912</v>
      </c>
      <c r="C16" s="4"/>
      <c r="D16" s="623">
        <v>4.2</v>
      </c>
      <c r="E16" s="624">
        <v>3.5</v>
      </c>
      <c r="F16" s="623">
        <v>6.0</v>
      </c>
      <c r="G16" s="624">
        <v>1.0</v>
      </c>
      <c r="H16" s="627">
        <f t="shared" ref="H16:I16" si="11">D16*F16</f>
        <v>25.2</v>
      </c>
      <c r="I16" s="628">
        <f t="shared" si="11"/>
        <v>3.5</v>
      </c>
      <c r="J16" s="630">
        <f>H16*I16</f>
        <v>88.2</v>
      </c>
      <c r="K16" s="464"/>
      <c r="L16" s="464"/>
      <c r="M16" s="464"/>
      <c r="N16" s="464"/>
      <c r="O16" s="11"/>
      <c r="P16" s="568"/>
    </row>
    <row r="17" ht="28.5" customHeight="1">
      <c r="A17" s="632"/>
      <c r="B17" s="633"/>
      <c r="H17" s="464"/>
      <c r="I17" s="464"/>
      <c r="J17" s="464"/>
      <c r="K17" s="464"/>
      <c r="L17" s="464"/>
      <c r="M17" s="464"/>
      <c r="N17" s="464"/>
      <c r="O17" s="11"/>
      <c r="P17" s="568"/>
    </row>
    <row r="18" ht="28.5" customHeight="1">
      <c r="B18" s="464"/>
      <c r="H18" s="464"/>
      <c r="I18" s="464"/>
      <c r="J18" s="464"/>
      <c r="K18" s="464"/>
      <c r="L18" s="464"/>
      <c r="M18" s="464"/>
      <c r="N18" s="464"/>
      <c r="O18" s="11"/>
      <c r="P18" s="568"/>
    </row>
    <row r="19">
      <c r="C19" s="635" t="s">
        <v>933</v>
      </c>
      <c r="H19" s="464"/>
      <c r="I19" s="464"/>
      <c r="J19" s="464"/>
      <c r="K19" s="464"/>
      <c r="L19" s="464"/>
      <c r="M19" s="464"/>
      <c r="N19" s="464"/>
      <c r="O19" s="11"/>
      <c r="P19" s="568"/>
    </row>
    <row r="20">
      <c r="D20" s="636"/>
      <c r="H20" s="464"/>
      <c r="I20" s="464"/>
      <c r="J20" s="464"/>
      <c r="K20" s="464"/>
      <c r="L20" s="464"/>
      <c r="M20" s="464"/>
      <c r="N20" s="464"/>
      <c r="O20" s="11"/>
      <c r="P20" s="11"/>
    </row>
    <row r="21" ht="14.25" customHeight="1">
      <c r="C21" s="11" t="s">
        <v>934</v>
      </c>
      <c r="D21" s="636" t="s">
        <v>935</v>
      </c>
      <c r="H21" s="464"/>
      <c r="I21" s="464"/>
      <c r="J21" s="464"/>
      <c r="K21" s="464"/>
      <c r="L21" s="464"/>
      <c r="M21" s="464"/>
      <c r="N21" s="464"/>
      <c r="O21" s="638"/>
      <c r="P21" s="464"/>
    </row>
    <row r="22" ht="14.25" customHeight="1">
      <c r="C22" s="11" t="s">
        <v>936</v>
      </c>
      <c r="D22" s="642" t="s">
        <v>937</v>
      </c>
      <c r="H22" s="464"/>
      <c r="I22" s="464"/>
      <c r="J22" s="464"/>
      <c r="K22" s="464"/>
      <c r="L22" s="464"/>
      <c r="M22" s="464"/>
      <c r="N22" s="464"/>
      <c r="O22" s="464"/>
      <c r="P22" s="464"/>
    </row>
    <row r="23" ht="14.25" customHeight="1">
      <c r="C23" s="11" t="s">
        <v>938</v>
      </c>
      <c r="D23" s="11" t="s">
        <v>939</v>
      </c>
      <c r="H23" s="464"/>
      <c r="I23" s="464"/>
      <c r="J23" s="464"/>
      <c r="K23" s="464"/>
      <c r="L23" s="464"/>
      <c r="M23" s="464"/>
      <c r="N23" s="464"/>
      <c r="O23" s="464"/>
      <c r="P23" s="464"/>
    </row>
    <row r="24" ht="15.75" customHeight="1">
      <c r="H24" s="464"/>
      <c r="I24" s="464"/>
      <c r="J24" s="464"/>
      <c r="K24" s="464"/>
      <c r="L24" s="464"/>
      <c r="M24" s="464"/>
    </row>
    <row r="25" ht="15.75" customHeight="1">
      <c r="H25" s="464"/>
      <c r="I25" s="464"/>
      <c r="J25" s="464"/>
      <c r="K25" s="464"/>
      <c r="L25" s="464"/>
      <c r="M25" s="464"/>
    </row>
    <row r="26" ht="15.75" customHeight="1">
      <c r="H26" s="464"/>
      <c r="I26" s="464"/>
      <c r="J26" s="464"/>
      <c r="K26" s="464"/>
      <c r="L26" s="464"/>
      <c r="M26" s="464"/>
    </row>
    <row r="27" ht="15.75" customHeight="1">
      <c r="H27" s="464"/>
      <c r="I27" s="464"/>
      <c r="J27" s="464"/>
      <c r="K27" s="464"/>
      <c r="L27" s="464"/>
      <c r="M27" s="464"/>
    </row>
    <row r="28" ht="15.75" customHeight="1">
      <c r="H28" s="464"/>
      <c r="I28" s="464"/>
      <c r="J28" s="464"/>
      <c r="K28" s="464"/>
      <c r="L28" s="464"/>
      <c r="M28" s="464"/>
    </row>
    <row r="29" ht="15.75" customHeight="1">
      <c r="H29" s="464"/>
      <c r="I29" s="464"/>
      <c r="J29" s="464"/>
      <c r="K29" s="464"/>
      <c r="L29" s="464"/>
      <c r="M29" s="464"/>
    </row>
    <row r="30" ht="15.75" customHeight="1">
      <c r="H30" s="464"/>
      <c r="I30" s="464"/>
      <c r="J30" s="464"/>
      <c r="K30" s="464"/>
      <c r="L30" s="464"/>
      <c r="M30" s="464"/>
    </row>
    <row r="31" ht="15.75" customHeight="1">
      <c r="H31" s="464"/>
      <c r="I31" s="464"/>
      <c r="J31" s="464"/>
      <c r="K31" s="464"/>
      <c r="L31" s="464"/>
      <c r="M31" s="464"/>
    </row>
    <row r="32" ht="15.75" customHeight="1">
      <c r="H32" s="464"/>
      <c r="I32" s="464"/>
      <c r="J32" s="464"/>
      <c r="K32" s="464"/>
      <c r="L32" s="464"/>
      <c r="M32" s="464"/>
    </row>
    <row r="33" ht="15.75" customHeight="1">
      <c r="H33" s="464"/>
      <c r="I33" s="464"/>
      <c r="J33" s="464"/>
      <c r="K33" s="464"/>
      <c r="L33" s="464"/>
      <c r="M33" s="464"/>
    </row>
    <row r="34" ht="15.75" customHeight="1">
      <c r="H34" s="464"/>
      <c r="I34" s="464"/>
      <c r="J34" s="464"/>
      <c r="K34" s="464"/>
      <c r="L34" s="464"/>
      <c r="M34" s="464"/>
    </row>
    <row r="35" ht="15.75" customHeight="1">
      <c r="H35" s="464"/>
      <c r="I35" s="464"/>
      <c r="J35" s="464"/>
      <c r="K35" s="464"/>
      <c r="L35" s="464"/>
      <c r="M35" s="464"/>
    </row>
    <row r="36" ht="15.75" customHeight="1">
      <c r="H36" s="464"/>
      <c r="I36" s="464"/>
      <c r="J36" s="464"/>
      <c r="K36" s="464"/>
      <c r="L36" s="464"/>
      <c r="M36" s="464"/>
    </row>
    <row r="37" ht="15.75" customHeight="1">
      <c r="H37" s="464"/>
      <c r="I37" s="464"/>
      <c r="J37" s="464"/>
      <c r="K37" s="464"/>
      <c r="L37" s="464"/>
      <c r="M37" s="464"/>
    </row>
    <row r="38" ht="15.75" customHeight="1">
      <c r="H38" s="464"/>
      <c r="I38" s="464"/>
      <c r="J38" s="464"/>
      <c r="K38" s="464"/>
      <c r="L38" s="464"/>
      <c r="M38" s="464"/>
    </row>
    <row r="39" ht="15.75" customHeight="1">
      <c r="H39" s="464"/>
      <c r="I39" s="464"/>
      <c r="J39" s="464"/>
      <c r="K39" s="464"/>
      <c r="L39" s="464"/>
      <c r="M39" s="464"/>
    </row>
    <row r="40" ht="15.75" customHeight="1">
      <c r="H40" s="464"/>
      <c r="I40" s="464"/>
      <c r="J40" s="464"/>
      <c r="K40" s="464"/>
      <c r="L40" s="464"/>
      <c r="M40" s="464"/>
    </row>
    <row r="41" ht="15.75" customHeight="1">
      <c r="H41" s="464"/>
      <c r="I41" s="464"/>
      <c r="J41" s="464"/>
      <c r="K41" s="464"/>
      <c r="L41" s="464"/>
      <c r="M41" s="464"/>
    </row>
    <row r="42" ht="15.75" customHeight="1">
      <c r="H42" s="464"/>
      <c r="I42" s="464"/>
      <c r="J42" s="464"/>
      <c r="K42" s="464"/>
      <c r="L42" s="464"/>
      <c r="M42" s="464"/>
    </row>
    <row r="43" ht="15.75" customHeight="1">
      <c r="H43" s="464"/>
      <c r="I43" s="464"/>
      <c r="J43" s="464"/>
      <c r="K43" s="464"/>
      <c r="L43" s="464"/>
      <c r="M43" s="464"/>
    </row>
    <row r="44" ht="15.75" customHeight="1">
      <c r="H44" s="464"/>
      <c r="I44" s="464"/>
      <c r="J44" s="464"/>
      <c r="K44" s="464"/>
      <c r="L44" s="464"/>
      <c r="M44" s="464"/>
    </row>
    <row r="45" ht="15.75" customHeight="1">
      <c r="H45" s="464"/>
      <c r="I45" s="464"/>
      <c r="J45" s="464"/>
      <c r="K45" s="464"/>
      <c r="L45" s="464"/>
      <c r="M45" s="464"/>
    </row>
    <row r="46" ht="15.75" customHeight="1">
      <c r="H46" s="464"/>
      <c r="I46" s="464"/>
      <c r="J46" s="464"/>
      <c r="K46" s="464"/>
      <c r="L46" s="464"/>
      <c r="M46" s="464"/>
    </row>
    <row r="47" ht="15.75" customHeight="1">
      <c r="H47" s="464"/>
      <c r="I47" s="464"/>
      <c r="J47" s="464"/>
      <c r="K47" s="464"/>
      <c r="L47" s="464"/>
      <c r="M47" s="464"/>
    </row>
    <row r="48" ht="15.75" customHeight="1">
      <c r="H48" s="464"/>
      <c r="I48" s="464"/>
      <c r="J48" s="464"/>
      <c r="K48" s="464"/>
      <c r="L48" s="464"/>
      <c r="M48" s="464"/>
    </row>
    <row r="49" ht="15.75" customHeight="1">
      <c r="H49" s="464"/>
      <c r="I49" s="464"/>
      <c r="J49" s="464"/>
      <c r="K49" s="464"/>
      <c r="L49" s="464"/>
      <c r="M49" s="464"/>
    </row>
    <row r="50" ht="15.75" customHeight="1">
      <c r="H50" s="464"/>
      <c r="I50" s="464"/>
      <c r="J50" s="464"/>
      <c r="K50" s="464"/>
      <c r="L50" s="464"/>
      <c r="M50" s="464"/>
    </row>
    <row r="51" ht="15.75" customHeight="1">
      <c r="H51" s="464"/>
      <c r="I51" s="464"/>
      <c r="J51" s="464"/>
      <c r="K51" s="464"/>
      <c r="L51" s="464"/>
      <c r="M51" s="464"/>
    </row>
    <row r="52" ht="15.75" customHeight="1">
      <c r="H52" s="464"/>
      <c r="I52" s="464"/>
      <c r="J52" s="464"/>
      <c r="K52" s="464"/>
      <c r="L52" s="464"/>
      <c r="M52" s="464"/>
    </row>
    <row r="53" ht="15.75" customHeight="1">
      <c r="H53" s="464"/>
      <c r="I53" s="464"/>
      <c r="J53" s="464"/>
      <c r="K53" s="464"/>
      <c r="L53" s="464"/>
      <c r="M53" s="464"/>
    </row>
    <row r="54" ht="15.75" customHeight="1">
      <c r="H54" s="464"/>
      <c r="I54" s="464"/>
      <c r="J54" s="464"/>
      <c r="K54" s="464"/>
      <c r="L54" s="464"/>
      <c r="M54" s="464"/>
    </row>
    <row r="55" ht="15.75" customHeight="1">
      <c r="H55" s="464"/>
      <c r="I55" s="464"/>
      <c r="J55" s="464"/>
      <c r="K55" s="464"/>
      <c r="L55" s="464"/>
      <c r="M55" s="464"/>
    </row>
    <row r="56" ht="15.75" customHeight="1">
      <c r="H56" s="464"/>
      <c r="I56" s="464"/>
      <c r="J56" s="464"/>
      <c r="K56" s="464"/>
      <c r="L56" s="464"/>
      <c r="M56" s="464"/>
    </row>
    <row r="57" ht="15.75" customHeight="1">
      <c r="H57" s="464"/>
      <c r="I57" s="464"/>
      <c r="J57" s="464"/>
      <c r="K57" s="464"/>
      <c r="L57" s="464"/>
      <c r="M57" s="464"/>
    </row>
    <row r="58" ht="15.75" customHeight="1">
      <c r="H58" s="464"/>
      <c r="I58" s="464"/>
      <c r="J58" s="464"/>
      <c r="K58" s="464"/>
      <c r="L58" s="464"/>
      <c r="M58" s="464"/>
    </row>
    <row r="59" ht="15.75" customHeight="1">
      <c r="H59" s="464"/>
      <c r="I59" s="464"/>
      <c r="J59" s="464"/>
      <c r="K59" s="464"/>
      <c r="L59" s="464"/>
      <c r="M59" s="464"/>
    </row>
    <row r="60" ht="15.75" customHeight="1">
      <c r="H60" s="464"/>
      <c r="I60" s="464"/>
      <c r="J60" s="464"/>
      <c r="K60" s="464"/>
      <c r="L60" s="464"/>
      <c r="M60" s="464"/>
    </row>
    <row r="61" ht="15.75" customHeight="1">
      <c r="H61" s="464"/>
      <c r="I61" s="464"/>
      <c r="J61" s="464"/>
      <c r="K61" s="464"/>
      <c r="L61" s="464"/>
      <c r="M61" s="464"/>
    </row>
    <row r="62" ht="15.75" customHeight="1">
      <c r="H62" s="464"/>
      <c r="I62" s="464"/>
      <c r="J62" s="464"/>
      <c r="K62" s="464"/>
      <c r="L62" s="464"/>
      <c r="M62" s="464"/>
    </row>
    <row r="63" ht="15.75" customHeight="1">
      <c r="H63" s="464"/>
      <c r="I63" s="464"/>
      <c r="J63" s="464"/>
      <c r="K63" s="464"/>
      <c r="L63" s="464"/>
      <c r="M63" s="464"/>
    </row>
    <row r="64" ht="15.75" customHeight="1">
      <c r="H64" s="464"/>
      <c r="I64" s="464"/>
      <c r="J64" s="464"/>
      <c r="K64" s="464"/>
      <c r="L64" s="464"/>
      <c r="M64" s="464"/>
    </row>
    <row r="65" ht="15.75" customHeight="1">
      <c r="H65" s="464"/>
      <c r="I65" s="464"/>
      <c r="J65" s="464"/>
      <c r="K65" s="464"/>
      <c r="L65" s="464"/>
      <c r="M65" s="464"/>
    </row>
    <row r="66" ht="15.75" customHeight="1">
      <c r="H66" s="464"/>
      <c r="I66" s="464"/>
      <c r="J66" s="464"/>
      <c r="K66" s="464"/>
      <c r="L66" s="464"/>
      <c r="M66" s="464"/>
    </row>
    <row r="67" ht="15.75" customHeight="1">
      <c r="H67" s="464"/>
      <c r="I67" s="464"/>
      <c r="J67" s="464"/>
      <c r="K67" s="464"/>
      <c r="L67" s="464"/>
      <c r="M67" s="464"/>
    </row>
    <row r="68" ht="15.75" customHeight="1">
      <c r="H68" s="464"/>
      <c r="I68" s="464"/>
      <c r="J68" s="464"/>
      <c r="K68" s="464"/>
      <c r="L68" s="464"/>
      <c r="M68" s="464"/>
    </row>
    <row r="69" ht="15.75" customHeight="1">
      <c r="H69" s="464"/>
      <c r="I69" s="464"/>
      <c r="J69" s="464"/>
      <c r="K69" s="464"/>
      <c r="L69" s="464"/>
      <c r="M69" s="464"/>
    </row>
    <row r="70" ht="15.75" customHeight="1">
      <c r="H70" s="464"/>
      <c r="I70" s="464"/>
      <c r="J70" s="464"/>
      <c r="K70" s="464"/>
      <c r="L70" s="464"/>
      <c r="M70" s="464"/>
    </row>
    <row r="71" ht="15.75" customHeight="1">
      <c r="H71" s="464"/>
      <c r="I71" s="464"/>
      <c r="J71" s="464"/>
      <c r="K71" s="464"/>
      <c r="L71" s="464"/>
      <c r="M71" s="464"/>
    </row>
    <row r="72" ht="15.75" customHeight="1">
      <c r="H72" s="464"/>
      <c r="I72" s="464"/>
      <c r="J72" s="464"/>
      <c r="K72" s="464"/>
      <c r="L72" s="464"/>
      <c r="M72" s="464"/>
    </row>
    <row r="73" ht="15.75" customHeight="1">
      <c r="H73" s="464"/>
      <c r="I73" s="464"/>
      <c r="J73" s="464"/>
      <c r="K73" s="464"/>
      <c r="L73" s="464"/>
      <c r="M73" s="464"/>
    </row>
    <row r="74" ht="15.75" customHeight="1">
      <c r="H74" s="464"/>
      <c r="I74" s="464"/>
      <c r="J74" s="464"/>
      <c r="K74" s="464"/>
      <c r="L74" s="464"/>
      <c r="M74" s="464"/>
    </row>
    <row r="75" ht="15.75" customHeight="1">
      <c r="H75" s="464"/>
      <c r="I75" s="464"/>
      <c r="J75" s="464"/>
      <c r="K75" s="464"/>
      <c r="L75" s="464"/>
      <c r="M75" s="464"/>
    </row>
    <row r="76" ht="15.75" customHeight="1">
      <c r="H76" s="464"/>
      <c r="I76" s="464"/>
      <c r="J76" s="464"/>
      <c r="K76" s="464"/>
      <c r="L76" s="464"/>
      <c r="M76" s="464"/>
    </row>
    <row r="77" ht="15.75" customHeight="1">
      <c r="H77" s="464"/>
      <c r="I77" s="464"/>
      <c r="J77" s="464"/>
      <c r="K77" s="464"/>
      <c r="L77" s="464"/>
      <c r="M77" s="464"/>
    </row>
    <row r="78" ht="15.75" customHeight="1">
      <c r="H78" s="464"/>
      <c r="I78" s="464"/>
      <c r="J78" s="464"/>
      <c r="K78" s="464"/>
      <c r="L78" s="464"/>
      <c r="M78" s="464"/>
    </row>
    <row r="79" ht="15.75" customHeight="1">
      <c r="H79" s="464"/>
      <c r="I79" s="464"/>
      <c r="J79" s="464"/>
      <c r="K79" s="464"/>
      <c r="L79" s="464"/>
      <c r="M79" s="464"/>
    </row>
    <row r="80" ht="15.75" customHeight="1">
      <c r="H80" s="464"/>
      <c r="I80" s="464"/>
      <c r="J80" s="464"/>
      <c r="K80" s="464"/>
      <c r="L80" s="464"/>
      <c r="M80" s="464"/>
    </row>
    <row r="81" ht="15.75" customHeight="1">
      <c r="H81" s="464"/>
      <c r="I81" s="464"/>
      <c r="J81" s="464"/>
      <c r="K81" s="464"/>
      <c r="L81" s="464"/>
      <c r="M81" s="464"/>
    </row>
    <row r="82" ht="15.75" customHeight="1">
      <c r="H82" s="464"/>
      <c r="I82" s="464"/>
      <c r="J82" s="464"/>
      <c r="K82" s="464"/>
      <c r="L82" s="464"/>
      <c r="M82" s="464"/>
    </row>
    <row r="83" ht="15.75" customHeight="1">
      <c r="H83" s="464"/>
      <c r="I83" s="464"/>
      <c r="J83" s="464"/>
      <c r="K83" s="464"/>
      <c r="L83" s="464"/>
      <c r="M83" s="464"/>
    </row>
    <row r="84" ht="15.75" customHeight="1">
      <c r="H84" s="464"/>
      <c r="I84" s="464"/>
      <c r="J84" s="464"/>
      <c r="K84" s="464"/>
      <c r="L84" s="464"/>
      <c r="M84" s="464"/>
    </row>
    <row r="85" ht="15.75" customHeight="1">
      <c r="H85" s="464"/>
      <c r="I85" s="464"/>
      <c r="J85" s="464"/>
      <c r="K85" s="464"/>
      <c r="L85" s="464"/>
      <c r="M85" s="464"/>
    </row>
    <row r="86" ht="15.75" customHeight="1">
      <c r="H86" s="464"/>
      <c r="I86" s="464"/>
      <c r="J86" s="464"/>
      <c r="K86" s="464"/>
      <c r="L86" s="464"/>
      <c r="M86" s="464"/>
    </row>
    <row r="87" ht="15.75" customHeight="1">
      <c r="H87" s="464"/>
      <c r="I87" s="464"/>
      <c r="J87" s="464"/>
      <c r="K87" s="464"/>
      <c r="L87" s="464"/>
      <c r="M87" s="464"/>
    </row>
    <row r="88" ht="15.75" customHeight="1">
      <c r="H88" s="464"/>
      <c r="I88" s="464"/>
      <c r="J88" s="464"/>
      <c r="K88" s="464"/>
      <c r="L88" s="464"/>
      <c r="M88" s="464"/>
    </row>
    <row r="89" ht="15.75" customHeight="1">
      <c r="H89" s="464"/>
      <c r="I89" s="464"/>
      <c r="J89" s="464"/>
      <c r="K89" s="464"/>
      <c r="L89" s="464"/>
      <c r="M89" s="464"/>
    </row>
    <row r="90" ht="15.75" customHeight="1">
      <c r="H90" s="464"/>
      <c r="I90" s="464"/>
      <c r="J90" s="464"/>
      <c r="K90" s="464"/>
      <c r="L90" s="464"/>
      <c r="M90" s="464"/>
    </row>
    <row r="91" ht="15.75" customHeight="1">
      <c r="H91" s="464"/>
      <c r="I91" s="464"/>
      <c r="J91" s="464"/>
      <c r="K91" s="464"/>
      <c r="L91" s="464"/>
      <c r="M91" s="464"/>
    </row>
    <row r="92" ht="15.75" customHeight="1">
      <c r="H92" s="464"/>
      <c r="I92" s="464"/>
      <c r="J92" s="464"/>
      <c r="K92" s="464"/>
      <c r="L92" s="464"/>
      <c r="M92" s="464"/>
    </row>
    <row r="93" ht="15.75" customHeight="1">
      <c r="H93" s="464"/>
      <c r="I93" s="464"/>
      <c r="J93" s="464"/>
      <c r="K93" s="464"/>
      <c r="L93" s="464"/>
      <c r="M93" s="464"/>
    </row>
    <row r="94" ht="15.75" customHeight="1">
      <c r="H94" s="464"/>
      <c r="I94" s="464"/>
      <c r="J94" s="464"/>
      <c r="K94" s="464"/>
      <c r="L94" s="464"/>
      <c r="M94" s="464"/>
    </row>
    <row r="95" ht="15.75" customHeight="1">
      <c r="H95" s="464"/>
      <c r="I95" s="464"/>
      <c r="J95" s="464"/>
      <c r="K95" s="464"/>
      <c r="L95" s="464"/>
      <c r="M95" s="464"/>
    </row>
    <row r="96" ht="15.75" customHeight="1">
      <c r="H96" s="464"/>
      <c r="I96" s="464"/>
      <c r="J96" s="464"/>
      <c r="K96" s="464"/>
      <c r="L96" s="464"/>
      <c r="M96" s="464"/>
    </row>
    <row r="97" ht="15.75" customHeight="1">
      <c r="H97" s="464"/>
      <c r="I97" s="464"/>
      <c r="J97" s="464"/>
      <c r="K97" s="464"/>
      <c r="L97" s="464"/>
      <c r="M97" s="464"/>
    </row>
    <row r="98" ht="15.75" customHeight="1">
      <c r="H98" s="464"/>
      <c r="I98" s="464"/>
      <c r="J98" s="464"/>
      <c r="K98" s="464"/>
      <c r="L98" s="464"/>
      <c r="M98" s="464"/>
    </row>
    <row r="99" ht="15.75" customHeight="1">
      <c r="H99" s="464"/>
      <c r="I99" s="464"/>
      <c r="J99" s="464"/>
      <c r="K99" s="464"/>
      <c r="L99" s="464"/>
      <c r="M99" s="464"/>
    </row>
    <row r="100" ht="15.75" customHeight="1">
      <c r="H100" s="464"/>
      <c r="I100" s="464"/>
      <c r="J100" s="464"/>
      <c r="K100" s="464"/>
      <c r="L100" s="464"/>
      <c r="M100" s="464"/>
    </row>
    <row r="101" ht="15.75" customHeight="1">
      <c r="H101" s="464"/>
      <c r="I101" s="464"/>
      <c r="J101" s="464"/>
      <c r="K101" s="464"/>
      <c r="L101" s="464"/>
      <c r="M101" s="464"/>
    </row>
    <row r="102" ht="15.75" customHeight="1">
      <c r="H102" s="464"/>
      <c r="I102" s="464"/>
      <c r="J102" s="464"/>
      <c r="K102" s="464"/>
      <c r="L102" s="464"/>
      <c r="M102" s="464"/>
    </row>
    <row r="103" ht="15.75" customHeight="1">
      <c r="H103" s="464"/>
      <c r="I103" s="464"/>
      <c r="J103" s="464"/>
      <c r="K103" s="464"/>
      <c r="L103" s="464"/>
      <c r="M103" s="464"/>
    </row>
    <row r="104" ht="15.75" customHeight="1">
      <c r="H104" s="464"/>
      <c r="I104" s="464"/>
      <c r="J104" s="464"/>
      <c r="K104" s="464"/>
      <c r="L104" s="464"/>
      <c r="M104" s="464"/>
    </row>
    <row r="105" ht="15.75" customHeight="1">
      <c r="H105" s="464"/>
      <c r="I105" s="464"/>
      <c r="J105" s="464"/>
      <c r="K105" s="464"/>
      <c r="L105" s="464"/>
      <c r="M105" s="464"/>
    </row>
    <row r="106" ht="15.75" customHeight="1">
      <c r="H106" s="464"/>
      <c r="I106" s="464"/>
      <c r="J106" s="464"/>
      <c r="K106" s="464"/>
      <c r="L106" s="464"/>
      <c r="M106" s="464"/>
    </row>
    <row r="107" ht="15.75" customHeight="1">
      <c r="H107" s="464"/>
      <c r="I107" s="464"/>
      <c r="J107" s="464"/>
      <c r="K107" s="464"/>
      <c r="L107" s="464"/>
      <c r="M107" s="464"/>
    </row>
    <row r="108" ht="15.75" customHeight="1">
      <c r="H108" s="464"/>
      <c r="I108" s="464"/>
      <c r="J108" s="464"/>
      <c r="K108" s="464"/>
      <c r="L108" s="464"/>
      <c r="M108" s="464"/>
    </row>
    <row r="109" ht="15.75" customHeight="1">
      <c r="H109" s="464"/>
      <c r="I109" s="464"/>
      <c r="J109" s="464"/>
      <c r="K109" s="464"/>
      <c r="L109" s="464"/>
      <c r="M109" s="464"/>
    </row>
    <row r="110" ht="15.75" customHeight="1">
      <c r="H110" s="464"/>
      <c r="I110" s="464"/>
      <c r="J110" s="464"/>
      <c r="K110" s="464"/>
      <c r="L110" s="464"/>
      <c r="M110" s="464"/>
    </row>
    <row r="111" ht="15.75" customHeight="1">
      <c r="H111" s="464"/>
      <c r="I111" s="464"/>
      <c r="J111" s="464"/>
      <c r="K111" s="464"/>
      <c r="L111" s="464"/>
      <c r="M111" s="464"/>
    </row>
    <row r="112" ht="15.75" customHeight="1">
      <c r="H112" s="464"/>
      <c r="I112" s="464"/>
      <c r="J112" s="464"/>
      <c r="K112" s="464"/>
      <c r="L112" s="464"/>
      <c r="M112" s="464"/>
    </row>
    <row r="113" ht="15.75" customHeight="1">
      <c r="H113" s="464"/>
      <c r="I113" s="464"/>
      <c r="J113" s="464"/>
      <c r="K113" s="464"/>
      <c r="L113" s="464"/>
      <c r="M113" s="464"/>
    </row>
    <row r="114" ht="15.75" customHeight="1">
      <c r="H114" s="464"/>
      <c r="I114" s="464"/>
      <c r="J114" s="464"/>
      <c r="K114" s="464"/>
      <c r="L114" s="464"/>
      <c r="M114" s="464"/>
    </row>
    <row r="115" ht="15.75" customHeight="1">
      <c r="H115" s="464"/>
      <c r="I115" s="464"/>
      <c r="J115" s="464"/>
      <c r="K115" s="464"/>
      <c r="L115" s="464"/>
      <c r="M115" s="464"/>
    </row>
    <row r="116" ht="15.75" customHeight="1">
      <c r="H116" s="464"/>
      <c r="I116" s="464"/>
      <c r="J116" s="464"/>
      <c r="K116" s="464"/>
      <c r="L116" s="464"/>
      <c r="M116" s="464"/>
    </row>
    <row r="117" ht="15.75" customHeight="1">
      <c r="H117" s="464"/>
      <c r="I117" s="464"/>
      <c r="J117" s="464"/>
      <c r="K117" s="464"/>
      <c r="L117" s="464"/>
      <c r="M117" s="464"/>
    </row>
    <row r="118" ht="15.75" customHeight="1">
      <c r="H118" s="464"/>
      <c r="I118" s="464"/>
      <c r="J118" s="464"/>
      <c r="K118" s="464"/>
      <c r="L118" s="464"/>
      <c r="M118" s="464"/>
    </row>
    <row r="119" ht="15.75" customHeight="1">
      <c r="H119" s="464"/>
      <c r="I119" s="464"/>
      <c r="J119" s="464"/>
      <c r="K119" s="464"/>
      <c r="L119" s="464"/>
      <c r="M119" s="464"/>
    </row>
    <row r="120" ht="15.75" customHeight="1">
      <c r="H120" s="464"/>
      <c r="I120" s="464"/>
      <c r="J120" s="464"/>
      <c r="K120" s="464"/>
      <c r="L120" s="464"/>
      <c r="M120" s="464"/>
    </row>
    <row r="121" ht="15.75" customHeight="1">
      <c r="H121" s="464"/>
      <c r="I121" s="464"/>
      <c r="J121" s="464"/>
      <c r="K121" s="464"/>
      <c r="L121" s="464"/>
      <c r="M121" s="464"/>
    </row>
    <row r="122" ht="15.75" customHeight="1">
      <c r="H122" s="464"/>
      <c r="I122" s="464"/>
      <c r="J122" s="464"/>
      <c r="K122" s="464"/>
      <c r="L122" s="464"/>
      <c r="M122" s="464"/>
    </row>
    <row r="123" ht="15.75" customHeight="1">
      <c r="H123" s="464"/>
      <c r="I123" s="464"/>
      <c r="J123" s="464"/>
      <c r="K123" s="464"/>
      <c r="L123" s="464"/>
      <c r="M123" s="464"/>
    </row>
    <row r="124" ht="15.75" customHeight="1">
      <c r="H124" s="464"/>
      <c r="I124" s="464"/>
      <c r="J124" s="464"/>
      <c r="K124" s="464"/>
      <c r="L124" s="464"/>
      <c r="M124" s="464"/>
    </row>
    <row r="125" ht="15.75" customHeight="1">
      <c r="H125" s="464"/>
      <c r="I125" s="464"/>
      <c r="J125" s="464"/>
      <c r="K125" s="464"/>
      <c r="L125" s="464"/>
      <c r="M125" s="464"/>
    </row>
    <row r="126" ht="15.75" customHeight="1">
      <c r="H126" s="464"/>
      <c r="I126" s="464"/>
      <c r="J126" s="464"/>
      <c r="K126" s="464"/>
      <c r="L126" s="464"/>
      <c r="M126" s="464"/>
    </row>
    <row r="127" ht="15.75" customHeight="1">
      <c r="H127" s="464"/>
      <c r="I127" s="464"/>
      <c r="J127" s="464"/>
      <c r="K127" s="464"/>
      <c r="L127" s="464"/>
      <c r="M127" s="464"/>
    </row>
    <row r="128" ht="15.75" customHeight="1">
      <c r="H128" s="464"/>
      <c r="I128" s="464"/>
      <c r="J128" s="464"/>
      <c r="K128" s="464"/>
      <c r="L128" s="464"/>
      <c r="M128" s="464"/>
    </row>
    <row r="129" ht="15.75" customHeight="1">
      <c r="H129" s="464"/>
      <c r="I129" s="464"/>
      <c r="J129" s="464"/>
      <c r="K129" s="464"/>
      <c r="L129" s="464"/>
      <c r="M129" s="464"/>
    </row>
    <row r="130" ht="15.75" customHeight="1">
      <c r="H130" s="464"/>
      <c r="I130" s="464"/>
      <c r="J130" s="464"/>
      <c r="K130" s="464"/>
      <c r="L130" s="464"/>
      <c r="M130" s="464"/>
    </row>
    <row r="131" ht="15.75" customHeight="1">
      <c r="H131" s="464"/>
      <c r="I131" s="464"/>
      <c r="J131" s="464"/>
      <c r="K131" s="464"/>
      <c r="L131" s="464"/>
      <c r="M131" s="464"/>
    </row>
    <row r="132" ht="15.75" customHeight="1">
      <c r="H132" s="464"/>
      <c r="I132" s="464"/>
      <c r="J132" s="464"/>
      <c r="K132" s="464"/>
      <c r="L132" s="464"/>
      <c r="M132" s="464"/>
    </row>
    <row r="133" ht="15.75" customHeight="1">
      <c r="H133" s="464"/>
      <c r="I133" s="464"/>
      <c r="J133" s="464"/>
      <c r="K133" s="464"/>
      <c r="L133" s="464"/>
      <c r="M133" s="464"/>
    </row>
    <row r="134" ht="15.75" customHeight="1">
      <c r="H134" s="464"/>
      <c r="I134" s="464"/>
      <c r="J134" s="464"/>
      <c r="K134" s="464"/>
      <c r="L134" s="464"/>
      <c r="M134" s="464"/>
    </row>
    <row r="135" ht="15.75" customHeight="1">
      <c r="H135" s="464"/>
      <c r="I135" s="464"/>
      <c r="J135" s="464"/>
      <c r="K135" s="464"/>
      <c r="L135" s="464"/>
      <c r="M135" s="464"/>
    </row>
    <row r="136" ht="15.75" customHeight="1">
      <c r="H136" s="464"/>
      <c r="I136" s="464"/>
      <c r="J136" s="464"/>
      <c r="K136" s="464"/>
      <c r="L136" s="464"/>
      <c r="M136" s="464"/>
    </row>
    <row r="137" ht="15.75" customHeight="1">
      <c r="H137" s="464"/>
      <c r="I137" s="464"/>
      <c r="J137" s="464"/>
      <c r="K137" s="464"/>
      <c r="L137" s="464"/>
      <c r="M137" s="464"/>
    </row>
    <row r="138" ht="15.75" customHeight="1">
      <c r="H138" s="464"/>
      <c r="I138" s="464"/>
      <c r="J138" s="464"/>
      <c r="K138" s="464"/>
      <c r="L138" s="464"/>
      <c r="M138" s="464"/>
    </row>
    <row r="139" ht="15.75" customHeight="1">
      <c r="H139" s="464"/>
      <c r="I139" s="464"/>
      <c r="J139" s="464"/>
      <c r="K139" s="464"/>
      <c r="L139" s="464"/>
      <c r="M139" s="464"/>
    </row>
    <row r="140" ht="15.75" customHeight="1">
      <c r="H140" s="464"/>
      <c r="I140" s="464"/>
      <c r="J140" s="464"/>
      <c r="K140" s="464"/>
      <c r="L140" s="464"/>
      <c r="M140" s="464"/>
    </row>
    <row r="141" ht="15.75" customHeight="1">
      <c r="H141" s="464"/>
      <c r="I141" s="464"/>
      <c r="J141" s="464"/>
      <c r="K141" s="464"/>
      <c r="L141" s="464"/>
      <c r="M141" s="464"/>
    </row>
    <row r="142" ht="15.75" customHeight="1">
      <c r="H142" s="464"/>
      <c r="I142" s="464"/>
      <c r="J142" s="464"/>
      <c r="K142" s="464"/>
      <c r="L142" s="464"/>
      <c r="M142" s="464"/>
    </row>
    <row r="143" ht="15.75" customHeight="1">
      <c r="H143" s="464"/>
      <c r="I143" s="464"/>
      <c r="J143" s="464"/>
      <c r="K143" s="464"/>
      <c r="L143" s="464"/>
      <c r="M143" s="464"/>
    </row>
    <row r="144" ht="15.75" customHeight="1">
      <c r="H144" s="464"/>
      <c r="I144" s="464"/>
      <c r="J144" s="464"/>
      <c r="K144" s="464"/>
      <c r="L144" s="464"/>
      <c r="M144" s="464"/>
    </row>
    <row r="145" ht="15.75" customHeight="1">
      <c r="H145" s="464"/>
      <c r="I145" s="464"/>
      <c r="J145" s="464"/>
      <c r="K145" s="464"/>
      <c r="L145" s="464"/>
      <c r="M145" s="464"/>
    </row>
    <row r="146" ht="15.75" customHeight="1">
      <c r="H146" s="464"/>
      <c r="I146" s="464"/>
      <c r="J146" s="464"/>
      <c r="K146" s="464"/>
      <c r="L146" s="464"/>
      <c r="M146" s="464"/>
    </row>
    <row r="147" ht="15.75" customHeight="1">
      <c r="H147" s="464"/>
      <c r="I147" s="464"/>
      <c r="J147" s="464"/>
      <c r="K147" s="464"/>
      <c r="L147" s="464"/>
      <c r="M147" s="464"/>
    </row>
    <row r="148" ht="15.75" customHeight="1">
      <c r="H148" s="464"/>
      <c r="I148" s="464"/>
      <c r="J148" s="464"/>
      <c r="K148" s="464"/>
      <c r="L148" s="464"/>
      <c r="M148" s="464"/>
    </row>
    <row r="149" ht="15.75" customHeight="1">
      <c r="H149" s="464"/>
      <c r="I149" s="464"/>
      <c r="J149" s="464"/>
      <c r="K149" s="464"/>
      <c r="L149" s="464"/>
      <c r="M149" s="464"/>
    </row>
    <row r="150" ht="15.75" customHeight="1">
      <c r="H150" s="464"/>
      <c r="I150" s="464"/>
      <c r="J150" s="464"/>
      <c r="K150" s="464"/>
      <c r="L150" s="464"/>
      <c r="M150" s="464"/>
    </row>
    <row r="151" ht="15.75" customHeight="1">
      <c r="H151" s="464"/>
      <c r="I151" s="464"/>
      <c r="J151" s="464"/>
      <c r="K151" s="464"/>
      <c r="L151" s="464"/>
      <c r="M151" s="464"/>
    </row>
    <row r="152" ht="15.75" customHeight="1">
      <c r="H152" s="464"/>
      <c r="I152" s="464"/>
      <c r="J152" s="464"/>
      <c r="K152" s="464"/>
      <c r="L152" s="464"/>
      <c r="M152" s="464"/>
    </row>
    <row r="153" ht="15.75" customHeight="1">
      <c r="H153" s="464"/>
      <c r="I153" s="464"/>
      <c r="J153" s="464"/>
      <c r="K153" s="464"/>
      <c r="L153" s="464"/>
      <c r="M153" s="464"/>
    </row>
    <row r="154" ht="15.75" customHeight="1">
      <c r="H154" s="464"/>
      <c r="I154" s="464"/>
      <c r="J154" s="464"/>
      <c r="K154" s="464"/>
      <c r="L154" s="464"/>
      <c r="M154" s="464"/>
    </row>
    <row r="155" ht="15.75" customHeight="1">
      <c r="H155" s="464"/>
      <c r="I155" s="464"/>
      <c r="J155" s="464"/>
      <c r="K155" s="464"/>
      <c r="L155" s="464"/>
      <c r="M155" s="464"/>
    </row>
    <row r="156" ht="15.75" customHeight="1">
      <c r="H156" s="464"/>
      <c r="I156" s="464"/>
      <c r="J156" s="464"/>
      <c r="K156" s="464"/>
      <c r="L156" s="464"/>
      <c r="M156" s="464"/>
    </row>
    <row r="157" ht="15.75" customHeight="1">
      <c r="H157" s="464"/>
      <c r="I157" s="464"/>
      <c r="J157" s="464"/>
      <c r="K157" s="464"/>
      <c r="L157" s="464"/>
      <c r="M157" s="464"/>
    </row>
    <row r="158" ht="15.75" customHeight="1">
      <c r="H158" s="464"/>
      <c r="I158" s="464"/>
      <c r="J158" s="464"/>
      <c r="K158" s="464"/>
      <c r="L158" s="464"/>
      <c r="M158" s="464"/>
    </row>
    <row r="159" ht="15.75" customHeight="1">
      <c r="H159" s="464"/>
      <c r="I159" s="464"/>
      <c r="J159" s="464"/>
      <c r="K159" s="464"/>
      <c r="L159" s="464"/>
      <c r="M159" s="464"/>
    </row>
    <row r="160" ht="15.75" customHeight="1">
      <c r="H160" s="464"/>
      <c r="I160" s="464"/>
      <c r="J160" s="464"/>
      <c r="K160" s="464"/>
      <c r="L160" s="464"/>
      <c r="M160" s="464"/>
    </row>
    <row r="161" ht="15.75" customHeight="1">
      <c r="H161" s="464"/>
      <c r="I161" s="464"/>
      <c r="J161" s="464"/>
      <c r="K161" s="464"/>
      <c r="L161" s="464"/>
      <c r="M161" s="464"/>
    </row>
    <row r="162" ht="15.75" customHeight="1">
      <c r="H162" s="464"/>
      <c r="I162" s="464"/>
      <c r="J162" s="464"/>
      <c r="K162" s="464"/>
      <c r="L162" s="464"/>
      <c r="M162" s="464"/>
    </row>
    <row r="163" ht="15.75" customHeight="1">
      <c r="H163" s="464"/>
      <c r="I163" s="464"/>
      <c r="J163" s="464"/>
      <c r="K163" s="464"/>
      <c r="L163" s="464"/>
      <c r="M163" s="464"/>
    </row>
    <row r="164" ht="15.75" customHeight="1">
      <c r="H164" s="464"/>
      <c r="I164" s="464"/>
      <c r="J164" s="464"/>
      <c r="K164" s="464"/>
      <c r="L164" s="464"/>
      <c r="M164" s="464"/>
    </row>
    <row r="165" ht="15.75" customHeight="1">
      <c r="H165" s="464"/>
      <c r="I165" s="464"/>
      <c r="J165" s="464"/>
      <c r="K165" s="464"/>
      <c r="L165" s="464"/>
      <c r="M165" s="464"/>
    </row>
    <row r="166" ht="15.75" customHeight="1">
      <c r="H166" s="464"/>
      <c r="I166" s="464"/>
      <c r="J166" s="464"/>
      <c r="K166" s="464"/>
      <c r="L166" s="464"/>
      <c r="M166" s="464"/>
    </row>
    <row r="167" ht="15.75" customHeight="1">
      <c r="H167" s="464"/>
      <c r="I167" s="464"/>
      <c r="J167" s="464"/>
      <c r="K167" s="464"/>
      <c r="L167" s="464"/>
      <c r="M167" s="464"/>
    </row>
    <row r="168" ht="15.75" customHeight="1">
      <c r="H168" s="464"/>
      <c r="I168" s="464"/>
      <c r="J168" s="464"/>
      <c r="K168" s="464"/>
      <c r="L168" s="464"/>
      <c r="M168" s="464"/>
    </row>
    <row r="169" ht="15.75" customHeight="1">
      <c r="H169" s="464"/>
      <c r="I169" s="464"/>
      <c r="J169" s="464"/>
      <c r="K169" s="464"/>
      <c r="L169" s="464"/>
      <c r="M169" s="464"/>
    </row>
    <row r="170" ht="15.75" customHeight="1">
      <c r="H170" s="464"/>
      <c r="I170" s="464"/>
      <c r="J170" s="464"/>
      <c r="K170" s="464"/>
      <c r="L170" s="464"/>
      <c r="M170" s="464"/>
    </row>
    <row r="171" ht="15.75" customHeight="1">
      <c r="H171" s="464"/>
      <c r="I171" s="464"/>
      <c r="J171" s="464"/>
      <c r="K171" s="464"/>
      <c r="L171" s="464"/>
      <c r="M171" s="464"/>
    </row>
    <row r="172" ht="15.75" customHeight="1">
      <c r="H172" s="464"/>
      <c r="I172" s="464"/>
      <c r="J172" s="464"/>
      <c r="K172" s="464"/>
      <c r="L172" s="464"/>
      <c r="M172" s="464"/>
    </row>
    <row r="173" ht="15.75" customHeight="1">
      <c r="H173" s="464"/>
      <c r="I173" s="464"/>
      <c r="J173" s="464"/>
      <c r="K173" s="464"/>
      <c r="L173" s="464"/>
      <c r="M173" s="464"/>
    </row>
    <row r="174" ht="15.75" customHeight="1">
      <c r="H174" s="464"/>
      <c r="I174" s="464"/>
      <c r="J174" s="464"/>
      <c r="K174" s="464"/>
      <c r="L174" s="464"/>
      <c r="M174" s="464"/>
    </row>
    <row r="175" ht="15.75" customHeight="1">
      <c r="H175" s="464"/>
      <c r="I175" s="464"/>
      <c r="J175" s="464"/>
      <c r="K175" s="464"/>
      <c r="L175" s="464"/>
      <c r="M175" s="464"/>
    </row>
    <row r="176" ht="15.75" customHeight="1">
      <c r="H176" s="464"/>
      <c r="I176" s="464"/>
      <c r="J176" s="464"/>
      <c r="K176" s="464"/>
      <c r="L176" s="464"/>
      <c r="M176" s="464"/>
    </row>
    <row r="177" ht="15.75" customHeight="1">
      <c r="H177" s="464"/>
      <c r="I177" s="464"/>
      <c r="J177" s="464"/>
      <c r="K177" s="464"/>
      <c r="L177" s="464"/>
      <c r="M177" s="464"/>
    </row>
    <row r="178" ht="15.75" customHeight="1">
      <c r="H178" s="464"/>
      <c r="I178" s="464"/>
      <c r="J178" s="464"/>
      <c r="K178" s="464"/>
      <c r="L178" s="464"/>
      <c r="M178" s="464"/>
    </row>
    <row r="179" ht="15.75" customHeight="1">
      <c r="H179" s="464"/>
      <c r="I179" s="464"/>
      <c r="J179" s="464"/>
      <c r="K179" s="464"/>
      <c r="L179" s="464"/>
      <c r="M179" s="464"/>
    </row>
    <row r="180" ht="15.75" customHeight="1">
      <c r="H180" s="464"/>
      <c r="I180" s="464"/>
      <c r="J180" s="464"/>
      <c r="K180" s="464"/>
      <c r="L180" s="464"/>
      <c r="M180" s="464"/>
    </row>
    <row r="181" ht="15.75" customHeight="1">
      <c r="H181" s="464"/>
      <c r="I181" s="464"/>
      <c r="J181" s="464"/>
      <c r="K181" s="464"/>
      <c r="L181" s="464"/>
      <c r="M181" s="464"/>
    </row>
    <row r="182" ht="15.75" customHeight="1">
      <c r="H182" s="464"/>
      <c r="I182" s="464"/>
      <c r="J182" s="464"/>
      <c r="K182" s="464"/>
      <c r="L182" s="464"/>
      <c r="M182" s="464"/>
    </row>
    <row r="183" ht="15.75" customHeight="1">
      <c r="H183" s="464"/>
      <c r="I183" s="464"/>
      <c r="J183" s="464"/>
      <c r="K183" s="464"/>
      <c r="L183" s="464"/>
      <c r="M183" s="464"/>
    </row>
    <row r="184" ht="15.75" customHeight="1">
      <c r="H184" s="464"/>
      <c r="I184" s="464"/>
      <c r="J184" s="464"/>
      <c r="K184" s="464"/>
      <c r="L184" s="464"/>
      <c r="M184" s="464"/>
    </row>
    <row r="185" ht="15.75" customHeight="1">
      <c r="H185" s="464"/>
      <c r="I185" s="464"/>
      <c r="J185" s="464"/>
      <c r="K185" s="464"/>
      <c r="L185" s="464"/>
      <c r="M185" s="464"/>
    </row>
    <row r="186" ht="15.75" customHeight="1">
      <c r="H186" s="464"/>
      <c r="I186" s="464"/>
      <c r="J186" s="464"/>
      <c r="K186" s="464"/>
      <c r="L186" s="464"/>
      <c r="M186" s="464"/>
    </row>
    <row r="187" ht="15.75" customHeight="1">
      <c r="H187" s="464"/>
      <c r="I187" s="464"/>
      <c r="J187" s="464"/>
      <c r="K187" s="464"/>
      <c r="L187" s="464"/>
      <c r="M187" s="464"/>
    </row>
    <row r="188" ht="15.75" customHeight="1">
      <c r="H188" s="464"/>
      <c r="I188" s="464"/>
      <c r="J188" s="464"/>
      <c r="K188" s="464"/>
      <c r="L188" s="464"/>
      <c r="M188" s="464"/>
    </row>
    <row r="189" ht="15.75" customHeight="1">
      <c r="H189" s="464"/>
      <c r="I189" s="464"/>
      <c r="J189" s="464"/>
      <c r="K189" s="464"/>
      <c r="L189" s="464"/>
      <c r="M189" s="464"/>
    </row>
    <row r="190" ht="15.75" customHeight="1">
      <c r="H190" s="464"/>
      <c r="I190" s="464"/>
      <c r="J190" s="464"/>
      <c r="K190" s="464"/>
      <c r="L190" s="464"/>
      <c r="M190" s="464"/>
    </row>
    <row r="191" ht="15.75" customHeight="1">
      <c r="H191" s="464"/>
      <c r="I191" s="464"/>
      <c r="J191" s="464"/>
      <c r="K191" s="464"/>
      <c r="L191" s="464"/>
      <c r="M191" s="464"/>
    </row>
    <row r="192" ht="15.75" customHeight="1">
      <c r="H192" s="464"/>
      <c r="I192" s="464"/>
      <c r="J192" s="464"/>
      <c r="K192" s="464"/>
      <c r="L192" s="464"/>
      <c r="M192" s="464"/>
    </row>
    <row r="193" ht="15.75" customHeight="1">
      <c r="H193" s="464"/>
      <c r="I193" s="464"/>
      <c r="J193" s="464"/>
      <c r="K193" s="464"/>
      <c r="L193" s="464"/>
      <c r="M193" s="464"/>
    </row>
    <row r="194" ht="15.75" customHeight="1">
      <c r="H194" s="464"/>
      <c r="I194" s="464"/>
      <c r="J194" s="464"/>
      <c r="K194" s="464"/>
      <c r="L194" s="464"/>
      <c r="M194" s="464"/>
    </row>
    <row r="195" ht="15.75" customHeight="1">
      <c r="H195" s="464"/>
      <c r="I195" s="464"/>
      <c r="J195" s="464"/>
      <c r="K195" s="464"/>
      <c r="L195" s="464"/>
      <c r="M195" s="464"/>
    </row>
    <row r="196" ht="15.75" customHeight="1">
      <c r="H196" s="464"/>
      <c r="I196" s="464"/>
      <c r="J196" s="464"/>
      <c r="K196" s="464"/>
      <c r="L196" s="464"/>
      <c r="M196" s="464"/>
    </row>
    <row r="197" ht="15.75" customHeight="1">
      <c r="H197" s="464"/>
      <c r="I197" s="464"/>
      <c r="J197" s="464"/>
      <c r="K197" s="464"/>
      <c r="L197" s="464"/>
      <c r="M197" s="464"/>
    </row>
    <row r="198" ht="15.75" customHeight="1">
      <c r="H198" s="464"/>
      <c r="I198" s="464"/>
      <c r="J198" s="464"/>
      <c r="K198" s="464"/>
      <c r="L198" s="464"/>
      <c r="M198" s="464"/>
    </row>
    <row r="199" ht="15.75" customHeight="1">
      <c r="H199" s="464"/>
      <c r="I199" s="464"/>
      <c r="J199" s="464"/>
      <c r="K199" s="464"/>
      <c r="L199" s="464"/>
      <c r="M199" s="464"/>
    </row>
    <row r="200" ht="15.75" customHeight="1">
      <c r="H200" s="464"/>
      <c r="I200" s="464"/>
      <c r="J200" s="464"/>
      <c r="K200" s="464"/>
      <c r="L200" s="464"/>
      <c r="M200" s="464"/>
    </row>
    <row r="201" ht="15.75" customHeight="1">
      <c r="H201" s="464"/>
      <c r="I201" s="464"/>
      <c r="J201" s="464"/>
      <c r="K201" s="464"/>
      <c r="L201" s="464"/>
      <c r="M201" s="464"/>
    </row>
    <row r="202" ht="15.75" customHeight="1">
      <c r="H202" s="464"/>
      <c r="I202" s="464"/>
      <c r="J202" s="464"/>
      <c r="K202" s="464"/>
      <c r="L202" s="464"/>
      <c r="M202" s="464"/>
    </row>
    <row r="203" ht="15.75" customHeight="1">
      <c r="H203" s="464"/>
      <c r="I203" s="464"/>
      <c r="J203" s="464"/>
      <c r="K203" s="464"/>
      <c r="L203" s="464"/>
      <c r="M203" s="464"/>
    </row>
    <row r="204" ht="15.75" customHeight="1">
      <c r="H204" s="464"/>
      <c r="I204" s="464"/>
      <c r="J204" s="464"/>
      <c r="K204" s="464"/>
      <c r="L204" s="464"/>
      <c r="M204" s="464"/>
    </row>
    <row r="205" ht="15.75" customHeight="1">
      <c r="H205" s="464"/>
      <c r="I205" s="464"/>
      <c r="J205" s="464"/>
      <c r="K205" s="464"/>
      <c r="L205" s="464"/>
      <c r="M205" s="464"/>
    </row>
    <row r="206" ht="15.75" customHeight="1">
      <c r="H206" s="464"/>
      <c r="I206" s="464"/>
      <c r="J206" s="464"/>
      <c r="K206" s="464"/>
      <c r="L206" s="464"/>
      <c r="M206" s="464"/>
    </row>
    <row r="207" ht="15.75" customHeight="1">
      <c r="H207" s="464"/>
      <c r="I207" s="464"/>
      <c r="J207" s="464"/>
      <c r="K207" s="464"/>
      <c r="L207" s="464"/>
      <c r="M207" s="464"/>
    </row>
    <row r="208" ht="15.75" customHeight="1">
      <c r="H208" s="464"/>
      <c r="I208" s="464"/>
      <c r="J208" s="464"/>
      <c r="K208" s="464"/>
      <c r="L208" s="464"/>
      <c r="M208" s="464"/>
    </row>
    <row r="209" ht="15.75" customHeight="1">
      <c r="H209" s="464"/>
      <c r="I209" s="464"/>
      <c r="J209" s="464"/>
      <c r="K209" s="464"/>
      <c r="L209" s="464"/>
      <c r="M209" s="464"/>
    </row>
    <row r="210" ht="15.75" customHeight="1">
      <c r="H210" s="464"/>
      <c r="I210" s="464"/>
      <c r="J210" s="464"/>
      <c r="K210" s="464"/>
      <c r="L210" s="464"/>
      <c r="M210" s="464"/>
    </row>
    <row r="211" ht="15.75" customHeight="1">
      <c r="H211" s="464"/>
      <c r="I211" s="464"/>
      <c r="J211" s="464"/>
      <c r="K211" s="464"/>
      <c r="L211" s="464"/>
      <c r="M211" s="464"/>
    </row>
    <row r="212" ht="15.75" customHeight="1">
      <c r="H212" s="464"/>
      <c r="I212" s="464"/>
      <c r="J212" s="464"/>
      <c r="K212" s="464"/>
      <c r="L212" s="464"/>
      <c r="M212" s="464"/>
    </row>
    <row r="213" ht="15.75" customHeight="1">
      <c r="H213" s="464"/>
      <c r="I213" s="464"/>
      <c r="J213" s="464"/>
      <c r="K213" s="464"/>
      <c r="L213" s="464"/>
      <c r="M213" s="464"/>
    </row>
    <row r="214" ht="15.75" customHeight="1">
      <c r="H214" s="464"/>
      <c r="I214" s="464"/>
      <c r="J214" s="464"/>
      <c r="K214" s="464"/>
      <c r="L214" s="464"/>
      <c r="M214" s="464"/>
    </row>
    <row r="215" ht="15.75" customHeight="1">
      <c r="H215" s="464"/>
      <c r="I215" s="464"/>
      <c r="J215" s="464"/>
      <c r="K215" s="464"/>
      <c r="L215" s="464"/>
      <c r="M215" s="464"/>
    </row>
    <row r="216" ht="15.75" customHeight="1">
      <c r="H216" s="464"/>
      <c r="I216" s="464"/>
      <c r="J216" s="464"/>
      <c r="K216" s="464"/>
      <c r="L216" s="464"/>
      <c r="M216" s="464"/>
    </row>
    <row r="217" ht="15.75" customHeight="1">
      <c r="H217" s="464"/>
      <c r="I217" s="464"/>
      <c r="J217" s="464"/>
      <c r="K217" s="464"/>
      <c r="L217" s="464"/>
      <c r="M217" s="464"/>
    </row>
    <row r="218" ht="15.75" customHeight="1">
      <c r="H218" s="464"/>
      <c r="I218" s="464"/>
      <c r="J218" s="464"/>
      <c r="K218" s="464"/>
      <c r="L218" s="464"/>
      <c r="M218" s="464"/>
    </row>
    <row r="219" ht="15.75" customHeight="1">
      <c r="H219" s="464"/>
      <c r="I219" s="464"/>
      <c r="J219" s="464"/>
      <c r="K219" s="464"/>
      <c r="L219" s="464"/>
      <c r="M219" s="464"/>
    </row>
    <row r="220" ht="15.75" customHeight="1">
      <c r="H220" s="464"/>
      <c r="I220" s="464"/>
      <c r="J220" s="464"/>
      <c r="K220" s="464"/>
      <c r="L220" s="464"/>
      <c r="M220" s="464"/>
    </row>
    <row r="221" ht="15.75" customHeight="1">
      <c r="H221" s="464"/>
      <c r="I221" s="464"/>
      <c r="J221" s="464"/>
      <c r="K221" s="464"/>
      <c r="L221" s="464"/>
      <c r="M221" s="464"/>
    </row>
    <row r="222" ht="15.75" customHeight="1">
      <c r="H222" s="464"/>
      <c r="I222" s="464"/>
      <c r="J222" s="464"/>
      <c r="K222" s="464"/>
      <c r="L222" s="464"/>
      <c r="M222" s="464"/>
    </row>
    <row r="223" ht="15.75" customHeight="1">
      <c r="H223" s="464"/>
      <c r="I223" s="464"/>
      <c r="J223" s="464"/>
      <c r="K223" s="464"/>
      <c r="L223" s="464"/>
      <c r="M223" s="464"/>
    </row>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1">
    <mergeCell ref="M2:M3"/>
    <mergeCell ref="O2:P3"/>
    <mergeCell ref="O4:P4"/>
    <mergeCell ref="O5:P5"/>
    <mergeCell ref="O6:P6"/>
    <mergeCell ref="O7:P7"/>
    <mergeCell ref="M10:M11"/>
    <mergeCell ref="R2:R3"/>
    <mergeCell ref="S2:S3"/>
    <mergeCell ref="O9:S11"/>
    <mergeCell ref="A1:M1"/>
    <mergeCell ref="O1:S1"/>
    <mergeCell ref="A2:A3"/>
    <mergeCell ref="B2:B3"/>
    <mergeCell ref="C2:C3"/>
    <mergeCell ref="D2:E2"/>
    <mergeCell ref="F2:G2"/>
    <mergeCell ref="D14:D15"/>
    <mergeCell ref="E14:E15"/>
    <mergeCell ref="F14:F15"/>
    <mergeCell ref="G14:G15"/>
    <mergeCell ref="H14:H15"/>
    <mergeCell ref="I14:I15"/>
    <mergeCell ref="J14:J15"/>
    <mergeCell ref="H2:I2"/>
    <mergeCell ref="J2:K2"/>
    <mergeCell ref="A10:G10"/>
    <mergeCell ref="A11:G11"/>
    <mergeCell ref="H11:L11"/>
    <mergeCell ref="A13:B13"/>
    <mergeCell ref="D13:J13"/>
  </mergeCells>
  <hyperlinks>
    <hyperlink r:id="rId2" ref="D21"/>
    <hyperlink r:id="rId3" ref="D22"/>
  </hyperlinks>
  <printOptions/>
  <pageMargins bottom="0.75" footer="0.0" header="0.0" left="0.7" right="0.7" top="0.75"/>
  <pageSetup fitToHeight="0" orientation="landscape"/>
  <drawing r:id="rId4"/>
  <legacyDrawing r:id="rId5"/>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1"/>
    <pageSetUpPr/>
  </sheetPr>
  <sheetViews>
    <sheetView showGridLines="0" workbookViewId="0"/>
  </sheetViews>
  <sheetFormatPr customHeight="1" defaultColWidth="12.63" defaultRowHeight="15.0" outlineLevelRow="1"/>
  <cols>
    <col customWidth="1" min="1" max="1" width="7.63"/>
    <col customWidth="1" min="2" max="2" width="7.13"/>
    <col customWidth="1" min="3" max="3" width="4.0"/>
    <col customWidth="1" min="4" max="4" width="6.88"/>
    <col customWidth="1" min="5" max="5" width="9.13"/>
    <col customWidth="1" min="6" max="6" width="6.25"/>
    <col customWidth="1" min="7" max="7" width="7.5"/>
    <col customWidth="1" min="8" max="8" width="6.88"/>
    <col customWidth="1" min="9" max="9" width="7.75"/>
    <col customWidth="1" min="10" max="10" width="5.75"/>
    <col customWidth="1" min="11" max="11" width="6.25"/>
    <col customWidth="1" min="12" max="12" width="1.88"/>
    <col customWidth="1" min="13" max="13" width="16.13"/>
    <col customWidth="1" min="14" max="14" width="14.88"/>
    <col customWidth="1" min="15" max="15" width="20.25"/>
    <col customWidth="1" min="16" max="16" width="2.25"/>
    <col customWidth="1" min="17" max="17" width="19.25"/>
    <col customWidth="1" min="18" max="18" width="21.88"/>
    <col customWidth="1" min="19" max="19" width="8.63"/>
    <col customWidth="1" min="20" max="20" width="8.13"/>
    <col customWidth="1" min="21" max="21" width="8.63"/>
    <col customWidth="1" min="22" max="22" width="8.0"/>
    <col customWidth="1" min="23" max="23" width="8.88"/>
    <col customWidth="1" min="24" max="24" width="8.13"/>
    <col customWidth="1" min="25" max="25" width="8.88"/>
    <col customWidth="1" min="26" max="26" width="8.13"/>
    <col customWidth="1" min="27" max="37" width="7.63"/>
  </cols>
  <sheetData>
    <row r="1" ht="14.25" customHeight="1">
      <c r="A1" s="667" t="s">
        <v>978</v>
      </c>
      <c r="B1" s="61"/>
      <c r="C1" s="61"/>
      <c r="D1" s="61"/>
      <c r="E1" s="61"/>
      <c r="F1" s="61"/>
      <c r="G1" s="61"/>
      <c r="H1" s="61"/>
      <c r="I1" s="61"/>
      <c r="J1" s="61"/>
      <c r="K1" s="668"/>
      <c r="L1" s="4"/>
      <c r="M1" s="669" t="s">
        <v>216</v>
      </c>
      <c r="N1" s="670" t="s">
        <v>981</v>
      </c>
      <c r="O1" s="670" t="s">
        <v>982</v>
      </c>
      <c r="P1" s="469" t="s">
        <v>983</v>
      </c>
      <c r="Q1" s="10"/>
      <c r="R1" s="671" t="s">
        <v>984</v>
      </c>
      <c r="S1" s="7" t="s">
        <v>985</v>
      </c>
      <c r="T1" s="8"/>
      <c r="U1" s="8"/>
      <c r="V1" s="8"/>
      <c r="W1" s="8"/>
      <c r="X1" s="8"/>
      <c r="Y1" s="8"/>
      <c r="Z1" s="10"/>
      <c r="AA1" s="417"/>
      <c r="AB1" s="417"/>
      <c r="AC1" s="417"/>
      <c r="AD1" s="417"/>
      <c r="AE1" s="417"/>
      <c r="AF1" s="417"/>
      <c r="AG1" s="417"/>
      <c r="AH1" s="417"/>
      <c r="AI1" s="417"/>
      <c r="AJ1" s="417"/>
      <c r="AK1" s="417"/>
    </row>
    <row r="2">
      <c r="A2" s="13" t="s">
        <v>0</v>
      </c>
      <c r="B2" s="672" t="s">
        <v>986</v>
      </c>
      <c r="C2" s="673" t="s">
        <v>987</v>
      </c>
      <c r="D2" s="5"/>
      <c r="E2" s="5"/>
      <c r="F2" s="9"/>
      <c r="G2" s="674" t="s">
        <v>988</v>
      </c>
      <c r="H2" s="674" t="s">
        <v>989</v>
      </c>
      <c r="I2" s="674" t="s">
        <v>989</v>
      </c>
      <c r="J2" s="674" t="s">
        <v>990</v>
      </c>
      <c r="K2" s="674" t="s">
        <v>991</v>
      </c>
      <c r="L2" s="4"/>
      <c r="M2" s="675" t="str">
        <f>'Power Draw'!H3</f>
        <v>Safe</v>
      </c>
      <c r="N2" s="676">
        <f>'Power Draw'!H27</f>
        <v>7.17578</v>
      </c>
      <c r="O2" s="676">
        <f>'Power Generated'!R4</f>
        <v>15.628032</v>
      </c>
      <c r="P2" s="677">
        <f t="shared" ref="P2:P5" si="1">O2-N2</f>
        <v>8.452252</v>
      </c>
      <c r="Q2" s="678"/>
      <c r="R2" s="679">
        <f>'Orbit Info'!$G$11*(O2*'Orbit Info'!$G$18-N2)</f>
        <v>4.015911051</v>
      </c>
      <c r="S2" s="681" t="str">
        <f>M2</f>
        <v>Safe</v>
      </c>
      <c r="T2" s="174"/>
      <c r="U2" s="682" t="str">
        <f>M3</f>
        <v>Charge</v>
      </c>
      <c r="V2" s="174"/>
      <c r="W2" s="682" t="str">
        <f>M4</f>
        <v>Experiment</v>
      </c>
      <c r="X2" s="174"/>
      <c r="Y2" s="682" t="str">
        <f>M5</f>
        <v>Safe (Detumble)</v>
      </c>
      <c r="Z2" s="686"/>
      <c r="AA2" s="417"/>
      <c r="AB2" s="417"/>
      <c r="AC2" s="417"/>
      <c r="AD2" s="417"/>
      <c r="AE2" s="417"/>
      <c r="AF2" s="417"/>
      <c r="AG2" s="417"/>
      <c r="AH2" s="417"/>
      <c r="AI2" s="417"/>
      <c r="AJ2" s="417"/>
      <c r="AK2" s="417"/>
    </row>
    <row r="3">
      <c r="A3" s="674" t="s">
        <v>3</v>
      </c>
      <c r="B3" s="687"/>
      <c r="C3" s="674" t="str">
        <f>M2</f>
        <v>Safe</v>
      </c>
      <c r="D3" s="674" t="str">
        <f>M3</f>
        <v>Charge</v>
      </c>
      <c r="E3" s="674" t="str">
        <f>M4</f>
        <v>Experiment</v>
      </c>
      <c r="F3" s="674" t="str">
        <f>M5</f>
        <v>Safe (Detumble)</v>
      </c>
      <c r="G3" s="674" t="s">
        <v>1000</v>
      </c>
      <c r="H3" s="674" t="s">
        <v>1001</v>
      </c>
      <c r="I3" s="674" t="s">
        <v>1002</v>
      </c>
      <c r="J3" s="674" t="s">
        <v>1003</v>
      </c>
      <c r="K3" s="674" t="s">
        <v>1003</v>
      </c>
      <c r="L3" s="4"/>
      <c r="M3" s="693" t="str">
        <f>'Power Draw'!J3</f>
        <v>Charge</v>
      </c>
      <c r="N3" s="694">
        <f>'Power Draw'!J27</f>
        <v>8.62426</v>
      </c>
      <c r="O3" s="694">
        <f>'Power Generated'!R5</f>
        <v>15.628032</v>
      </c>
      <c r="P3" s="695">
        <f t="shared" si="1"/>
        <v>7.003772</v>
      </c>
      <c r="Q3" s="9"/>
      <c r="R3" s="696">
        <f>'Orbit Info'!$G$11*(O3*'Orbit Info'!$G$18-N3)</f>
        <v>1.731815646</v>
      </c>
      <c r="S3" s="697" t="s">
        <v>1012</v>
      </c>
      <c r="T3" s="13" t="s">
        <v>1013</v>
      </c>
      <c r="U3" s="13" t="s">
        <v>1012</v>
      </c>
      <c r="V3" s="13" t="s">
        <v>1013</v>
      </c>
      <c r="W3" s="13" t="s">
        <v>1012</v>
      </c>
      <c r="X3" s="13" t="s">
        <v>1013</v>
      </c>
      <c r="Y3" s="13" t="s">
        <v>1012</v>
      </c>
      <c r="Z3" s="692" t="s">
        <v>1013</v>
      </c>
      <c r="AH3" s="417"/>
      <c r="AI3" s="417"/>
      <c r="AJ3" s="417"/>
      <c r="AK3" s="417"/>
    </row>
    <row r="4">
      <c r="A4" s="13">
        <v>1.0</v>
      </c>
      <c r="B4" s="18">
        <f>A4/'Orbit Info'!$G$10</f>
        <v>0.01056931917</v>
      </c>
      <c r="C4" s="13">
        <f t="shared" ref="C4:C1443" si="2">IF(OR(AND(A4&gt;=$S$4,A4&lt;=$T$4),AND(A4&gt;$S$5,A4&lt;=$T$5),AND(A4&gt;$S$6,A4&lt;=$T$6),AND(A4&gt;$S$7,A4&lt;=$T$7),AND(A4&gt;$S$8,A4&lt;=$T$8)),1,0)</f>
        <v>0</v>
      </c>
      <c r="D4" s="13">
        <f t="shared" ref="D4:D1443" si="3">IF(OR(AND(A4&gt;=$U$4,A4&lt;=$V$4),AND(A4&gt;$U$5,A4&lt;=$V$5),AND(A4&gt;$U$6,A4&lt;=$V$6),AND(A4&gt;$U$7,A4&lt;=$V$7),AND(A4&gt;$U$8,A4&lt;=$V$8)),1,0)</f>
        <v>0</v>
      </c>
      <c r="E4" s="13">
        <f t="shared" ref="E4:E1443" si="4">IF(OR(AND(A4&gt;=$W$4,A4&lt;=$X$4),AND(A4&gt;$W$5,A4&lt;=$X$5),AND(A4&gt;$W$6,A4&lt;=$X$6),AND(A4&gt;$W$7,A4&lt;=$X$7),AND(A4&gt;$W$8,A4&lt;=$X$8)),1,0)</f>
        <v>0</v>
      </c>
      <c r="F4" s="13">
        <f t="shared" ref="F4:F1443" si="5">IF(OR(AND(A4&gt;=$Y$4,A4&lt;=$Z$4),AND(A4&gt;$Y$5,A4&lt;=$Z$5),AND(A4&gt;$Y$6,A4&lt;=$Z$6),AND(A4&gt;$Y$7,A4&lt;=$Z$7),AND(A4&gt;$Y$8,A4&lt;=$Z$8)),1,0)</f>
        <v>1</v>
      </c>
      <c r="G4" s="13">
        <f t="shared" ref="G4:G1443" si="6">SUM(C4:F4)</f>
        <v>1</v>
      </c>
      <c r="H4" s="13">
        <f>'Orbit Info'!C3*((C4*$O$2)+(D4*$O$3)+(E4*$O$4)+(F4*$O$5))</f>
        <v>2.856</v>
      </c>
      <c r="I4" s="13">
        <f t="shared" ref="I4:I1443" si="7">(C4*$N$2)+(D4*$N$3)+(E4*$N$4)+(F4*$N$5)</f>
        <v>5.74655</v>
      </c>
      <c r="J4" s="18">
        <f t="shared" ref="J4:J1443" si="8">(H4*$N$7/60)-(I4*$N$7/60)</f>
        <v>-0.04817583333</v>
      </c>
      <c r="K4" s="18">
        <f>'Power Generated'!$J$16</f>
        <v>88.2</v>
      </c>
      <c r="L4" s="4"/>
      <c r="M4" s="693" t="str">
        <f>'Power Draw'!L3</f>
        <v>Experiment</v>
      </c>
      <c r="N4" s="694">
        <f>'Power Draw'!L27</f>
        <v>17.54526</v>
      </c>
      <c r="O4" s="694">
        <f>'Power Generated'!R6</f>
        <v>11.721024</v>
      </c>
      <c r="P4" s="702">
        <f t="shared" si="1"/>
        <v>-5.824236</v>
      </c>
      <c r="Q4" s="9"/>
      <c r="R4" s="696">
        <f>'Orbit Info'!$G$11*(O4*'Orbit Info'!$G$18-N4)</f>
        <v>-16.16846488</v>
      </c>
      <c r="S4" s="703">
        <v>271.0</v>
      </c>
      <c r="T4" s="704">
        <v>600.0</v>
      </c>
      <c r="U4" s="704">
        <v>601.0</v>
      </c>
      <c r="V4" s="704">
        <v>1300.0</v>
      </c>
      <c r="W4" s="704">
        <v>1301.0</v>
      </c>
      <c r="X4" s="704">
        <v>1440.0</v>
      </c>
      <c r="Y4" s="704">
        <v>1.0</v>
      </c>
      <c r="Z4" s="705">
        <v>270.0</v>
      </c>
      <c r="AH4" s="417"/>
      <c r="AI4" s="417"/>
      <c r="AJ4" s="417"/>
      <c r="AK4" s="417"/>
    </row>
    <row r="5">
      <c r="A5" s="13">
        <f t="shared" ref="A5:A1443" si="9">A4+$N$7</f>
        <v>2</v>
      </c>
      <c r="B5" s="18">
        <f>A5/'Orbit Info'!$G$10</f>
        <v>0.02113863833</v>
      </c>
      <c r="C5" s="13">
        <f t="shared" si="2"/>
        <v>0</v>
      </c>
      <c r="D5" s="13">
        <f t="shared" si="3"/>
        <v>0</v>
      </c>
      <c r="E5" s="13">
        <f t="shared" si="4"/>
        <v>0</v>
      </c>
      <c r="F5" s="13">
        <f t="shared" si="5"/>
        <v>1</v>
      </c>
      <c r="G5" s="13">
        <f t="shared" si="6"/>
        <v>1</v>
      </c>
      <c r="H5" s="13">
        <f>'Orbit Info'!C4*((C5*$O$2)+(D5*$O$3)+(E5*$O$4)+(F5*$O$5))</f>
        <v>2.856</v>
      </c>
      <c r="I5" s="13">
        <f t="shared" si="7"/>
        <v>5.74655</v>
      </c>
      <c r="J5" s="18">
        <f t="shared" si="8"/>
        <v>-0.04817583333</v>
      </c>
      <c r="K5" s="18">
        <f t="shared" ref="K5:K1443" si="10">IF((K4+J5)&gt;$N$8,$N$8,J5+K4)</f>
        <v>88.15182417</v>
      </c>
      <c r="L5" s="4"/>
      <c r="M5" s="706" t="str">
        <f>'Power Draw'!N3</f>
        <v>Safe (Detumble)</v>
      </c>
      <c r="N5" s="707">
        <f>'Power Draw'!N27</f>
        <v>5.74655</v>
      </c>
      <c r="O5" s="707">
        <f>'Power Generated'!R7</f>
        <v>2.856</v>
      </c>
      <c r="P5" s="708">
        <f t="shared" si="1"/>
        <v>-2.89055</v>
      </c>
      <c r="Q5" s="78"/>
      <c r="R5" s="709">
        <f>'Orbit Info'!$G$11*(O5*'Orbit Info'!$G$18-N5)</f>
        <v>-6.259905117</v>
      </c>
      <c r="S5" s="703"/>
      <c r="T5" s="704"/>
      <c r="U5" s="704"/>
      <c r="V5" s="704"/>
      <c r="W5" s="704"/>
      <c r="X5" s="704"/>
      <c r="Y5" s="704"/>
      <c r="Z5" s="705"/>
      <c r="AH5" s="417"/>
      <c r="AI5" s="417"/>
      <c r="AJ5" s="417"/>
      <c r="AK5" s="417"/>
    </row>
    <row r="6">
      <c r="A6" s="13">
        <f t="shared" si="9"/>
        <v>3</v>
      </c>
      <c r="B6" s="18">
        <f>A6/'Orbit Info'!$G$10</f>
        <v>0.0317079575</v>
      </c>
      <c r="C6" s="13">
        <f t="shared" si="2"/>
        <v>0</v>
      </c>
      <c r="D6" s="13">
        <f t="shared" si="3"/>
        <v>0</v>
      </c>
      <c r="E6" s="13">
        <f t="shared" si="4"/>
        <v>0</v>
      </c>
      <c r="F6" s="13">
        <f t="shared" si="5"/>
        <v>1</v>
      </c>
      <c r="G6" s="13">
        <f t="shared" si="6"/>
        <v>1</v>
      </c>
      <c r="H6" s="13">
        <f>'Orbit Info'!C5*((C6*$O$2)+(D6*$O$3)+(E6*$O$4)+(F6*$O$5))</f>
        <v>2.856</v>
      </c>
      <c r="I6" s="13">
        <f t="shared" si="7"/>
        <v>5.74655</v>
      </c>
      <c r="J6" s="18">
        <f t="shared" si="8"/>
        <v>-0.04817583333</v>
      </c>
      <c r="K6" s="18">
        <f t="shared" si="10"/>
        <v>88.10364833</v>
      </c>
      <c r="L6" s="4"/>
      <c r="M6" s="714" t="s">
        <v>1076</v>
      </c>
      <c r="N6" s="715"/>
      <c r="O6" s="717"/>
      <c r="P6" s="4"/>
      <c r="Q6" s="4"/>
      <c r="R6" s="4"/>
      <c r="S6" s="719"/>
      <c r="T6" s="704"/>
      <c r="U6" s="704"/>
      <c r="V6" s="704"/>
      <c r="W6" s="704"/>
      <c r="X6" s="704"/>
      <c r="Y6" s="704"/>
      <c r="Z6" s="705"/>
      <c r="AH6" s="417"/>
      <c r="AI6" s="417"/>
      <c r="AJ6" s="417"/>
      <c r="AK6" s="417"/>
    </row>
    <row r="7">
      <c r="A7" s="13">
        <f t="shared" si="9"/>
        <v>4</v>
      </c>
      <c r="B7" s="18">
        <f>A7/'Orbit Info'!$G$10</f>
        <v>0.04227727666</v>
      </c>
      <c r="C7" s="13">
        <f t="shared" si="2"/>
        <v>0</v>
      </c>
      <c r="D7" s="13">
        <f t="shared" si="3"/>
        <v>0</v>
      </c>
      <c r="E7" s="13">
        <f t="shared" si="4"/>
        <v>0</v>
      </c>
      <c r="F7" s="13">
        <f t="shared" si="5"/>
        <v>1</v>
      </c>
      <c r="G7" s="13">
        <f t="shared" si="6"/>
        <v>1</v>
      </c>
      <c r="H7" s="13">
        <f>'Orbit Info'!C6*((C7*$O$2)+(D7*$O$3)+(E7*$O$4)+(F7*$O$5))</f>
        <v>2.856</v>
      </c>
      <c r="I7" s="13">
        <f t="shared" si="7"/>
        <v>5.74655</v>
      </c>
      <c r="J7" s="18">
        <f t="shared" si="8"/>
        <v>-0.04817583333</v>
      </c>
      <c r="K7" s="18">
        <f t="shared" si="10"/>
        <v>88.0554725</v>
      </c>
      <c r="L7" s="4"/>
      <c r="M7" s="145" t="s">
        <v>0</v>
      </c>
      <c r="N7" s="704">
        <v>1.0</v>
      </c>
      <c r="O7" s="692" t="s">
        <v>56</v>
      </c>
      <c r="P7" s="4"/>
      <c r="Q7" s="12" t="s">
        <v>8</v>
      </c>
      <c r="R7" s="4"/>
      <c r="S7" s="719"/>
      <c r="T7" s="704"/>
      <c r="U7" s="704"/>
      <c r="V7" s="704"/>
      <c r="W7" s="704"/>
      <c r="X7" s="704"/>
      <c r="Y7" s="704"/>
      <c r="Z7" s="705"/>
      <c r="AH7" s="417"/>
      <c r="AI7" s="417"/>
      <c r="AJ7" s="417"/>
      <c r="AK7" s="417"/>
    </row>
    <row r="8">
      <c r="A8" s="13">
        <f t="shared" si="9"/>
        <v>5</v>
      </c>
      <c r="B8" s="18">
        <f>A8/'Orbit Info'!$G$10</f>
        <v>0.05284659583</v>
      </c>
      <c r="C8" s="13">
        <f t="shared" si="2"/>
        <v>0</v>
      </c>
      <c r="D8" s="13">
        <f t="shared" si="3"/>
        <v>0</v>
      </c>
      <c r="E8" s="13">
        <f t="shared" si="4"/>
        <v>0</v>
      </c>
      <c r="F8" s="13">
        <f t="shared" si="5"/>
        <v>1</v>
      </c>
      <c r="G8" s="13">
        <f t="shared" si="6"/>
        <v>1</v>
      </c>
      <c r="H8" s="13">
        <f>'Orbit Info'!C7*((C8*$O$2)+(D8*$O$3)+(E8*$O$4)+(F8*$O$5))</f>
        <v>2.856</v>
      </c>
      <c r="I8" s="13">
        <f t="shared" si="7"/>
        <v>5.74655</v>
      </c>
      <c r="J8" s="18">
        <f t="shared" si="8"/>
        <v>-0.04817583333</v>
      </c>
      <c r="K8" s="18">
        <f t="shared" si="10"/>
        <v>88.00729667</v>
      </c>
      <c r="L8" s="4"/>
      <c r="M8" s="145" t="s">
        <v>1082</v>
      </c>
      <c r="N8" s="13">
        <f>'Power Generated'!J16</f>
        <v>88.2</v>
      </c>
      <c r="O8" s="692" t="s">
        <v>1083</v>
      </c>
      <c r="P8" s="4"/>
      <c r="Q8" s="470" t="s">
        <v>49</v>
      </c>
      <c r="R8" s="4"/>
      <c r="S8" s="732"/>
      <c r="T8" s="733"/>
      <c r="U8" s="733"/>
      <c r="V8" s="733"/>
      <c r="W8" s="733"/>
      <c r="X8" s="733"/>
      <c r="Y8" s="733"/>
      <c r="Z8" s="734"/>
      <c r="AH8" s="417"/>
      <c r="AI8" s="417"/>
      <c r="AJ8" s="417"/>
      <c r="AK8" s="417"/>
    </row>
    <row r="9" ht="14.25" customHeight="1">
      <c r="A9" s="13">
        <f t="shared" si="9"/>
        <v>6</v>
      </c>
      <c r="B9" s="18">
        <f>A9/'Orbit Info'!$G$10</f>
        <v>0.063415915</v>
      </c>
      <c r="C9" s="13">
        <f t="shared" si="2"/>
        <v>0</v>
      </c>
      <c r="D9" s="13">
        <f t="shared" si="3"/>
        <v>0</v>
      </c>
      <c r="E9" s="13">
        <f t="shared" si="4"/>
        <v>0</v>
      </c>
      <c r="F9" s="13">
        <f t="shared" si="5"/>
        <v>1</v>
      </c>
      <c r="G9" s="13">
        <f t="shared" si="6"/>
        <v>1</v>
      </c>
      <c r="H9" s="13">
        <f>'Orbit Info'!C8*((C9*$O$2)+(D9*$O$3)+(E9*$O$4)+(F9*$O$5))</f>
        <v>2.856</v>
      </c>
      <c r="I9" s="13">
        <f t="shared" si="7"/>
        <v>5.74655</v>
      </c>
      <c r="J9" s="18">
        <f t="shared" si="8"/>
        <v>-0.04817583333</v>
      </c>
      <c r="K9" s="18">
        <f t="shared" si="10"/>
        <v>87.95912083</v>
      </c>
      <c r="L9" s="4"/>
      <c r="M9" s="145" t="s">
        <v>1084</v>
      </c>
      <c r="N9" s="735">
        <f>(1-'Orbit Info'!G18)*100</f>
        <v>37.78802898</v>
      </c>
      <c r="O9" s="692" t="s">
        <v>156</v>
      </c>
      <c r="P9" s="4"/>
      <c r="Q9" s="475" t="s">
        <v>51</v>
      </c>
      <c r="R9" s="4"/>
      <c r="S9" s="146" t="s">
        <v>1085</v>
      </c>
      <c r="T9" s="147"/>
      <c r="U9" s="147"/>
      <c r="V9" s="147"/>
      <c r="W9" s="147"/>
      <c r="X9" s="147"/>
      <c r="Y9" s="147"/>
      <c r="Z9" s="148"/>
      <c r="AH9" s="417"/>
      <c r="AI9" s="417"/>
      <c r="AJ9" s="417"/>
      <c r="AK9" s="417"/>
    </row>
    <row r="10">
      <c r="A10" s="13">
        <f t="shared" si="9"/>
        <v>7</v>
      </c>
      <c r="B10" s="18">
        <f>A10/'Orbit Info'!$G$10</f>
        <v>0.07398523416</v>
      </c>
      <c r="C10" s="13">
        <f t="shared" si="2"/>
        <v>0</v>
      </c>
      <c r="D10" s="13">
        <f t="shared" si="3"/>
        <v>0</v>
      </c>
      <c r="E10" s="13">
        <f t="shared" si="4"/>
        <v>0</v>
      </c>
      <c r="F10" s="13">
        <f t="shared" si="5"/>
        <v>1</v>
      </c>
      <c r="G10" s="13">
        <f t="shared" si="6"/>
        <v>1</v>
      </c>
      <c r="H10" s="13">
        <f>'Orbit Info'!C9*((C10*$O$2)+(D10*$O$3)+(E10*$O$4)+(F10*$O$5))</f>
        <v>2.856</v>
      </c>
      <c r="I10" s="13">
        <f t="shared" si="7"/>
        <v>5.74655</v>
      </c>
      <c r="J10" s="18">
        <f t="shared" si="8"/>
        <v>-0.04817583333</v>
      </c>
      <c r="K10" s="18">
        <f t="shared" si="10"/>
        <v>87.910945</v>
      </c>
      <c r="L10" s="4"/>
      <c r="M10" s="145" t="s">
        <v>129</v>
      </c>
      <c r="N10" s="18">
        <f>'Orbit Info'!G10</f>
        <v>94.61347361</v>
      </c>
      <c r="O10" s="692" t="s">
        <v>56</v>
      </c>
      <c r="P10" s="4" t="s">
        <v>1086</v>
      </c>
      <c r="Q10" s="4"/>
      <c r="R10" s="4"/>
      <c r="S10" s="151"/>
      <c r="Z10" s="81"/>
      <c r="AH10" s="417"/>
      <c r="AI10" s="417"/>
      <c r="AJ10" s="417"/>
      <c r="AK10" s="417"/>
    </row>
    <row r="11">
      <c r="A11" s="13">
        <f t="shared" si="9"/>
        <v>8</v>
      </c>
      <c r="B11" s="18">
        <f>A11/'Orbit Info'!$G$10</f>
        <v>0.08455455333</v>
      </c>
      <c r="C11" s="13">
        <f t="shared" si="2"/>
        <v>0</v>
      </c>
      <c r="D11" s="13">
        <f t="shared" si="3"/>
        <v>0</v>
      </c>
      <c r="E11" s="13">
        <f t="shared" si="4"/>
        <v>0</v>
      </c>
      <c r="F11" s="13">
        <f t="shared" si="5"/>
        <v>1</v>
      </c>
      <c r="G11" s="13">
        <f t="shared" si="6"/>
        <v>1</v>
      </c>
      <c r="H11" s="13">
        <f>'Orbit Info'!C10*((C11*$O$2)+(D11*$O$3)+(E11*$O$4)+(F11*$O$5))</f>
        <v>2.856</v>
      </c>
      <c r="I11" s="13">
        <f t="shared" si="7"/>
        <v>5.74655</v>
      </c>
      <c r="J11" s="18">
        <f t="shared" si="8"/>
        <v>-0.04817583333</v>
      </c>
      <c r="K11" s="18">
        <f t="shared" si="10"/>
        <v>87.86276917</v>
      </c>
      <c r="L11" s="4"/>
      <c r="M11" s="160" t="s">
        <v>1087</v>
      </c>
      <c r="N11" s="121">
        <f>MAX(G:G)</f>
        <v>1</v>
      </c>
      <c r="O11" s="736"/>
      <c r="P11" s="4"/>
      <c r="Q11" s="4"/>
      <c r="R11" s="4"/>
      <c r="S11" s="151"/>
      <c r="Z11" s="81"/>
      <c r="AH11" s="417"/>
      <c r="AI11" s="417"/>
      <c r="AJ11" s="417"/>
      <c r="AK11" s="417"/>
    </row>
    <row r="12" ht="14.25" customHeight="1">
      <c r="A12" s="13">
        <f t="shared" si="9"/>
        <v>9</v>
      </c>
      <c r="B12" s="18">
        <f>A12/'Orbit Info'!$G$10</f>
        <v>0.09512387249</v>
      </c>
      <c r="C12" s="13">
        <f t="shared" si="2"/>
        <v>0</v>
      </c>
      <c r="D12" s="13">
        <f t="shared" si="3"/>
        <v>0</v>
      </c>
      <c r="E12" s="13">
        <f t="shared" si="4"/>
        <v>0</v>
      </c>
      <c r="F12" s="13">
        <f t="shared" si="5"/>
        <v>1</v>
      </c>
      <c r="G12" s="13">
        <f t="shared" si="6"/>
        <v>1</v>
      </c>
      <c r="H12" s="13">
        <f>'Orbit Info'!C11*((C12*$O$2)+(D12*$O$3)+(E12*$O$4)+(F12*$O$5))</f>
        <v>2.856</v>
      </c>
      <c r="I12" s="13">
        <f t="shared" si="7"/>
        <v>5.74655</v>
      </c>
      <c r="J12" s="18">
        <f t="shared" si="8"/>
        <v>-0.04817583333</v>
      </c>
      <c r="K12" s="18">
        <f t="shared" si="10"/>
        <v>87.81459333</v>
      </c>
      <c r="L12" s="4"/>
      <c r="M12" s="146" t="s">
        <v>1088</v>
      </c>
      <c r="N12" s="147"/>
      <c r="O12" s="147"/>
      <c r="P12" s="147"/>
      <c r="Q12" s="148"/>
      <c r="R12" s="4" t="s">
        <v>1089</v>
      </c>
      <c r="S12" s="151"/>
      <c r="Z12" s="81"/>
      <c r="AH12" s="417"/>
      <c r="AI12" s="417"/>
      <c r="AJ12" s="417"/>
      <c r="AK12" s="417"/>
    </row>
    <row r="13">
      <c r="A13" s="13">
        <f t="shared" si="9"/>
        <v>10</v>
      </c>
      <c r="B13" s="18">
        <f>A13/'Orbit Info'!$G$10</f>
        <v>0.1056931917</v>
      </c>
      <c r="C13" s="13">
        <f t="shared" si="2"/>
        <v>0</v>
      </c>
      <c r="D13" s="13">
        <f t="shared" si="3"/>
        <v>0</v>
      </c>
      <c r="E13" s="13">
        <f t="shared" si="4"/>
        <v>0</v>
      </c>
      <c r="F13" s="13">
        <f t="shared" si="5"/>
        <v>1</v>
      </c>
      <c r="G13" s="13">
        <f t="shared" si="6"/>
        <v>1</v>
      </c>
      <c r="H13" s="13">
        <f>'Orbit Info'!C12*((C13*$O$2)+(D13*$O$3)+(E13*$O$4)+(F13*$O$5))</f>
        <v>2.856</v>
      </c>
      <c r="I13" s="13">
        <f t="shared" si="7"/>
        <v>5.74655</v>
      </c>
      <c r="J13" s="18">
        <f t="shared" si="8"/>
        <v>-0.04817583333</v>
      </c>
      <c r="K13" s="18">
        <f t="shared" si="10"/>
        <v>87.7664175</v>
      </c>
      <c r="L13" s="4"/>
      <c r="M13" s="151"/>
      <c r="Q13" s="81"/>
      <c r="R13" s="4"/>
      <c r="S13" s="153"/>
      <c r="T13" s="86"/>
      <c r="U13" s="86"/>
      <c r="V13" s="86"/>
      <c r="W13" s="86"/>
      <c r="X13" s="86"/>
      <c r="Y13" s="86"/>
      <c r="Z13" s="88"/>
      <c r="AH13" s="417"/>
      <c r="AI13" s="417"/>
      <c r="AJ13" s="417"/>
      <c r="AK13" s="417"/>
    </row>
    <row r="14" ht="14.25" customHeight="1">
      <c r="A14" s="13">
        <f t="shared" si="9"/>
        <v>11</v>
      </c>
      <c r="B14" s="18">
        <f>A14/'Orbit Info'!$G$10</f>
        <v>0.1162625108</v>
      </c>
      <c r="C14" s="13">
        <f t="shared" si="2"/>
        <v>0</v>
      </c>
      <c r="D14" s="13">
        <f t="shared" si="3"/>
        <v>0</v>
      </c>
      <c r="E14" s="13">
        <f t="shared" si="4"/>
        <v>0</v>
      </c>
      <c r="F14" s="13">
        <f t="shared" si="5"/>
        <v>1</v>
      </c>
      <c r="G14" s="13">
        <f t="shared" si="6"/>
        <v>1</v>
      </c>
      <c r="H14" s="13">
        <f>'Orbit Info'!C13*((C14*$O$2)+(D14*$O$3)+(E14*$O$4)+(F14*$O$5))</f>
        <v>2.856</v>
      </c>
      <c r="I14" s="13">
        <f t="shared" si="7"/>
        <v>5.74655</v>
      </c>
      <c r="J14" s="18">
        <f t="shared" si="8"/>
        <v>-0.04817583333</v>
      </c>
      <c r="K14" s="18">
        <f t="shared" si="10"/>
        <v>87.71824167</v>
      </c>
      <c r="L14" s="4"/>
      <c r="M14" s="151"/>
      <c r="Q14" s="81"/>
      <c r="R14" s="417"/>
      <c r="AJ14" s="417"/>
      <c r="AK14" s="417"/>
    </row>
    <row r="15" ht="14.25" customHeight="1">
      <c r="A15" s="13">
        <f t="shared" si="9"/>
        <v>12</v>
      </c>
      <c r="B15" s="18">
        <f>A15/'Orbit Info'!$G$10</f>
        <v>0.12683183</v>
      </c>
      <c r="C15" s="13">
        <f t="shared" si="2"/>
        <v>0</v>
      </c>
      <c r="D15" s="13">
        <f t="shared" si="3"/>
        <v>0</v>
      </c>
      <c r="E15" s="13">
        <f t="shared" si="4"/>
        <v>0</v>
      </c>
      <c r="F15" s="13">
        <f t="shared" si="5"/>
        <v>1</v>
      </c>
      <c r="G15" s="13">
        <f t="shared" si="6"/>
        <v>1</v>
      </c>
      <c r="H15" s="13">
        <f>'Orbit Info'!C14*((C15*$O$2)+(D15*$O$3)+(E15*$O$4)+(F15*$O$5))</f>
        <v>2.856</v>
      </c>
      <c r="I15" s="13">
        <f t="shared" si="7"/>
        <v>5.74655</v>
      </c>
      <c r="J15" s="18">
        <f t="shared" si="8"/>
        <v>-0.04817583333</v>
      </c>
      <c r="K15" s="18">
        <f t="shared" si="10"/>
        <v>87.67006583</v>
      </c>
      <c r="L15" s="4"/>
      <c r="M15" s="151"/>
      <c r="Q15" s="81"/>
      <c r="R15" s="417"/>
      <c r="AJ15" s="417"/>
      <c r="AK15" s="417"/>
    </row>
    <row r="16">
      <c r="A16" s="13">
        <f t="shared" si="9"/>
        <v>13</v>
      </c>
      <c r="B16" s="18">
        <f>A16/'Orbit Info'!$G$10</f>
        <v>0.1374011492</v>
      </c>
      <c r="C16" s="13">
        <f t="shared" si="2"/>
        <v>0</v>
      </c>
      <c r="D16" s="13">
        <f t="shared" si="3"/>
        <v>0</v>
      </c>
      <c r="E16" s="13">
        <f t="shared" si="4"/>
        <v>0</v>
      </c>
      <c r="F16" s="13">
        <f t="shared" si="5"/>
        <v>1</v>
      </c>
      <c r="G16" s="13">
        <f t="shared" si="6"/>
        <v>1</v>
      </c>
      <c r="H16" s="13">
        <f>'Orbit Info'!C15*((C16*$O$2)+(D16*$O$3)+(E16*$O$4)+(F16*$O$5))</f>
        <v>2.856</v>
      </c>
      <c r="I16" s="13">
        <f t="shared" si="7"/>
        <v>5.74655</v>
      </c>
      <c r="J16" s="18">
        <f t="shared" si="8"/>
        <v>-0.04817583333</v>
      </c>
      <c r="K16" s="18">
        <f t="shared" si="10"/>
        <v>87.62189</v>
      </c>
      <c r="L16" s="4"/>
      <c r="M16" s="151"/>
      <c r="Q16" s="81"/>
      <c r="R16" s="417"/>
    </row>
    <row r="17">
      <c r="A17" s="13">
        <f t="shared" si="9"/>
        <v>14</v>
      </c>
      <c r="B17" s="18">
        <f>A17/'Orbit Info'!$G$10</f>
        <v>0.1479704683</v>
      </c>
      <c r="C17" s="13">
        <f t="shared" si="2"/>
        <v>0</v>
      </c>
      <c r="D17" s="13">
        <f t="shared" si="3"/>
        <v>0</v>
      </c>
      <c r="E17" s="13">
        <f t="shared" si="4"/>
        <v>0</v>
      </c>
      <c r="F17" s="13">
        <f t="shared" si="5"/>
        <v>1</v>
      </c>
      <c r="G17" s="13">
        <f t="shared" si="6"/>
        <v>1</v>
      </c>
      <c r="H17" s="13">
        <f>'Orbit Info'!C16*((C17*$O$2)+(D17*$O$3)+(E17*$O$4)+(F17*$O$5))</f>
        <v>2.856</v>
      </c>
      <c r="I17" s="13">
        <f t="shared" si="7"/>
        <v>5.74655</v>
      </c>
      <c r="J17" s="18">
        <f t="shared" si="8"/>
        <v>-0.04817583333</v>
      </c>
      <c r="K17" s="18">
        <f t="shared" si="10"/>
        <v>87.57371417</v>
      </c>
      <c r="L17" s="4"/>
      <c r="M17" s="151"/>
      <c r="Q17" s="81"/>
      <c r="R17" s="417"/>
    </row>
    <row r="18">
      <c r="A18" s="13">
        <f t="shared" si="9"/>
        <v>15</v>
      </c>
      <c r="B18" s="18">
        <f>A18/'Orbit Info'!$G$10</f>
        <v>0.1585397875</v>
      </c>
      <c r="C18" s="13">
        <f t="shared" si="2"/>
        <v>0</v>
      </c>
      <c r="D18" s="13">
        <f t="shared" si="3"/>
        <v>0</v>
      </c>
      <c r="E18" s="13">
        <f t="shared" si="4"/>
        <v>0</v>
      </c>
      <c r="F18" s="13">
        <f t="shared" si="5"/>
        <v>1</v>
      </c>
      <c r="G18" s="13">
        <f t="shared" si="6"/>
        <v>1</v>
      </c>
      <c r="H18" s="13">
        <f>'Orbit Info'!C17*((C18*$O$2)+(D18*$O$3)+(E18*$O$4)+(F18*$O$5))</f>
        <v>2.856</v>
      </c>
      <c r="I18" s="13">
        <f t="shared" si="7"/>
        <v>5.74655</v>
      </c>
      <c r="J18" s="18">
        <f t="shared" si="8"/>
        <v>-0.04817583333</v>
      </c>
      <c r="K18" s="18">
        <f t="shared" si="10"/>
        <v>87.52553833</v>
      </c>
      <c r="L18" s="4"/>
      <c r="M18" s="151"/>
      <c r="Q18" s="81"/>
      <c r="R18" s="417"/>
      <c r="AA18" s="417"/>
      <c r="AB18" s="417"/>
      <c r="AC18" s="417"/>
    </row>
    <row r="19">
      <c r="A19" s="13">
        <f t="shared" si="9"/>
        <v>16</v>
      </c>
      <c r="B19" s="18">
        <f>A19/'Orbit Info'!$G$10</f>
        <v>0.1691091067</v>
      </c>
      <c r="C19" s="13">
        <f t="shared" si="2"/>
        <v>0</v>
      </c>
      <c r="D19" s="13">
        <f t="shared" si="3"/>
        <v>0</v>
      </c>
      <c r="E19" s="13">
        <f t="shared" si="4"/>
        <v>0</v>
      </c>
      <c r="F19" s="13">
        <f t="shared" si="5"/>
        <v>1</v>
      </c>
      <c r="G19" s="13">
        <f t="shared" si="6"/>
        <v>1</v>
      </c>
      <c r="H19" s="13">
        <f>'Orbit Info'!C18*((C19*$O$2)+(D19*$O$3)+(E19*$O$4)+(F19*$O$5))</f>
        <v>2.856</v>
      </c>
      <c r="I19" s="13">
        <f t="shared" si="7"/>
        <v>5.74655</v>
      </c>
      <c r="J19" s="18">
        <f t="shared" si="8"/>
        <v>-0.04817583333</v>
      </c>
      <c r="K19" s="18">
        <f t="shared" si="10"/>
        <v>87.4773625</v>
      </c>
      <c r="L19" s="4"/>
      <c r="M19" s="151"/>
      <c r="Q19" s="81"/>
      <c r="R19" s="4"/>
      <c r="S19" s="4"/>
      <c r="T19" s="4"/>
      <c r="U19" s="4"/>
      <c r="V19" s="4"/>
      <c r="W19" s="4"/>
      <c r="AB19" s="417"/>
      <c r="AC19" s="417"/>
    </row>
    <row r="20">
      <c r="A20" s="13">
        <f t="shared" si="9"/>
        <v>17</v>
      </c>
      <c r="B20" s="18">
        <f>A20/'Orbit Info'!$G$10</f>
        <v>0.1796784258</v>
      </c>
      <c r="C20" s="13">
        <f t="shared" si="2"/>
        <v>0</v>
      </c>
      <c r="D20" s="13">
        <f t="shared" si="3"/>
        <v>0</v>
      </c>
      <c r="E20" s="13">
        <f t="shared" si="4"/>
        <v>0</v>
      </c>
      <c r="F20" s="13">
        <f t="shared" si="5"/>
        <v>1</v>
      </c>
      <c r="G20" s="13">
        <f t="shared" si="6"/>
        <v>1</v>
      </c>
      <c r="H20" s="13">
        <f>'Orbit Info'!C19*((C20*$O$2)+(D20*$O$3)+(E20*$O$4)+(F20*$O$5))</f>
        <v>2.856</v>
      </c>
      <c r="I20" s="13">
        <f t="shared" si="7"/>
        <v>5.74655</v>
      </c>
      <c r="J20" s="18">
        <f t="shared" si="8"/>
        <v>-0.04817583333</v>
      </c>
      <c r="K20" s="18">
        <f t="shared" si="10"/>
        <v>87.42918667</v>
      </c>
      <c r="L20" s="4"/>
      <c r="M20" s="151"/>
      <c r="Q20" s="81"/>
      <c r="R20" s="4"/>
      <c r="S20" s="4"/>
      <c r="T20" s="4"/>
      <c r="U20" s="4"/>
      <c r="V20" s="4"/>
      <c r="W20" s="4"/>
      <c r="AB20" s="417"/>
      <c r="AC20" s="417"/>
    </row>
    <row r="21" ht="15.75" customHeight="1">
      <c r="A21" s="13">
        <f t="shared" si="9"/>
        <v>18</v>
      </c>
      <c r="B21" s="18">
        <f>A21/'Orbit Info'!$G$10</f>
        <v>0.190247745</v>
      </c>
      <c r="C21" s="13">
        <f t="shared" si="2"/>
        <v>0</v>
      </c>
      <c r="D21" s="13">
        <f t="shared" si="3"/>
        <v>0</v>
      </c>
      <c r="E21" s="13">
        <f t="shared" si="4"/>
        <v>0</v>
      </c>
      <c r="F21" s="13">
        <f t="shared" si="5"/>
        <v>1</v>
      </c>
      <c r="G21" s="13">
        <f t="shared" si="6"/>
        <v>1</v>
      </c>
      <c r="H21" s="13">
        <f>'Orbit Info'!C20*((C21*$O$2)+(D21*$O$3)+(E21*$O$4)+(F21*$O$5))</f>
        <v>2.856</v>
      </c>
      <c r="I21" s="13">
        <f t="shared" si="7"/>
        <v>5.74655</v>
      </c>
      <c r="J21" s="18">
        <f t="shared" si="8"/>
        <v>-0.04817583333</v>
      </c>
      <c r="K21" s="18">
        <f t="shared" si="10"/>
        <v>87.38101083</v>
      </c>
      <c r="L21" s="4"/>
      <c r="M21" s="151"/>
      <c r="Q21" s="81"/>
      <c r="R21" s="4"/>
      <c r="S21" s="4"/>
      <c r="T21" s="4"/>
      <c r="U21" s="4"/>
      <c r="V21" s="4"/>
      <c r="W21" s="4"/>
      <c r="AB21" s="417"/>
      <c r="AC21" s="417"/>
    </row>
    <row r="22" ht="15.75" customHeight="1">
      <c r="A22" s="13">
        <f t="shared" si="9"/>
        <v>19</v>
      </c>
      <c r="B22" s="18">
        <f>A22/'Orbit Info'!$G$10</f>
        <v>0.2008170642</v>
      </c>
      <c r="C22" s="13">
        <f t="shared" si="2"/>
        <v>0</v>
      </c>
      <c r="D22" s="13">
        <f t="shared" si="3"/>
        <v>0</v>
      </c>
      <c r="E22" s="13">
        <f t="shared" si="4"/>
        <v>0</v>
      </c>
      <c r="F22" s="13">
        <f t="shared" si="5"/>
        <v>1</v>
      </c>
      <c r="G22" s="13">
        <f t="shared" si="6"/>
        <v>1</v>
      </c>
      <c r="H22" s="13">
        <f>'Orbit Info'!C21*((C22*$O$2)+(D22*$O$3)+(E22*$O$4)+(F22*$O$5))</f>
        <v>2.856</v>
      </c>
      <c r="I22" s="13">
        <f t="shared" si="7"/>
        <v>5.74655</v>
      </c>
      <c r="J22" s="18">
        <f t="shared" si="8"/>
        <v>-0.04817583333</v>
      </c>
      <c r="K22" s="18">
        <f t="shared" si="10"/>
        <v>87.332835</v>
      </c>
      <c r="L22" s="4"/>
      <c r="M22" s="153"/>
      <c r="N22" s="86"/>
      <c r="O22" s="86"/>
      <c r="P22" s="86"/>
      <c r="Q22" s="88"/>
      <c r="R22" s="4"/>
      <c r="S22" s="4"/>
      <c r="T22" s="4"/>
      <c r="U22" s="4"/>
      <c r="V22" s="4"/>
      <c r="W22" s="4"/>
    </row>
    <row r="23" ht="15.75" customHeight="1">
      <c r="A23" s="13">
        <f t="shared" si="9"/>
        <v>20</v>
      </c>
      <c r="B23" s="18">
        <f>A23/'Orbit Info'!$G$10</f>
        <v>0.2113863833</v>
      </c>
      <c r="C23" s="13">
        <f t="shared" si="2"/>
        <v>0</v>
      </c>
      <c r="D23" s="13">
        <f t="shared" si="3"/>
        <v>0</v>
      </c>
      <c r="E23" s="13">
        <f t="shared" si="4"/>
        <v>0</v>
      </c>
      <c r="F23" s="13">
        <f t="shared" si="5"/>
        <v>1</v>
      </c>
      <c r="G23" s="13">
        <f t="shared" si="6"/>
        <v>1</v>
      </c>
      <c r="H23" s="13">
        <f>'Orbit Info'!C22*((C23*$O$2)+(D23*$O$3)+(E23*$O$4)+(F23*$O$5))</f>
        <v>2.856</v>
      </c>
      <c r="I23" s="13">
        <f t="shared" si="7"/>
        <v>5.74655</v>
      </c>
      <c r="J23" s="18">
        <f t="shared" si="8"/>
        <v>-0.04817583333</v>
      </c>
      <c r="K23" s="18">
        <f t="shared" si="10"/>
        <v>87.28465917</v>
      </c>
      <c r="L23" s="4"/>
      <c r="M23" s="417"/>
      <c r="N23" s="417"/>
      <c r="O23" s="417"/>
      <c r="P23" s="417"/>
      <c r="Q23" s="417"/>
      <c r="R23" s="4"/>
      <c r="S23" s="4"/>
      <c r="T23" s="4"/>
      <c r="U23" s="4"/>
      <c r="V23" s="4"/>
      <c r="W23" s="4"/>
    </row>
    <row r="24" ht="15.75" customHeight="1">
      <c r="A24" s="13">
        <f t="shared" si="9"/>
        <v>21</v>
      </c>
      <c r="B24" s="18">
        <f>A24/'Orbit Info'!$G$10</f>
        <v>0.2219557025</v>
      </c>
      <c r="C24" s="13">
        <f t="shared" si="2"/>
        <v>0</v>
      </c>
      <c r="D24" s="13">
        <f t="shared" si="3"/>
        <v>0</v>
      </c>
      <c r="E24" s="13">
        <f t="shared" si="4"/>
        <v>0</v>
      </c>
      <c r="F24" s="13">
        <f t="shared" si="5"/>
        <v>1</v>
      </c>
      <c r="G24" s="13">
        <f t="shared" si="6"/>
        <v>1</v>
      </c>
      <c r="H24" s="13">
        <f>'Orbit Info'!C23*((C24*$O$2)+(D24*$O$3)+(E24*$O$4)+(F24*$O$5))</f>
        <v>2.856</v>
      </c>
      <c r="I24" s="13">
        <f t="shared" si="7"/>
        <v>5.74655</v>
      </c>
      <c r="J24" s="18">
        <f t="shared" si="8"/>
        <v>-0.04817583333</v>
      </c>
      <c r="K24" s="18">
        <f t="shared" si="10"/>
        <v>87.23648333</v>
      </c>
      <c r="L24" s="4"/>
      <c r="M24" s="4"/>
      <c r="N24" s="4"/>
      <c r="O24" s="4"/>
      <c r="P24" s="4"/>
      <c r="Q24" s="4"/>
      <c r="R24" s="4"/>
      <c r="S24" s="4"/>
      <c r="T24" s="4"/>
      <c r="U24" s="4"/>
      <c r="V24" s="4"/>
      <c r="W24" s="4"/>
    </row>
    <row r="25" ht="15.75" customHeight="1">
      <c r="A25" s="13">
        <f t="shared" si="9"/>
        <v>22</v>
      </c>
      <c r="B25" s="18">
        <f>A25/'Orbit Info'!$G$10</f>
        <v>0.2325250216</v>
      </c>
      <c r="C25" s="13">
        <f t="shared" si="2"/>
        <v>0</v>
      </c>
      <c r="D25" s="13">
        <f t="shared" si="3"/>
        <v>0</v>
      </c>
      <c r="E25" s="13">
        <f t="shared" si="4"/>
        <v>0</v>
      </c>
      <c r="F25" s="13">
        <f t="shared" si="5"/>
        <v>1</v>
      </c>
      <c r="G25" s="13">
        <f t="shared" si="6"/>
        <v>1</v>
      </c>
      <c r="H25" s="13">
        <f>'Orbit Info'!C24*((C25*$O$2)+(D25*$O$3)+(E25*$O$4)+(F25*$O$5))</f>
        <v>2.856</v>
      </c>
      <c r="I25" s="13">
        <f t="shared" si="7"/>
        <v>5.74655</v>
      </c>
      <c r="J25" s="18">
        <f t="shared" si="8"/>
        <v>-0.04817583333</v>
      </c>
      <c r="K25" s="18">
        <f t="shared" si="10"/>
        <v>87.1883075</v>
      </c>
      <c r="L25" s="4"/>
      <c r="M25" s="4"/>
      <c r="N25" s="4"/>
      <c r="O25" s="4"/>
      <c r="P25" s="4"/>
      <c r="Q25" s="4"/>
      <c r="R25" s="4"/>
      <c r="S25" s="4"/>
      <c r="T25" s="4"/>
      <c r="U25" s="4"/>
      <c r="V25" s="4"/>
      <c r="W25" s="4"/>
      <c r="AA25" s="11" t="s">
        <v>13</v>
      </c>
    </row>
    <row r="26" ht="15.75" customHeight="1">
      <c r="A26" s="13">
        <f t="shared" si="9"/>
        <v>23</v>
      </c>
      <c r="B26" s="18">
        <f>A26/'Orbit Info'!$G$10</f>
        <v>0.2430943408</v>
      </c>
      <c r="C26" s="13">
        <f t="shared" si="2"/>
        <v>0</v>
      </c>
      <c r="D26" s="13">
        <f t="shared" si="3"/>
        <v>0</v>
      </c>
      <c r="E26" s="13">
        <f t="shared" si="4"/>
        <v>0</v>
      </c>
      <c r="F26" s="13">
        <f t="shared" si="5"/>
        <v>1</v>
      </c>
      <c r="G26" s="13">
        <f t="shared" si="6"/>
        <v>1</v>
      </c>
      <c r="H26" s="13">
        <f>'Orbit Info'!C25*((C26*$O$2)+(D26*$O$3)+(E26*$O$4)+(F26*$O$5))</f>
        <v>2.856</v>
      </c>
      <c r="I26" s="13">
        <f t="shared" si="7"/>
        <v>5.74655</v>
      </c>
      <c r="J26" s="18">
        <f t="shared" si="8"/>
        <v>-0.04817583333</v>
      </c>
      <c r="K26" s="18">
        <f t="shared" si="10"/>
        <v>87.14013167</v>
      </c>
      <c r="L26" s="4"/>
      <c r="M26" s="4"/>
      <c r="N26" s="4"/>
      <c r="O26" s="4"/>
      <c r="P26" s="4"/>
      <c r="Q26" s="4"/>
      <c r="R26" s="4"/>
      <c r="S26" s="4"/>
      <c r="T26" s="4"/>
      <c r="U26" s="4"/>
      <c r="V26" s="4"/>
      <c r="W26" s="4"/>
    </row>
    <row r="27" ht="15.75" customHeight="1">
      <c r="A27" s="13">
        <f t="shared" si="9"/>
        <v>24</v>
      </c>
      <c r="B27" s="18">
        <f>A27/'Orbit Info'!$G$10</f>
        <v>0.25366366</v>
      </c>
      <c r="C27" s="13">
        <f t="shared" si="2"/>
        <v>0</v>
      </c>
      <c r="D27" s="13">
        <f t="shared" si="3"/>
        <v>0</v>
      </c>
      <c r="E27" s="13">
        <f t="shared" si="4"/>
        <v>0</v>
      </c>
      <c r="F27" s="13">
        <f t="shared" si="5"/>
        <v>1</v>
      </c>
      <c r="G27" s="13">
        <f t="shared" si="6"/>
        <v>1</v>
      </c>
      <c r="H27" s="13">
        <f>'Orbit Info'!C26*((C27*$O$2)+(D27*$O$3)+(E27*$O$4)+(F27*$O$5))</f>
        <v>2.856</v>
      </c>
      <c r="I27" s="13">
        <f t="shared" si="7"/>
        <v>5.74655</v>
      </c>
      <c r="J27" s="18">
        <f t="shared" si="8"/>
        <v>-0.04817583333</v>
      </c>
      <c r="K27" s="18">
        <f t="shared" si="10"/>
        <v>87.09195583</v>
      </c>
      <c r="L27" s="4"/>
      <c r="M27" s="4"/>
      <c r="N27" s="4"/>
      <c r="O27" s="4"/>
      <c r="P27" s="4"/>
      <c r="Q27" s="4"/>
      <c r="R27" s="4"/>
      <c r="S27" s="4"/>
      <c r="T27" s="4"/>
      <c r="U27" s="4"/>
      <c r="V27" s="4"/>
      <c r="W27" s="4"/>
    </row>
    <row r="28" ht="15.75" customHeight="1">
      <c r="A28" s="13">
        <f t="shared" si="9"/>
        <v>25</v>
      </c>
      <c r="B28" s="18">
        <f>A28/'Orbit Info'!$G$10</f>
        <v>0.2642329791</v>
      </c>
      <c r="C28" s="13">
        <f t="shared" si="2"/>
        <v>0</v>
      </c>
      <c r="D28" s="13">
        <f t="shared" si="3"/>
        <v>0</v>
      </c>
      <c r="E28" s="13">
        <f t="shared" si="4"/>
        <v>0</v>
      </c>
      <c r="F28" s="13">
        <f t="shared" si="5"/>
        <v>1</v>
      </c>
      <c r="G28" s="13">
        <f t="shared" si="6"/>
        <v>1</v>
      </c>
      <c r="H28" s="13">
        <f>'Orbit Info'!C27*((C28*$O$2)+(D28*$O$3)+(E28*$O$4)+(F28*$O$5))</f>
        <v>2.856</v>
      </c>
      <c r="I28" s="13">
        <f t="shared" si="7"/>
        <v>5.74655</v>
      </c>
      <c r="J28" s="18">
        <f t="shared" si="8"/>
        <v>-0.04817583333</v>
      </c>
      <c r="K28" s="18">
        <f t="shared" si="10"/>
        <v>87.04378</v>
      </c>
      <c r="L28" s="4"/>
      <c r="M28" s="4"/>
      <c r="N28" s="4"/>
      <c r="O28" s="4"/>
      <c r="P28" s="4"/>
      <c r="Q28" s="4"/>
      <c r="R28" s="4"/>
      <c r="S28" s="4"/>
      <c r="T28" s="4"/>
      <c r="U28" s="4"/>
      <c r="V28" s="4"/>
      <c r="W28" s="4"/>
    </row>
    <row r="29" ht="15.75" customHeight="1">
      <c r="A29" s="13">
        <f t="shared" si="9"/>
        <v>26</v>
      </c>
      <c r="B29" s="18">
        <f>A29/'Orbit Info'!$G$10</f>
        <v>0.2748022983</v>
      </c>
      <c r="C29" s="13">
        <f t="shared" si="2"/>
        <v>0</v>
      </c>
      <c r="D29" s="13">
        <f t="shared" si="3"/>
        <v>0</v>
      </c>
      <c r="E29" s="13">
        <f t="shared" si="4"/>
        <v>0</v>
      </c>
      <c r="F29" s="13">
        <f t="shared" si="5"/>
        <v>1</v>
      </c>
      <c r="G29" s="13">
        <f t="shared" si="6"/>
        <v>1</v>
      </c>
      <c r="H29" s="13">
        <f>'Orbit Info'!C28*((C29*$O$2)+(D29*$O$3)+(E29*$O$4)+(F29*$O$5))</f>
        <v>2.856</v>
      </c>
      <c r="I29" s="13">
        <f t="shared" si="7"/>
        <v>5.74655</v>
      </c>
      <c r="J29" s="18">
        <f t="shared" si="8"/>
        <v>-0.04817583333</v>
      </c>
      <c r="K29" s="18">
        <f t="shared" si="10"/>
        <v>86.99560417</v>
      </c>
      <c r="L29" s="4"/>
      <c r="M29" s="4"/>
      <c r="N29" s="4"/>
      <c r="O29" s="4"/>
      <c r="P29" s="4"/>
      <c r="Q29" s="4"/>
      <c r="R29" s="4"/>
      <c r="S29" s="4"/>
      <c r="T29" s="4"/>
      <c r="U29" s="4"/>
      <c r="V29" s="4"/>
      <c r="W29" s="4"/>
    </row>
    <row r="30" ht="15.75" customHeight="1">
      <c r="A30" s="13">
        <f t="shared" si="9"/>
        <v>27</v>
      </c>
      <c r="B30" s="18">
        <f>A30/'Orbit Info'!$G$10</f>
        <v>0.2853716175</v>
      </c>
      <c r="C30" s="13">
        <f t="shared" si="2"/>
        <v>0</v>
      </c>
      <c r="D30" s="13">
        <f t="shared" si="3"/>
        <v>0</v>
      </c>
      <c r="E30" s="13">
        <f t="shared" si="4"/>
        <v>0</v>
      </c>
      <c r="F30" s="13">
        <f t="shared" si="5"/>
        <v>1</v>
      </c>
      <c r="G30" s="13">
        <f t="shared" si="6"/>
        <v>1</v>
      </c>
      <c r="H30" s="13">
        <f>'Orbit Info'!C29*((C30*$O$2)+(D30*$O$3)+(E30*$O$4)+(F30*$O$5))</f>
        <v>2.856</v>
      </c>
      <c r="I30" s="13">
        <f t="shared" si="7"/>
        <v>5.74655</v>
      </c>
      <c r="J30" s="18">
        <f t="shared" si="8"/>
        <v>-0.04817583333</v>
      </c>
      <c r="K30" s="18">
        <f t="shared" si="10"/>
        <v>86.94742833</v>
      </c>
      <c r="L30" s="4"/>
      <c r="M30" s="4"/>
      <c r="N30" s="4"/>
      <c r="O30" s="4"/>
      <c r="P30" s="4"/>
      <c r="Q30" s="4"/>
      <c r="R30" s="4"/>
      <c r="S30" s="4"/>
      <c r="T30" s="4"/>
      <c r="U30" s="4"/>
      <c r="V30" s="4"/>
      <c r="W30" s="4"/>
    </row>
    <row r="31" ht="15.75" customHeight="1">
      <c r="A31" s="13">
        <f t="shared" si="9"/>
        <v>28</v>
      </c>
      <c r="B31" s="18">
        <f>A31/'Orbit Info'!$G$10</f>
        <v>0.2959409366</v>
      </c>
      <c r="C31" s="13">
        <f t="shared" si="2"/>
        <v>0</v>
      </c>
      <c r="D31" s="13">
        <f t="shared" si="3"/>
        <v>0</v>
      </c>
      <c r="E31" s="13">
        <f t="shared" si="4"/>
        <v>0</v>
      </c>
      <c r="F31" s="13">
        <f t="shared" si="5"/>
        <v>1</v>
      </c>
      <c r="G31" s="13">
        <f t="shared" si="6"/>
        <v>1</v>
      </c>
      <c r="H31" s="13">
        <f>'Orbit Info'!C30*((C31*$O$2)+(D31*$O$3)+(E31*$O$4)+(F31*$O$5))</f>
        <v>2.856</v>
      </c>
      <c r="I31" s="13">
        <f t="shared" si="7"/>
        <v>5.74655</v>
      </c>
      <c r="J31" s="18">
        <f t="shared" si="8"/>
        <v>-0.04817583333</v>
      </c>
      <c r="K31" s="18">
        <f t="shared" si="10"/>
        <v>86.8992525</v>
      </c>
      <c r="L31" s="4"/>
      <c r="M31" s="4"/>
      <c r="N31" s="4"/>
      <c r="O31" s="4"/>
      <c r="P31" s="4"/>
      <c r="Q31" s="4"/>
      <c r="R31" s="4"/>
      <c r="S31" s="4"/>
      <c r="T31" s="4"/>
      <c r="U31" s="4"/>
      <c r="V31" s="4"/>
      <c r="W31" s="4"/>
    </row>
    <row r="32" ht="15.75" customHeight="1">
      <c r="A32" s="13">
        <f t="shared" si="9"/>
        <v>29</v>
      </c>
      <c r="B32" s="18">
        <f>A32/'Orbit Info'!$G$10</f>
        <v>0.3065102558</v>
      </c>
      <c r="C32" s="13">
        <f t="shared" si="2"/>
        <v>0</v>
      </c>
      <c r="D32" s="13">
        <f t="shared" si="3"/>
        <v>0</v>
      </c>
      <c r="E32" s="13">
        <f t="shared" si="4"/>
        <v>0</v>
      </c>
      <c r="F32" s="13">
        <f t="shared" si="5"/>
        <v>1</v>
      </c>
      <c r="G32" s="13">
        <f t="shared" si="6"/>
        <v>1</v>
      </c>
      <c r="H32" s="13">
        <f>'Orbit Info'!C31*((C32*$O$2)+(D32*$O$3)+(E32*$O$4)+(F32*$O$5))</f>
        <v>2.856</v>
      </c>
      <c r="I32" s="13">
        <f t="shared" si="7"/>
        <v>5.74655</v>
      </c>
      <c r="J32" s="18">
        <f t="shared" si="8"/>
        <v>-0.04817583333</v>
      </c>
      <c r="K32" s="18">
        <f t="shared" si="10"/>
        <v>86.85107667</v>
      </c>
      <c r="L32" s="4"/>
      <c r="M32" s="4"/>
      <c r="N32" s="4"/>
      <c r="O32" s="4"/>
      <c r="P32" s="4"/>
      <c r="Q32" s="4"/>
      <c r="R32" s="4"/>
      <c r="S32" s="4"/>
      <c r="T32" s="4"/>
      <c r="U32" s="4"/>
      <c r="V32" s="4"/>
      <c r="W32" s="4"/>
    </row>
    <row r="33" ht="15.75" customHeight="1">
      <c r="A33" s="13">
        <f t="shared" si="9"/>
        <v>30</v>
      </c>
      <c r="B33" s="18">
        <f>A33/'Orbit Info'!$G$10</f>
        <v>0.317079575</v>
      </c>
      <c r="C33" s="13">
        <f t="shared" si="2"/>
        <v>0</v>
      </c>
      <c r="D33" s="13">
        <f t="shared" si="3"/>
        <v>0</v>
      </c>
      <c r="E33" s="13">
        <f t="shared" si="4"/>
        <v>0</v>
      </c>
      <c r="F33" s="13">
        <f t="shared" si="5"/>
        <v>1</v>
      </c>
      <c r="G33" s="13">
        <f t="shared" si="6"/>
        <v>1</v>
      </c>
      <c r="H33" s="13">
        <f>'Orbit Info'!C32*((C33*$O$2)+(D33*$O$3)+(E33*$O$4)+(F33*$O$5))</f>
        <v>2.856</v>
      </c>
      <c r="I33" s="13">
        <f t="shared" si="7"/>
        <v>5.74655</v>
      </c>
      <c r="J33" s="18">
        <f t="shared" si="8"/>
        <v>-0.04817583333</v>
      </c>
      <c r="K33" s="18">
        <f t="shared" si="10"/>
        <v>86.80290083</v>
      </c>
      <c r="L33" s="4"/>
      <c r="M33" s="4"/>
      <c r="N33" s="4"/>
      <c r="O33" s="4"/>
      <c r="P33" s="4"/>
      <c r="Q33" s="4"/>
      <c r="R33" s="4"/>
      <c r="S33" s="4"/>
      <c r="T33" s="4"/>
      <c r="U33" s="4"/>
      <c r="V33" s="4"/>
      <c r="W33" s="4"/>
    </row>
    <row r="34" ht="15.75" customHeight="1">
      <c r="A34" s="13">
        <f t="shared" si="9"/>
        <v>31</v>
      </c>
      <c r="B34" s="18">
        <f>A34/'Orbit Info'!$G$10</f>
        <v>0.3276488941</v>
      </c>
      <c r="C34" s="13">
        <f t="shared" si="2"/>
        <v>0</v>
      </c>
      <c r="D34" s="13">
        <f t="shared" si="3"/>
        <v>0</v>
      </c>
      <c r="E34" s="13">
        <f t="shared" si="4"/>
        <v>0</v>
      </c>
      <c r="F34" s="13">
        <f t="shared" si="5"/>
        <v>1</v>
      </c>
      <c r="G34" s="13">
        <f t="shared" si="6"/>
        <v>1</v>
      </c>
      <c r="H34" s="13">
        <f>'Orbit Info'!C33*((C34*$O$2)+(D34*$O$3)+(E34*$O$4)+(F34*$O$5))</f>
        <v>2.856</v>
      </c>
      <c r="I34" s="13">
        <f t="shared" si="7"/>
        <v>5.74655</v>
      </c>
      <c r="J34" s="18">
        <f t="shared" si="8"/>
        <v>-0.04817583333</v>
      </c>
      <c r="K34" s="18">
        <f t="shared" si="10"/>
        <v>86.754725</v>
      </c>
      <c r="L34" s="4"/>
      <c r="M34" s="4"/>
      <c r="N34" s="4"/>
      <c r="O34" s="4"/>
      <c r="P34" s="4"/>
      <c r="Q34" s="4"/>
      <c r="R34" s="4"/>
      <c r="S34" s="4"/>
      <c r="T34" s="4"/>
      <c r="U34" s="4"/>
      <c r="V34" s="4"/>
      <c r="W34" s="4"/>
    </row>
    <row r="35" ht="15.75" customHeight="1">
      <c r="A35" s="13">
        <f t="shared" si="9"/>
        <v>32</v>
      </c>
      <c r="B35" s="18">
        <f>A35/'Orbit Info'!$G$10</f>
        <v>0.3382182133</v>
      </c>
      <c r="C35" s="13">
        <f t="shared" si="2"/>
        <v>0</v>
      </c>
      <c r="D35" s="13">
        <f t="shared" si="3"/>
        <v>0</v>
      </c>
      <c r="E35" s="13">
        <f t="shared" si="4"/>
        <v>0</v>
      </c>
      <c r="F35" s="13">
        <f t="shared" si="5"/>
        <v>1</v>
      </c>
      <c r="G35" s="13">
        <f t="shared" si="6"/>
        <v>1</v>
      </c>
      <c r="H35" s="13">
        <f>'Orbit Info'!C34*((C35*$O$2)+(D35*$O$3)+(E35*$O$4)+(F35*$O$5))</f>
        <v>2.856</v>
      </c>
      <c r="I35" s="13">
        <f t="shared" si="7"/>
        <v>5.74655</v>
      </c>
      <c r="J35" s="18">
        <f t="shared" si="8"/>
        <v>-0.04817583333</v>
      </c>
      <c r="K35" s="18">
        <f t="shared" si="10"/>
        <v>86.70654917</v>
      </c>
      <c r="L35" s="4"/>
      <c r="M35" s="4"/>
      <c r="N35" s="4"/>
      <c r="O35" s="4"/>
      <c r="P35" s="4"/>
      <c r="Q35" s="4"/>
      <c r="R35" s="4"/>
      <c r="S35" s="4"/>
      <c r="T35" s="4"/>
      <c r="U35" s="4"/>
      <c r="V35" s="4"/>
      <c r="W35" s="4"/>
    </row>
    <row r="36" ht="15.75" customHeight="1">
      <c r="A36" s="13">
        <f t="shared" si="9"/>
        <v>33</v>
      </c>
      <c r="B36" s="18">
        <f>A36/'Orbit Info'!$G$10</f>
        <v>0.3487875325</v>
      </c>
      <c r="C36" s="13">
        <f t="shared" si="2"/>
        <v>0</v>
      </c>
      <c r="D36" s="13">
        <f t="shared" si="3"/>
        <v>0</v>
      </c>
      <c r="E36" s="13">
        <f t="shared" si="4"/>
        <v>0</v>
      </c>
      <c r="F36" s="13">
        <f t="shared" si="5"/>
        <v>1</v>
      </c>
      <c r="G36" s="13">
        <f t="shared" si="6"/>
        <v>1</v>
      </c>
      <c r="H36" s="13">
        <f>'Orbit Info'!C35*((C36*$O$2)+(D36*$O$3)+(E36*$O$4)+(F36*$O$5))</f>
        <v>2.856</v>
      </c>
      <c r="I36" s="13">
        <f t="shared" si="7"/>
        <v>5.74655</v>
      </c>
      <c r="J36" s="18">
        <f t="shared" si="8"/>
        <v>-0.04817583333</v>
      </c>
      <c r="K36" s="18">
        <f t="shared" si="10"/>
        <v>86.65837333</v>
      </c>
      <c r="L36" s="4"/>
      <c r="M36" s="4"/>
      <c r="N36" s="4"/>
      <c r="O36" s="4"/>
      <c r="P36" s="4"/>
      <c r="Q36" s="4"/>
      <c r="R36" s="4"/>
      <c r="S36" s="4"/>
      <c r="T36" s="4"/>
      <c r="U36" s="4"/>
      <c r="V36" s="4"/>
      <c r="W36" s="4"/>
    </row>
    <row r="37" ht="15.75" customHeight="1">
      <c r="A37" s="13">
        <f t="shared" si="9"/>
        <v>34</v>
      </c>
      <c r="B37" s="18">
        <f>A37/'Orbit Info'!$G$10</f>
        <v>0.3593568516</v>
      </c>
      <c r="C37" s="13">
        <f t="shared" si="2"/>
        <v>0</v>
      </c>
      <c r="D37" s="13">
        <f t="shared" si="3"/>
        <v>0</v>
      </c>
      <c r="E37" s="13">
        <f t="shared" si="4"/>
        <v>0</v>
      </c>
      <c r="F37" s="13">
        <f t="shared" si="5"/>
        <v>1</v>
      </c>
      <c r="G37" s="13">
        <f t="shared" si="6"/>
        <v>1</v>
      </c>
      <c r="H37" s="13">
        <f>'Orbit Info'!C36*((C37*$O$2)+(D37*$O$3)+(E37*$O$4)+(F37*$O$5))</f>
        <v>2.856</v>
      </c>
      <c r="I37" s="13">
        <f t="shared" si="7"/>
        <v>5.74655</v>
      </c>
      <c r="J37" s="18">
        <f t="shared" si="8"/>
        <v>-0.04817583333</v>
      </c>
      <c r="K37" s="18">
        <f t="shared" si="10"/>
        <v>86.6101975</v>
      </c>
      <c r="L37" s="4"/>
      <c r="M37" s="4"/>
      <c r="N37" s="4"/>
      <c r="O37" s="4"/>
      <c r="P37" s="4"/>
      <c r="Q37" s="4"/>
      <c r="R37" s="4"/>
      <c r="S37" s="4"/>
      <c r="T37" s="4"/>
      <c r="U37" s="4"/>
      <c r="V37" s="4"/>
      <c r="W37" s="4"/>
    </row>
    <row r="38" ht="15.75" customHeight="1">
      <c r="A38" s="13">
        <f t="shared" si="9"/>
        <v>35</v>
      </c>
      <c r="B38" s="18">
        <f>A38/'Orbit Info'!$G$10</f>
        <v>0.3699261708</v>
      </c>
      <c r="C38" s="13">
        <f t="shared" si="2"/>
        <v>0</v>
      </c>
      <c r="D38" s="13">
        <f t="shared" si="3"/>
        <v>0</v>
      </c>
      <c r="E38" s="13">
        <f t="shared" si="4"/>
        <v>0</v>
      </c>
      <c r="F38" s="13">
        <f t="shared" si="5"/>
        <v>1</v>
      </c>
      <c r="G38" s="13">
        <f t="shared" si="6"/>
        <v>1</v>
      </c>
      <c r="H38" s="13">
        <f>'Orbit Info'!C37*((C38*$O$2)+(D38*$O$3)+(E38*$O$4)+(F38*$O$5))</f>
        <v>2.856</v>
      </c>
      <c r="I38" s="13">
        <f t="shared" si="7"/>
        <v>5.74655</v>
      </c>
      <c r="J38" s="18">
        <f t="shared" si="8"/>
        <v>-0.04817583333</v>
      </c>
      <c r="K38" s="18">
        <f t="shared" si="10"/>
        <v>86.56202167</v>
      </c>
      <c r="L38" s="4"/>
      <c r="M38" s="4"/>
      <c r="N38" s="4"/>
      <c r="O38" s="4"/>
      <c r="P38" s="4"/>
      <c r="Q38" s="4"/>
      <c r="R38" s="4"/>
      <c r="S38" s="4"/>
      <c r="T38" s="4"/>
      <c r="U38" s="4"/>
      <c r="V38" s="4"/>
      <c r="W38" s="4"/>
    </row>
    <row r="39" ht="15.75" customHeight="1">
      <c r="A39" s="13">
        <f t="shared" si="9"/>
        <v>36</v>
      </c>
      <c r="B39" s="18">
        <f>A39/'Orbit Info'!$G$10</f>
        <v>0.38049549</v>
      </c>
      <c r="C39" s="13">
        <f t="shared" si="2"/>
        <v>0</v>
      </c>
      <c r="D39" s="13">
        <f t="shared" si="3"/>
        <v>0</v>
      </c>
      <c r="E39" s="13">
        <f t="shared" si="4"/>
        <v>0</v>
      </c>
      <c r="F39" s="13">
        <f t="shared" si="5"/>
        <v>1</v>
      </c>
      <c r="G39" s="13">
        <f t="shared" si="6"/>
        <v>1</v>
      </c>
      <c r="H39" s="13">
        <f>'Orbit Info'!C38*((C39*$O$2)+(D39*$O$3)+(E39*$O$4)+(F39*$O$5))</f>
        <v>2.856</v>
      </c>
      <c r="I39" s="13">
        <f t="shared" si="7"/>
        <v>5.74655</v>
      </c>
      <c r="J39" s="18">
        <f t="shared" si="8"/>
        <v>-0.04817583333</v>
      </c>
      <c r="K39" s="18">
        <f t="shared" si="10"/>
        <v>86.51384583</v>
      </c>
      <c r="L39" s="4"/>
      <c r="M39" s="4"/>
      <c r="N39" s="4"/>
      <c r="O39" s="4"/>
      <c r="P39" s="4"/>
      <c r="Q39" s="4"/>
      <c r="R39" s="4"/>
      <c r="S39" s="4"/>
      <c r="T39" s="4"/>
      <c r="U39" s="4"/>
      <c r="V39" s="4"/>
      <c r="W39" s="4"/>
    </row>
    <row r="40" ht="15.75" customHeight="1">
      <c r="A40" s="13">
        <f t="shared" si="9"/>
        <v>37</v>
      </c>
      <c r="B40" s="18">
        <f>A40/'Orbit Info'!$G$10</f>
        <v>0.3910648091</v>
      </c>
      <c r="C40" s="13">
        <f t="shared" si="2"/>
        <v>0</v>
      </c>
      <c r="D40" s="13">
        <f t="shared" si="3"/>
        <v>0</v>
      </c>
      <c r="E40" s="13">
        <f t="shared" si="4"/>
        <v>0</v>
      </c>
      <c r="F40" s="13">
        <f t="shared" si="5"/>
        <v>1</v>
      </c>
      <c r="G40" s="13">
        <f t="shared" si="6"/>
        <v>1</v>
      </c>
      <c r="H40" s="13">
        <f>'Orbit Info'!C39*((C40*$O$2)+(D40*$O$3)+(E40*$O$4)+(F40*$O$5))</f>
        <v>2.856</v>
      </c>
      <c r="I40" s="13">
        <f t="shared" si="7"/>
        <v>5.74655</v>
      </c>
      <c r="J40" s="18">
        <f t="shared" si="8"/>
        <v>-0.04817583333</v>
      </c>
      <c r="K40" s="18">
        <f t="shared" si="10"/>
        <v>86.46567</v>
      </c>
      <c r="L40" s="4"/>
      <c r="M40" s="4"/>
      <c r="N40" s="4"/>
      <c r="O40" s="4"/>
      <c r="P40" s="4"/>
      <c r="Q40" s="4"/>
      <c r="R40" s="4"/>
      <c r="S40" s="4"/>
      <c r="T40" s="4"/>
      <c r="U40" s="4"/>
      <c r="V40" s="4"/>
      <c r="W40" s="4"/>
    </row>
    <row r="41" ht="15.75" customHeight="1">
      <c r="A41" s="13">
        <f t="shared" si="9"/>
        <v>38</v>
      </c>
      <c r="B41" s="18">
        <f>A41/'Orbit Info'!$G$10</f>
        <v>0.4016341283</v>
      </c>
      <c r="C41" s="13">
        <f t="shared" si="2"/>
        <v>0</v>
      </c>
      <c r="D41" s="13">
        <f t="shared" si="3"/>
        <v>0</v>
      </c>
      <c r="E41" s="13">
        <f t="shared" si="4"/>
        <v>0</v>
      </c>
      <c r="F41" s="13">
        <f t="shared" si="5"/>
        <v>1</v>
      </c>
      <c r="G41" s="13">
        <f t="shared" si="6"/>
        <v>1</v>
      </c>
      <c r="H41" s="13">
        <f>'Orbit Info'!C40*((C41*$O$2)+(D41*$O$3)+(E41*$O$4)+(F41*$O$5))</f>
        <v>2.856</v>
      </c>
      <c r="I41" s="13">
        <f t="shared" si="7"/>
        <v>5.74655</v>
      </c>
      <c r="J41" s="18">
        <f t="shared" si="8"/>
        <v>-0.04817583333</v>
      </c>
      <c r="K41" s="18">
        <f t="shared" si="10"/>
        <v>86.41749417</v>
      </c>
      <c r="L41" s="4"/>
      <c r="M41" s="4"/>
      <c r="N41" s="4"/>
      <c r="O41" s="4"/>
      <c r="P41" s="4"/>
      <c r="Q41" s="4"/>
      <c r="R41" s="4"/>
      <c r="S41" s="4"/>
      <c r="T41" s="4"/>
      <c r="U41" s="4"/>
      <c r="V41" s="4"/>
      <c r="W41" s="4"/>
    </row>
    <row r="42" ht="15.75" customHeight="1">
      <c r="A42" s="13">
        <f t="shared" si="9"/>
        <v>39</v>
      </c>
      <c r="B42" s="18">
        <f>A42/'Orbit Info'!$G$10</f>
        <v>0.4122034475</v>
      </c>
      <c r="C42" s="13">
        <f t="shared" si="2"/>
        <v>0</v>
      </c>
      <c r="D42" s="13">
        <f t="shared" si="3"/>
        <v>0</v>
      </c>
      <c r="E42" s="13">
        <f t="shared" si="4"/>
        <v>0</v>
      </c>
      <c r="F42" s="13">
        <f t="shared" si="5"/>
        <v>1</v>
      </c>
      <c r="G42" s="13">
        <f t="shared" si="6"/>
        <v>1</v>
      </c>
      <c r="H42" s="13">
        <f>'Orbit Info'!C41*((C42*$O$2)+(D42*$O$3)+(E42*$O$4)+(F42*$O$5))</f>
        <v>2.856</v>
      </c>
      <c r="I42" s="13">
        <f t="shared" si="7"/>
        <v>5.74655</v>
      </c>
      <c r="J42" s="18">
        <f t="shared" si="8"/>
        <v>-0.04817583333</v>
      </c>
      <c r="K42" s="18">
        <f t="shared" si="10"/>
        <v>86.36931833</v>
      </c>
      <c r="L42" s="4"/>
      <c r="M42" s="4"/>
      <c r="N42" s="4"/>
      <c r="O42" s="4"/>
      <c r="P42" s="4"/>
      <c r="Q42" s="4"/>
      <c r="R42" s="4"/>
      <c r="S42" s="4"/>
      <c r="T42" s="4"/>
      <c r="U42" s="4"/>
      <c r="V42" s="4"/>
      <c r="W42" s="4"/>
    </row>
    <row r="43" ht="15.75" customHeight="1">
      <c r="A43" s="13">
        <f t="shared" si="9"/>
        <v>40</v>
      </c>
      <c r="B43" s="18">
        <f>A43/'Orbit Info'!$G$10</f>
        <v>0.4227727666</v>
      </c>
      <c r="C43" s="13">
        <f t="shared" si="2"/>
        <v>0</v>
      </c>
      <c r="D43" s="13">
        <f t="shared" si="3"/>
        <v>0</v>
      </c>
      <c r="E43" s="13">
        <f t="shared" si="4"/>
        <v>0</v>
      </c>
      <c r="F43" s="13">
        <f t="shared" si="5"/>
        <v>1</v>
      </c>
      <c r="G43" s="13">
        <f t="shared" si="6"/>
        <v>1</v>
      </c>
      <c r="H43" s="13">
        <f>'Orbit Info'!C42*((C43*$O$2)+(D43*$O$3)+(E43*$O$4)+(F43*$O$5))</f>
        <v>2.856</v>
      </c>
      <c r="I43" s="13">
        <f t="shared" si="7"/>
        <v>5.74655</v>
      </c>
      <c r="J43" s="18">
        <f t="shared" si="8"/>
        <v>-0.04817583333</v>
      </c>
      <c r="K43" s="18">
        <f t="shared" si="10"/>
        <v>86.3211425</v>
      </c>
      <c r="L43" s="4"/>
      <c r="M43" s="4"/>
      <c r="N43" s="4"/>
      <c r="O43" s="4"/>
      <c r="P43" s="4"/>
      <c r="Q43" s="4"/>
      <c r="R43" s="4"/>
      <c r="S43" s="4"/>
      <c r="T43" s="4"/>
      <c r="U43" s="4"/>
      <c r="V43" s="4"/>
      <c r="W43" s="4"/>
    </row>
    <row r="44" ht="15.75" customHeight="1">
      <c r="A44" s="13">
        <f t="shared" si="9"/>
        <v>41</v>
      </c>
      <c r="B44" s="18">
        <f>A44/'Orbit Info'!$G$10</f>
        <v>0.4333420858</v>
      </c>
      <c r="C44" s="13">
        <f t="shared" si="2"/>
        <v>0</v>
      </c>
      <c r="D44" s="13">
        <f t="shared" si="3"/>
        <v>0</v>
      </c>
      <c r="E44" s="13">
        <f t="shared" si="4"/>
        <v>0</v>
      </c>
      <c r="F44" s="13">
        <f t="shared" si="5"/>
        <v>1</v>
      </c>
      <c r="G44" s="13">
        <f t="shared" si="6"/>
        <v>1</v>
      </c>
      <c r="H44" s="13">
        <f>'Orbit Info'!C43*((C44*$O$2)+(D44*$O$3)+(E44*$O$4)+(F44*$O$5))</f>
        <v>2.856</v>
      </c>
      <c r="I44" s="13">
        <f t="shared" si="7"/>
        <v>5.74655</v>
      </c>
      <c r="J44" s="18">
        <f t="shared" si="8"/>
        <v>-0.04817583333</v>
      </c>
      <c r="K44" s="18">
        <f t="shared" si="10"/>
        <v>86.27296667</v>
      </c>
      <c r="L44" s="4"/>
      <c r="M44" s="4"/>
      <c r="N44" s="4"/>
      <c r="O44" s="4"/>
      <c r="P44" s="4"/>
      <c r="Q44" s="4"/>
      <c r="R44" s="4"/>
      <c r="S44" s="4"/>
      <c r="T44" s="4"/>
      <c r="U44" s="4"/>
      <c r="V44" s="4"/>
      <c r="W44" s="4"/>
    </row>
    <row r="45" ht="15.75" customHeight="1">
      <c r="A45" s="13">
        <f t="shared" si="9"/>
        <v>42</v>
      </c>
      <c r="B45" s="18">
        <f>A45/'Orbit Info'!$G$10</f>
        <v>0.443911405</v>
      </c>
      <c r="C45" s="13">
        <f t="shared" si="2"/>
        <v>0</v>
      </c>
      <c r="D45" s="13">
        <f t="shared" si="3"/>
        <v>0</v>
      </c>
      <c r="E45" s="13">
        <f t="shared" si="4"/>
        <v>0</v>
      </c>
      <c r="F45" s="13">
        <f t="shared" si="5"/>
        <v>1</v>
      </c>
      <c r="G45" s="13">
        <f t="shared" si="6"/>
        <v>1</v>
      </c>
      <c r="H45" s="13">
        <f>'Orbit Info'!C44*((C45*$O$2)+(D45*$O$3)+(E45*$O$4)+(F45*$O$5))</f>
        <v>2.856</v>
      </c>
      <c r="I45" s="13">
        <f t="shared" si="7"/>
        <v>5.74655</v>
      </c>
      <c r="J45" s="18">
        <f t="shared" si="8"/>
        <v>-0.04817583333</v>
      </c>
      <c r="K45" s="18">
        <f t="shared" si="10"/>
        <v>86.22479083</v>
      </c>
      <c r="L45" s="4"/>
      <c r="M45" s="4"/>
      <c r="N45" s="4"/>
      <c r="O45" s="4"/>
      <c r="P45" s="4"/>
      <c r="Q45" s="4"/>
      <c r="R45" s="4"/>
      <c r="S45" s="4"/>
      <c r="T45" s="4"/>
      <c r="U45" s="4"/>
      <c r="V45" s="4"/>
      <c r="W45" s="4"/>
    </row>
    <row r="46" ht="15.75" customHeight="1">
      <c r="A46" s="13">
        <f t="shared" si="9"/>
        <v>43</v>
      </c>
      <c r="B46" s="18">
        <f>A46/'Orbit Info'!$G$10</f>
        <v>0.4544807241</v>
      </c>
      <c r="C46" s="13">
        <f t="shared" si="2"/>
        <v>0</v>
      </c>
      <c r="D46" s="13">
        <f t="shared" si="3"/>
        <v>0</v>
      </c>
      <c r="E46" s="13">
        <f t="shared" si="4"/>
        <v>0</v>
      </c>
      <c r="F46" s="13">
        <f t="shared" si="5"/>
        <v>1</v>
      </c>
      <c r="G46" s="13">
        <f t="shared" si="6"/>
        <v>1</v>
      </c>
      <c r="H46" s="13">
        <f>'Orbit Info'!C45*((C46*$O$2)+(D46*$O$3)+(E46*$O$4)+(F46*$O$5))</f>
        <v>2.856</v>
      </c>
      <c r="I46" s="13">
        <f t="shared" si="7"/>
        <v>5.74655</v>
      </c>
      <c r="J46" s="18">
        <f t="shared" si="8"/>
        <v>-0.04817583333</v>
      </c>
      <c r="K46" s="18">
        <f t="shared" si="10"/>
        <v>86.176615</v>
      </c>
      <c r="L46" s="4"/>
      <c r="M46" s="4"/>
      <c r="N46" s="4"/>
      <c r="O46" s="4"/>
      <c r="P46" s="4"/>
      <c r="Q46" s="4"/>
      <c r="R46" s="4"/>
      <c r="S46" s="4"/>
      <c r="T46" s="4"/>
      <c r="U46" s="4"/>
      <c r="V46" s="4"/>
      <c r="W46" s="4"/>
    </row>
    <row r="47" ht="15.75" customHeight="1">
      <c r="A47" s="13">
        <f t="shared" si="9"/>
        <v>44</v>
      </c>
      <c r="B47" s="18">
        <f>A47/'Orbit Info'!$G$10</f>
        <v>0.4650500433</v>
      </c>
      <c r="C47" s="13">
        <f t="shared" si="2"/>
        <v>0</v>
      </c>
      <c r="D47" s="13">
        <f t="shared" si="3"/>
        <v>0</v>
      </c>
      <c r="E47" s="13">
        <f t="shared" si="4"/>
        <v>0</v>
      </c>
      <c r="F47" s="13">
        <f t="shared" si="5"/>
        <v>1</v>
      </c>
      <c r="G47" s="13">
        <f t="shared" si="6"/>
        <v>1</v>
      </c>
      <c r="H47" s="13">
        <f>'Orbit Info'!C46*((C47*$O$2)+(D47*$O$3)+(E47*$O$4)+(F47*$O$5))</f>
        <v>2.856</v>
      </c>
      <c r="I47" s="13">
        <f t="shared" si="7"/>
        <v>5.74655</v>
      </c>
      <c r="J47" s="18">
        <f t="shared" si="8"/>
        <v>-0.04817583333</v>
      </c>
      <c r="K47" s="18">
        <f t="shared" si="10"/>
        <v>86.12843917</v>
      </c>
      <c r="L47" s="4"/>
      <c r="M47" s="4"/>
      <c r="N47" s="4"/>
      <c r="O47" s="4"/>
      <c r="P47" s="4"/>
      <c r="Q47" s="4"/>
      <c r="R47" s="4"/>
      <c r="S47" s="4"/>
      <c r="T47" s="4"/>
      <c r="U47" s="4"/>
      <c r="V47" s="4"/>
      <c r="W47" s="4"/>
    </row>
    <row r="48" ht="15.75" customHeight="1">
      <c r="A48" s="13">
        <f t="shared" si="9"/>
        <v>45</v>
      </c>
      <c r="B48" s="18">
        <f>A48/'Orbit Info'!$G$10</f>
        <v>0.4756193625</v>
      </c>
      <c r="C48" s="13">
        <f t="shared" si="2"/>
        <v>0</v>
      </c>
      <c r="D48" s="13">
        <f t="shared" si="3"/>
        <v>0</v>
      </c>
      <c r="E48" s="13">
        <f t="shared" si="4"/>
        <v>0</v>
      </c>
      <c r="F48" s="13">
        <f t="shared" si="5"/>
        <v>1</v>
      </c>
      <c r="G48" s="13">
        <f t="shared" si="6"/>
        <v>1</v>
      </c>
      <c r="H48" s="13">
        <f>'Orbit Info'!C47*((C48*$O$2)+(D48*$O$3)+(E48*$O$4)+(F48*$O$5))</f>
        <v>2.856</v>
      </c>
      <c r="I48" s="13">
        <f t="shared" si="7"/>
        <v>5.74655</v>
      </c>
      <c r="J48" s="18">
        <f t="shared" si="8"/>
        <v>-0.04817583333</v>
      </c>
      <c r="K48" s="18">
        <f t="shared" si="10"/>
        <v>86.08026333</v>
      </c>
      <c r="L48" s="4"/>
      <c r="M48" s="4"/>
      <c r="N48" s="4"/>
      <c r="O48" s="4"/>
      <c r="P48" s="4"/>
      <c r="Q48" s="4"/>
      <c r="R48" s="4"/>
      <c r="S48" s="4"/>
      <c r="T48" s="4"/>
      <c r="U48" s="4"/>
      <c r="V48" s="4"/>
      <c r="W48" s="4"/>
    </row>
    <row r="49" ht="15.75" customHeight="1">
      <c r="A49" s="13">
        <f t="shared" si="9"/>
        <v>46</v>
      </c>
      <c r="B49" s="18">
        <f>A49/'Orbit Info'!$G$10</f>
        <v>0.4861886816</v>
      </c>
      <c r="C49" s="13">
        <f t="shared" si="2"/>
        <v>0</v>
      </c>
      <c r="D49" s="13">
        <f t="shared" si="3"/>
        <v>0</v>
      </c>
      <c r="E49" s="13">
        <f t="shared" si="4"/>
        <v>0</v>
      </c>
      <c r="F49" s="13">
        <f t="shared" si="5"/>
        <v>1</v>
      </c>
      <c r="G49" s="13">
        <f t="shared" si="6"/>
        <v>1</v>
      </c>
      <c r="H49" s="13">
        <f>'Orbit Info'!C48*((C49*$O$2)+(D49*$O$3)+(E49*$O$4)+(F49*$O$5))</f>
        <v>2.856</v>
      </c>
      <c r="I49" s="13">
        <f t="shared" si="7"/>
        <v>5.74655</v>
      </c>
      <c r="J49" s="18">
        <f t="shared" si="8"/>
        <v>-0.04817583333</v>
      </c>
      <c r="K49" s="18">
        <f t="shared" si="10"/>
        <v>86.0320875</v>
      </c>
      <c r="L49" s="4"/>
      <c r="M49" s="4"/>
      <c r="N49" s="4"/>
      <c r="O49" s="4"/>
      <c r="P49" s="4"/>
      <c r="Q49" s="4"/>
      <c r="R49" s="4"/>
      <c r="S49" s="4"/>
      <c r="T49" s="4"/>
      <c r="U49" s="4"/>
      <c r="V49" s="4"/>
      <c r="W49" s="4"/>
    </row>
    <row r="50" ht="15.75" customHeight="1">
      <c r="A50" s="13">
        <f t="shared" si="9"/>
        <v>47</v>
      </c>
      <c r="B50" s="18">
        <f>A50/'Orbit Info'!$G$10</f>
        <v>0.4967580008</v>
      </c>
      <c r="C50" s="13">
        <f t="shared" si="2"/>
        <v>0</v>
      </c>
      <c r="D50" s="13">
        <f t="shared" si="3"/>
        <v>0</v>
      </c>
      <c r="E50" s="13">
        <f t="shared" si="4"/>
        <v>0</v>
      </c>
      <c r="F50" s="13">
        <f t="shared" si="5"/>
        <v>1</v>
      </c>
      <c r="G50" s="13">
        <f t="shared" si="6"/>
        <v>1</v>
      </c>
      <c r="H50" s="13">
        <f>'Orbit Info'!C49*((C50*$O$2)+(D50*$O$3)+(E50*$O$4)+(F50*$O$5))</f>
        <v>2.856</v>
      </c>
      <c r="I50" s="13">
        <f t="shared" si="7"/>
        <v>5.74655</v>
      </c>
      <c r="J50" s="18">
        <f t="shared" si="8"/>
        <v>-0.04817583333</v>
      </c>
      <c r="K50" s="18">
        <f t="shared" si="10"/>
        <v>85.98391167</v>
      </c>
      <c r="L50" s="4"/>
      <c r="M50" s="4"/>
      <c r="N50" s="4"/>
      <c r="O50" s="4"/>
      <c r="P50" s="4"/>
      <c r="Q50" s="4"/>
      <c r="R50" s="4"/>
      <c r="S50" s="4"/>
      <c r="T50" s="4"/>
      <c r="U50" s="4"/>
      <c r="V50" s="4"/>
      <c r="W50" s="4"/>
    </row>
    <row r="51" ht="15.75" customHeight="1">
      <c r="A51" s="13">
        <f t="shared" si="9"/>
        <v>48</v>
      </c>
      <c r="B51" s="18">
        <f>A51/'Orbit Info'!$G$10</f>
        <v>0.50732732</v>
      </c>
      <c r="C51" s="13">
        <f t="shared" si="2"/>
        <v>0</v>
      </c>
      <c r="D51" s="13">
        <f t="shared" si="3"/>
        <v>0</v>
      </c>
      <c r="E51" s="13">
        <f t="shared" si="4"/>
        <v>0</v>
      </c>
      <c r="F51" s="13">
        <f t="shared" si="5"/>
        <v>1</v>
      </c>
      <c r="G51" s="13">
        <f t="shared" si="6"/>
        <v>1</v>
      </c>
      <c r="H51" s="13">
        <f>'Orbit Info'!C50*((C51*$O$2)+(D51*$O$3)+(E51*$O$4)+(F51*$O$5))</f>
        <v>2.856</v>
      </c>
      <c r="I51" s="13">
        <f t="shared" si="7"/>
        <v>5.74655</v>
      </c>
      <c r="J51" s="18">
        <f t="shared" si="8"/>
        <v>-0.04817583333</v>
      </c>
      <c r="K51" s="18">
        <f t="shared" si="10"/>
        <v>85.93573583</v>
      </c>
      <c r="L51" s="4"/>
      <c r="M51" s="4"/>
      <c r="N51" s="4"/>
      <c r="O51" s="4"/>
      <c r="P51" s="4"/>
      <c r="Q51" s="4"/>
      <c r="R51" s="4"/>
      <c r="S51" s="4"/>
      <c r="T51" s="4"/>
      <c r="U51" s="4"/>
      <c r="V51" s="4"/>
      <c r="W51" s="4"/>
    </row>
    <row r="52" ht="15.75" customHeight="1">
      <c r="A52" s="13">
        <f t="shared" si="9"/>
        <v>49</v>
      </c>
      <c r="B52" s="18">
        <f>A52/'Orbit Info'!$G$10</f>
        <v>0.5178966391</v>
      </c>
      <c r="C52" s="13">
        <f t="shared" si="2"/>
        <v>0</v>
      </c>
      <c r="D52" s="13">
        <f t="shared" si="3"/>
        <v>0</v>
      </c>
      <c r="E52" s="13">
        <f t="shared" si="4"/>
        <v>0</v>
      </c>
      <c r="F52" s="13">
        <f t="shared" si="5"/>
        <v>1</v>
      </c>
      <c r="G52" s="13">
        <f t="shared" si="6"/>
        <v>1</v>
      </c>
      <c r="H52" s="13">
        <f>'Orbit Info'!C51*((C52*$O$2)+(D52*$O$3)+(E52*$O$4)+(F52*$O$5))</f>
        <v>2.856</v>
      </c>
      <c r="I52" s="13">
        <f t="shared" si="7"/>
        <v>5.74655</v>
      </c>
      <c r="J52" s="18">
        <f t="shared" si="8"/>
        <v>-0.04817583333</v>
      </c>
      <c r="K52" s="18">
        <f t="shared" si="10"/>
        <v>85.88756</v>
      </c>
      <c r="L52" s="4"/>
      <c r="M52" s="4"/>
      <c r="N52" s="4"/>
      <c r="O52" s="4"/>
      <c r="P52" s="4"/>
      <c r="Q52" s="4"/>
      <c r="R52" s="4"/>
      <c r="S52" s="4"/>
      <c r="T52" s="4"/>
      <c r="U52" s="4"/>
      <c r="V52" s="4"/>
      <c r="W52" s="4"/>
    </row>
    <row r="53" ht="15.75" customHeight="1">
      <c r="A53" s="13">
        <f t="shared" si="9"/>
        <v>50</v>
      </c>
      <c r="B53" s="18">
        <f>A53/'Orbit Info'!$G$10</f>
        <v>0.5284659583</v>
      </c>
      <c r="C53" s="13">
        <f t="shared" si="2"/>
        <v>0</v>
      </c>
      <c r="D53" s="13">
        <f t="shared" si="3"/>
        <v>0</v>
      </c>
      <c r="E53" s="13">
        <f t="shared" si="4"/>
        <v>0</v>
      </c>
      <c r="F53" s="13">
        <f t="shared" si="5"/>
        <v>1</v>
      </c>
      <c r="G53" s="13">
        <f t="shared" si="6"/>
        <v>1</v>
      </c>
      <c r="H53" s="13">
        <f>'Orbit Info'!C52*((C53*$O$2)+(D53*$O$3)+(E53*$O$4)+(F53*$O$5))</f>
        <v>2.856</v>
      </c>
      <c r="I53" s="13">
        <f t="shared" si="7"/>
        <v>5.74655</v>
      </c>
      <c r="J53" s="18">
        <f t="shared" si="8"/>
        <v>-0.04817583333</v>
      </c>
      <c r="K53" s="18">
        <f t="shared" si="10"/>
        <v>85.83938417</v>
      </c>
      <c r="L53" s="4"/>
      <c r="M53" s="4"/>
      <c r="N53" s="4"/>
      <c r="O53" s="4"/>
      <c r="P53" s="4"/>
      <c r="Q53" s="4"/>
      <c r="R53" s="4"/>
      <c r="S53" s="4"/>
      <c r="T53" s="4"/>
      <c r="U53" s="4"/>
      <c r="V53" s="4"/>
      <c r="W53" s="4"/>
    </row>
    <row r="54" ht="15.75" customHeight="1">
      <c r="A54" s="13">
        <f t="shared" si="9"/>
        <v>51</v>
      </c>
      <c r="B54" s="18">
        <f>A54/'Orbit Info'!$G$10</f>
        <v>0.5390352775</v>
      </c>
      <c r="C54" s="13">
        <f t="shared" si="2"/>
        <v>0</v>
      </c>
      <c r="D54" s="13">
        <f t="shared" si="3"/>
        <v>0</v>
      </c>
      <c r="E54" s="13">
        <f t="shared" si="4"/>
        <v>0</v>
      </c>
      <c r="F54" s="13">
        <f t="shared" si="5"/>
        <v>1</v>
      </c>
      <c r="G54" s="13">
        <f t="shared" si="6"/>
        <v>1</v>
      </c>
      <c r="H54" s="13">
        <f>'Orbit Info'!C53*((C54*$O$2)+(D54*$O$3)+(E54*$O$4)+(F54*$O$5))</f>
        <v>2.856</v>
      </c>
      <c r="I54" s="13">
        <f t="shared" si="7"/>
        <v>5.74655</v>
      </c>
      <c r="J54" s="18">
        <f t="shared" si="8"/>
        <v>-0.04817583333</v>
      </c>
      <c r="K54" s="18">
        <f t="shared" si="10"/>
        <v>85.79120833</v>
      </c>
      <c r="L54" s="4"/>
      <c r="M54" s="4"/>
      <c r="N54" s="4"/>
      <c r="O54" s="4"/>
      <c r="P54" s="4"/>
      <c r="Q54" s="4"/>
      <c r="R54" s="4"/>
      <c r="S54" s="4"/>
      <c r="T54" s="4"/>
      <c r="U54" s="4"/>
      <c r="V54" s="4"/>
      <c r="W54" s="4"/>
    </row>
    <row r="55" ht="15.75" customHeight="1">
      <c r="A55" s="13">
        <f t="shared" si="9"/>
        <v>52</v>
      </c>
      <c r="B55" s="18">
        <f>A55/'Orbit Info'!$G$10</f>
        <v>0.5496045966</v>
      </c>
      <c r="C55" s="13">
        <f t="shared" si="2"/>
        <v>0</v>
      </c>
      <c r="D55" s="13">
        <f t="shared" si="3"/>
        <v>0</v>
      </c>
      <c r="E55" s="13">
        <f t="shared" si="4"/>
        <v>0</v>
      </c>
      <c r="F55" s="13">
        <f t="shared" si="5"/>
        <v>1</v>
      </c>
      <c r="G55" s="13">
        <f t="shared" si="6"/>
        <v>1</v>
      </c>
      <c r="H55" s="13">
        <f>'Orbit Info'!C54*((C55*$O$2)+(D55*$O$3)+(E55*$O$4)+(F55*$O$5))</f>
        <v>2.856</v>
      </c>
      <c r="I55" s="13">
        <f t="shared" si="7"/>
        <v>5.74655</v>
      </c>
      <c r="J55" s="18">
        <f t="shared" si="8"/>
        <v>-0.04817583333</v>
      </c>
      <c r="K55" s="18">
        <f t="shared" si="10"/>
        <v>85.7430325</v>
      </c>
      <c r="L55" s="4"/>
      <c r="M55" s="4"/>
      <c r="N55" s="4"/>
      <c r="O55" s="4"/>
      <c r="P55" s="4"/>
      <c r="Q55" s="4"/>
      <c r="R55" s="4"/>
      <c r="S55" s="4"/>
      <c r="T55" s="4"/>
      <c r="U55" s="4"/>
      <c r="V55" s="4"/>
      <c r="W55" s="4"/>
    </row>
    <row r="56" ht="15.75" customHeight="1">
      <c r="A56" s="13">
        <f t="shared" si="9"/>
        <v>53</v>
      </c>
      <c r="B56" s="18">
        <f>A56/'Orbit Info'!$G$10</f>
        <v>0.5601739158</v>
      </c>
      <c r="C56" s="13">
        <f t="shared" si="2"/>
        <v>0</v>
      </c>
      <c r="D56" s="13">
        <f t="shared" si="3"/>
        <v>0</v>
      </c>
      <c r="E56" s="13">
        <f t="shared" si="4"/>
        <v>0</v>
      </c>
      <c r="F56" s="13">
        <f t="shared" si="5"/>
        <v>1</v>
      </c>
      <c r="G56" s="13">
        <f t="shared" si="6"/>
        <v>1</v>
      </c>
      <c r="H56" s="13">
        <f>'Orbit Info'!C55*((C56*$O$2)+(D56*$O$3)+(E56*$O$4)+(F56*$O$5))</f>
        <v>2.856</v>
      </c>
      <c r="I56" s="13">
        <f t="shared" si="7"/>
        <v>5.74655</v>
      </c>
      <c r="J56" s="18">
        <f t="shared" si="8"/>
        <v>-0.04817583333</v>
      </c>
      <c r="K56" s="18">
        <f t="shared" si="10"/>
        <v>85.69485667</v>
      </c>
      <c r="L56" s="4"/>
      <c r="M56" s="4"/>
      <c r="N56" s="4"/>
      <c r="O56" s="4"/>
      <c r="P56" s="4"/>
      <c r="Q56" s="4"/>
      <c r="R56" s="4"/>
      <c r="S56" s="4"/>
      <c r="T56" s="4"/>
      <c r="U56" s="4"/>
      <c r="V56" s="4"/>
      <c r="W56" s="4"/>
    </row>
    <row r="57" ht="15.75" customHeight="1">
      <c r="A57" s="13">
        <f t="shared" si="9"/>
        <v>54</v>
      </c>
      <c r="B57" s="18">
        <f>A57/'Orbit Info'!$G$10</f>
        <v>0.570743235</v>
      </c>
      <c r="C57" s="13">
        <f t="shared" si="2"/>
        <v>0</v>
      </c>
      <c r="D57" s="13">
        <f t="shared" si="3"/>
        <v>0</v>
      </c>
      <c r="E57" s="13">
        <f t="shared" si="4"/>
        <v>0</v>
      </c>
      <c r="F57" s="13">
        <f t="shared" si="5"/>
        <v>1</v>
      </c>
      <c r="G57" s="13">
        <f t="shared" si="6"/>
        <v>1</v>
      </c>
      <c r="H57" s="13">
        <f>'Orbit Info'!C56*((C57*$O$2)+(D57*$O$3)+(E57*$O$4)+(F57*$O$5))</f>
        <v>2.856</v>
      </c>
      <c r="I57" s="13">
        <f t="shared" si="7"/>
        <v>5.74655</v>
      </c>
      <c r="J57" s="18">
        <f t="shared" si="8"/>
        <v>-0.04817583333</v>
      </c>
      <c r="K57" s="18">
        <f t="shared" si="10"/>
        <v>85.64668083</v>
      </c>
      <c r="L57" s="4"/>
      <c r="M57" s="4"/>
      <c r="N57" s="4"/>
      <c r="O57" s="4"/>
      <c r="P57" s="4"/>
      <c r="Q57" s="4"/>
      <c r="R57" s="4"/>
      <c r="S57" s="4"/>
      <c r="T57" s="4"/>
      <c r="U57" s="4"/>
      <c r="V57" s="4"/>
      <c r="W57" s="4"/>
    </row>
    <row r="58" ht="15.75" customHeight="1">
      <c r="A58" s="13">
        <f t="shared" si="9"/>
        <v>55</v>
      </c>
      <c r="B58" s="18">
        <f>A58/'Orbit Info'!$G$10</f>
        <v>0.5813125541</v>
      </c>
      <c r="C58" s="13">
        <f t="shared" si="2"/>
        <v>0</v>
      </c>
      <c r="D58" s="13">
        <f t="shared" si="3"/>
        <v>0</v>
      </c>
      <c r="E58" s="13">
        <f t="shared" si="4"/>
        <v>0</v>
      </c>
      <c r="F58" s="13">
        <f t="shared" si="5"/>
        <v>1</v>
      </c>
      <c r="G58" s="13">
        <f t="shared" si="6"/>
        <v>1</v>
      </c>
      <c r="H58" s="13">
        <f>'Orbit Info'!C57*((C58*$O$2)+(D58*$O$3)+(E58*$O$4)+(F58*$O$5))</f>
        <v>2.856</v>
      </c>
      <c r="I58" s="13">
        <f t="shared" si="7"/>
        <v>5.74655</v>
      </c>
      <c r="J58" s="18">
        <f t="shared" si="8"/>
        <v>-0.04817583333</v>
      </c>
      <c r="K58" s="18">
        <f t="shared" si="10"/>
        <v>85.598505</v>
      </c>
      <c r="L58" s="4"/>
      <c r="M58" s="4"/>
      <c r="N58" s="4"/>
      <c r="O58" s="4"/>
      <c r="P58" s="4"/>
      <c r="Q58" s="4"/>
      <c r="R58" s="4"/>
      <c r="S58" s="4"/>
      <c r="T58" s="4"/>
      <c r="U58" s="4"/>
      <c r="V58" s="4"/>
      <c r="W58" s="4"/>
    </row>
    <row r="59" ht="15.75" customHeight="1">
      <c r="A59" s="13">
        <f t="shared" si="9"/>
        <v>56</v>
      </c>
      <c r="B59" s="18">
        <f>A59/'Orbit Info'!$G$10</f>
        <v>0.5918818733</v>
      </c>
      <c r="C59" s="13">
        <f t="shared" si="2"/>
        <v>0</v>
      </c>
      <c r="D59" s="13">
        <f t="shared" si="3"/>
        <v>0</v>
      </c>
      <c r="E59" s="13">
        <f t="shared" si="4"/>
        <v>0</v>
      </c>
      <c r="F59" s="13">
        <f t="shared" si="5"/>
        <v>1</v>
      </c>
      <c r="G59" s="13">
        <f t="shared" si="6"/>
        <v>1</v>
      </c>
      <c r="H59" s="13">
        <f>'Orbit Info'!C58*((C59*$O$2)+(D59*$O$3)+(E59*$O$4)+(F59*$O$5))</f>
        <v>2.856</v>
      </c>
      <c r="I59" s="13">
        <f t="shared" si="7"/>
        <v>5.74655</v>
      </c>
      <c r="J59" s="18">
        <f t="shared" si="8"/>
        <v>-0.04817583333</v>
      </c>
      <c r="K59" s="18">
        <f t="shared" si="10"/>
        <v>85.55032917</v>
      </c>
      <c r="L59" s="4"/>
      <c r="M59" s="4"/>
      <c r="N59" s="4"/>
      <c r="O59" s="4"/>
      <c r="P59" s="4"/>
      <c r="Q59" s="4"/>
      <c r="R59" s="4"/>
      <c r="S59" s="4"/>
      <c r="T59" s="4"/>
      <c r="U59" s="4"/>
      <c r="V59" s="4"/>
      <c r="W59" s="4"/>
    </row>
    <row r="60" ht="15.75" customHeight="1">
      <c r="A60" s="13">
        <f t="shared" si="9"/>
        <v>57</v>
      </c>
      <c r="B60" s="18">
        <f>A60/'Orbit Info'!$G$10</f>
        <v>0.6024511925</v>
      </c>
      <c r="C60" s="13">
        <f t="shared" si="2"/>
        <v>0</v>
      </c>
      <c r="D60" s="13">
        <f t="shared" si="3"/>
        <v>0</v>
      </c>
      <c r="E60" s="13">
        <f t="shared" si="4"/>
        <v>0</v>
      </c>
      <c r="F60" s="13">
        <f t="shared" si="5"/>
        <v>1</v>
      </c>
      <c r="G60" s="13">
        <f t="shared" si="6"/>
        <v>1</v>
      </c>
      <c r="H60" s="13">
        <f>'Orbit Info'!C59*((C60*$O$2)+(D60*$O$3)+(E60*$O$4)+(F60*$O$5))</f>
        <v>2.856</v>
      </c>
      <c r="I60" s="13">
        <f t="shared" si="7"/>
        <v>5.74655</v>
      </c>
      <c r="J60" s="18">
        <f t="shared" si="8"/>
        <v>-0.04817583333</v>
      </c>
      <c r="K60" s="18">
        <f t="shared" si="10"/>
        <v>85.50215333</v>
      </c>
      <c r="L60" s="4"/>
      <c r="M60" s="4"/>
      <c r="N60" s="4"/>
      <c r="O60" s="4"/>
      <c r="P60" s="4"/>
      <c r="Q60" s="4"/>
      <c r="R60" s="4"/>
      <c r="S60" s="4"/>
      <c r="T60" s="4"/>
      <c r="U60" s="4"/>
      <c r="V60" s="4"/>
      <c r="W60" s="4"/>
    </row>
    <row r="61" ht="15.75" customHeight="1">
      <c r="A61" s="13">
        <f t="shared" si="9"/>
        <v>58</v>
      </c>
      <c r="B61" s="18">
        <f>A61/'Orbit Info'!$G$10</f>
        <v>0.6130205116</v>
      </c>
      <c r="C61" s="13">
        <f t="shared" si="2"/>
        <v>0</v>
      </c>
      <c r="D61" s="13">
        <f t="shared" si="3"/>
        <v>0</v>
      </c>
      <c r="E61" s="13">
        <f t="shared" si="4"/>
        <v>0</v>
      </c>
      <c r="F61" s="13">
        <f t="shared" si="5"/>
        <v>1</v>
      </c>
      <c r="G61" s="13">
        <f t="shared" si="6"/>
        <v>1</v>
      </c>
      <c r="H61" s="13">
        <f>'Orbit Info'!C60*((C61*$O$2)+(D61*$O$3)+(E61*$O$4)+(F61*$O$5))</f>
        <v>2.856</v>
      </c>
      <c r="I61" s="13">
        <f t="shared" si="7"/>
        <v>5.74655</v>
      </c>
      <c r="J61" s="18">
        <f t="shared" si="8"/>
        <v>-0.04817583333</v>
      </c>
      <c r="K61" s="18">
        <f t="shared" si="10"/>
        <v>85.4539775</v>
      </c>
      <c r="L61" s="4"/>
      <c r="M61" s="4"/>
      <c r="N61" s="4"/>
      <c r="O61" s="4"/>
      <c r="P61" s="4"/>
      <c r="Q61" s="4"/>
      <c r="R61" s="4"/>
      <c r="S61" s="4"/>
      <c r="T61" s="4"/>
      <c r="U61" s="4"/>
      <c r="V61" s="4"/>
      <c r="W61" s="4"/>
    </row>
    <row r="62" ht="15.75" customHeight="1">
      <c r="A62" s="13">
        <f t="shared" si="9"/>
        <v>59</v>
      </c>
      <c r="B62" s="18">
        <f>A62/'Orbit Info'!$G$10</f>
        <v>0.6235898308</v>
      </c>
      <c r="C62" s="13">
        <f t="shared" si="2"/>
        <v>0</v>
      </c>
      <c r="D62" s="13">
        <f t="shared" si="3"/>
        <v>0</v>
      </c>
      <c r="E62" s="13">
        <f t="shared" si="4"/>
        <v>0</v>
      </c>
      <c r="F62" s="13">
        <f t="shared" si="5"/>
        <v>1</v>
      </c>
      <c r="G62" s="13">
        <f t="shared" si="6"/>
        <v>1</v>
      </c>
      <c r="H62" s="13">
        <f>'Orbit Info'!C61*((C62*$O$2)+(D62*$O$3)+(E62*$O$4)+(F62*$O$5))</f>
        <v>0</v>
      </c>
      <c r="I62" s="13">
        <f t="shared" si="7"/>
        <v>5.74655</v>
      </c>
      <c r="J62" s="18">
        <f t="shared" si="8"/>
        <v>-0.09577583333</v>
      </c>
      <c r="K62" s="18">
        <f t="shared" si="10"/>
        <v>85.35820167</v>
      </c>
      <c r="L62" s="4"/>
      <c r="M62" s="4"/>
      <c r="N62" s="4"/>
      <c r="O62" s="4"/>
      <c r="P62" s="4"/>
      <c r="Q62" s="4"/>
      <c r="R62" s="4"/>
      <c r="S62" s="4"/>
      <c r="T62" s="4"/>
      <c r="U62" s="4"/>
      <c r="V62" s="4"/>
      <c r="W62" s="4"/>
    </row>
    <row r="63" ht="15.75" customHeight="1">
      <c r="A63" s="13">
        <f t="shared" si="9"/>
        <v>60</v>
      </c>
      <c r="B63" s="18">
        <f>A63/'Orbit Info'!$G$10</f>
        <v>0.63415915</v>
      </c>
      <c r="C63" s="13">
        <f t="shared" si="2"/>
        <v>0</v>
      </c>
      <c r="D63" s="13">
        <f t="shared" si="3"/>
        <v>0</v>
      </c>
      <c r="E63" s="13">
        <f t="shared" si="4"/>
        <v>0</v>
      </c>
      <c r="F63" s="13">
        <f t="shared" si="5"/>
        <v>1</v>
      </c>
      <c r="G63" s="13">
        <f t="shared" si="6"/>
        <v>1</v>
      </c>
      <c r="H63" s="13">
        <f>'Orbit Info'!C62*((C63*$O$2)+(D63*$O$3)+(E63*$O$4)+(F63*$O$5))</f>
        <v>0</v>
      </c>
      <c r="I63" s="13">
        <f t="shared" si="7"/>
        <v>5.74655</v>
      </c>
      <c r="J63" s="18">
        <f t="shared" si="8"/>
        <v>-0.09577583333</v>
      </c>
      <c r="K63" s="18">
        <f t="shared" si="10"/>
        <v>85.26242583</v>
      </c>
      <c r="L63" s="4"/>
      <c r="M63" s="4"/>
      <c r="N63" s="4"/>
      <c r="O63" s="4"/>
      <c r="P63" s="4"/>
      <c r="Q63" s="4"/>
      <c r="R63" s="4"/>
      <c r="S63" s="4"/>
      <c r="T63" s="4"/>
      <c r="U63" s="4"/>
      <c r="V63" s="4"/>
      <c r="W63" s="4"/>
    </row>
    <row r="64" ht="15.75" customHeight="1">
      <c r="A64" s="13">
        <f t="shared" si="9"/>
        <v>61</v>
      </c>
      <c r="B64" s="18">
        <f>A64/'Orbit Info'!$G$10</f>
        <v>0.6447284691</v>
      </c>
      <c r="C64" s="13">
        <f t="shared" si="2"/>
        <v>0</v>
      </c>
      <c r="D64" s="13">
        <f t="shared" si="3"/>
        <v>0</v>
      </c>
      <c r="E64" s="13">
        <f t="shared" si="4"/>
        <v>0</v>
      </c>
      <c r="F64" s="13">
        <f t="shared" si="5"/>
        <v>1</v>
      </c>
      <c r="G64" s="13">
        <f t="shared" si="6"/>
        <v>1</v>
      </c>
      <c r="H64" s="13">
        <f>'Orbit Info'!C63*((C64*$O$2)+(D64*$O$3)+(E64*$O$4)+(F64*$O$5))</f>
        <v>0</v>
      </c>
      <c r="I64" s="13">
        <f t="shared" si="7"/>
        <v>5.74655</v>
      </c>
      <c r="J64" s="18">
        <f t="shared" si="8"/>
        <v>-0.09577583333</v>
      </c>
      <c r="K64" s="18">
        <f t="shared" si="10"/>
        <v>85.16665</v>
      </c>
      <c r="L64" s="4"/>
      <c r="M64" s="4"/>
      <c r="N64" s="4"/>
      <c r="O64" s="4"/>
      <c r="P64" s="4"/>
      <c r="Q64" s="4"/>
      <c r="R64" s="4"/>
      <c r="S64" s="4"/>
      <c r="T64" s="4"/>
      <c r="U64" s="4"/>
      <c r="V64" s="4"/>
      <c r="W64" s="4"/>
    </row>
    <row r="65" ht="15.75" customHeight="1">
      <c r="A65" s="13">
        <f t="shared" si="9"/>
        <v>62</v>
      </c>
      <c r="B65" s="18">
        <f>A65/'Orbit Info'!$G$10</f>
        <v>0.6552977883</v>
      </c>
      <c r="C65" s="13">
        <f t="shared" si="2"/>
        <v>0</v>
      </c>
      <c r="D65" s="13">
        <f t="shared" si="3"/>
        <v>0</v>
      </c>
      <c r="E65" s="13">
        <f t="shared" si="4"/>
        <v>0</v>
      </c>
      <c r="F65" s="13">
        <f t="shared" si="5"/>
        <v>1</v>
      </c>
      <c r="G65" s="13">
        <f t="shared" si="6"/>
        <v>1</v>
      </c>
      <c r="H65" s="13">
        <f>'Orbit Info'!C64*((C65*$O$2)+(D65*$O$3)+(E65*$O$4)+(F65*$O$5))</f>
        <v>0</v>
      </c>
      <c r="I65" s="13">
        <f t="shared" si="7"/>
        <v>5.74655</v>
      </c>
      <c r="J65" s="18">
        <f t="shared" si="8"/>
        <v>-0.09577583333</v>
      </c>
      <c r="K65" s="18">
        <f t="shared" si="10"/>
        <v>85.07087417</v>
      </c>
      <c r="L65" s="4"/>
      <c r="M65" s="4"/>
      <c r="N65" s="4"/>
      <c r="O65" s="4"/>
      <c r="P65" s="4"/>
      <c r="Q65" s="4"/>
      <c r="R65" s="4"/>
      <c r="S65" s="4"/>
      <c r="T65" s="4"/>
      <c r="U65" s="4"/>
      <c r="V65" s="4"/>
      <c r="W65" s="4"/>
    </row>
    <row r="66" ht="15.75" customHeight="1">
      <c r="A66" s="13">
        <f t="shared" si="9"/>
        <v>63</v>
      </c>
      <c r="B66" s="18">
        <f>A66/'Orbit Info'!$G$10</f>
        <v>0.6658671075</v>
      </c>
      <c r="C66" s="13">
        <f t="shared" si="2"/>
        <v>0</v>
      </c>
      <c r="D66" s="13">
        <f t="shared" si="3"/>
        <v>0</v>
      </c>
      <c r="E66" s="13">
        <f t="shared" si="4"/>
        <v>0</v>
      </c>
      <c r="F66" s="13">
        <f t="shared" si="5"/>
        <v>1</v>
      </c>
      <c r="G66" s="13">
        <f t="shared" si="6"/>
        <v>1</v>
      </c>
      <c r="H66" s="13">
        <f>'Orbit Info'!C65*((C66*$O$2)+(D66*$O$3)+(E66*$O$4)+(F66*$O$5))</f>
        <v>0</v>
      </c>
      <c r="I66" s="13">
        <f t="shared" si="7"/>
        <v>5.74655</v>
      </c>
      <c r="J66" s="18">
        <f t="shared" si="8"/>
        <v>-0.09577583333</v>
      </c>
      <c r="K66" s="18">
        <f t="shared" si="10"/>
        <v>84.97509833</v>
      </c>
      <c r="L66" s="4"/>
      <c r="M66" s="4"/>
      <c r="N66" s="4"/>
      <c r="O66" s="4"/>
      <c r="P66" s="4"/>
      <c r="Q66" s="4"/>
      <c r="R66" s="4"/>
      <c r="S66" s="4"/>
      <c r="T66" s="4"/>
      <c r="U66" s="4"/>
      <c r="V66" s="4"/>
      <c r="W66" s="4"/>
    </row>
    <row r="67" ht="15.75" customHeight="1">
      <c r="A67" s="13">
        <f t="shared" si="9"/>
        <v>64</v>
      </c>
      <c r="B67" s="18">
        <f>A67/'Orbit Info'!$G$10</f>
        <v>0.6764364266</v>
      </c>
      <c r="C67" s="13">
        <f t="shared" si="2"/>
        <v>0</v>
      </c>
      <c r="D67" s="13">
        <f t="shared" si="3"/>
        <v>0</v>
      </c>
      <c r="E67" s="13">
        <f t="shared" si="4"/>
        <v>0</v>
      </c>
      <c r="F67" s="13">
        <f t="shared" si="5"/>
        <v>1</v>
      </c>
      <c r="G67" s="13">
        <f t="shared" si="6"/>
        <v>1</v>
      </c>
      <c r="H67" s="13">
        <f>'Orbit Info'!C66*((C67*$O$2)+(D67*$O$3)+(E67*$O$4)+(F67*$O$5))</f>
        <v>0</v>
      </c>
      <c r="I67" s="13">
        <f t="shared" si="7"/>
        <v>5.74655</v>
      </c>
      <c r="J67" s="18">
        <f t="shared" si="8"/>
        <v>-0.09577583333</v>
      </c>
      <c r="K67" s="18">
        <f t="shared" si="10"/>
        <v>84.8793225</v>
      </c>
      <c r="L67" s="4"/>
      <c r="M67" s="4"/>
      <c r="N67" s="4"/>
      <c r="O67" s="4"/>
      <c r="P67" s="4"/>
      <c r="Q67" s="4"/>
      <c r="R67" s="4"/>
      <c r="S67" s="4"/>
      <c r="T67" s="4"/>
      <c r="U67" s="4"/>
      <c r="V67" s="4"/>
      <c r="W67" s="4"/>
    </row>
    <row r="68" ht="15.75" customHeight="1">
      <c r="A68" s="13">
        <f t="shared" si="9"/>
        <v>65</v>
      </c>
      <c r="B68" s="18">
        <f>A68/'Orbit Info'!$G$10</f>
        <v>0.6870057458</v>
      </c>
      <c r="C68" s="13">
        <f t="shared" si="2"/>
        <v>0</v>
      </c>
      <c r="D68" s="13">
        <f t="shared" si="3"/>
        <v>0</v>
      </c>
      <c r="E68" s="13">
        <f t="shared" si="4"/>
        <v>0</v>
      </c>
      <c r="F68" s="13">
        <f t="shared" si="5"/>
        <v>1</v>
      </c>
      <c r="G68" s="13">
        <f t="shared" si="6"/>
        <v>1</v>
      </c>
      <c r="H68" s="13">
        <f>'Orbit Info'!C67*((C68*$O$2)+(D68*$O$3)+(E68*$O$4)+(F68*$O$5))</f>
        <v>0</v>
      </c>
      <c r="I68" s="13">
        <f t="shared" si="7"/>
        <v>5.74655</v>
      </c>
      <c r="J68" s="18">
        <f t="shared" si="8"/>
        <v>-0.09577583333</v>
      </c>
      <c r="K68" s="18">
        <f t="shared" si="10"/>
        <v>84.78354667</v>
      </c>
      <c r="L68" s="4"/>
      <c r="M68" s="4"/>
      <c r="N68" s="4"/>
      <c r="O68" s="4"/>
      <c r="P68" s="4"/>
      <c r="Q68" s="4"/>
      <c r="R68" s="4"/>
      <c r="S68" s="4"/>
      <c r="T68" s="4"/>
      <c r="U68" s="4"/>
      <c r="V68" s="4"/>
      <c r="W68" s="4"/>
    </row>
    <row r="69" ht="15.75" customHeight="1">
      <c r="A69" s="13">
        <f t="shared" si="9"/>
        <v>66</v>
      </c>
      <c r="B69" s="18">
        <f>A69/'Orbit Info'!$G$10</f>
        <v>0.6975750649</v>
      </c>
      <c r="C69" s="13">
        <f t="shared" si="2"/>
        <v>0</v>
      </c>
      <c r="D69" s="13">
        <f t="shared" si="3"/>
        <v>0</v>
      </c>
      <c r="E69" s="13">
        <f t="shared" si="4"/>
        <v>0</v>
      </c>
      <c r="F69" s="13">
        <f t="shared" si="5"/>
        <v>1</v>
      </c>
      <c r="G69" s="13">
        <f t="shared" si="6"/>
        <v>1</v>
      </c>
      <c r="H69" s="13">
        <f>'Orbit Info'!C68*((C69*$O$2)+(D69*$O$3)+(E69*$O$4)+(F69*$O$5))</f>
        <v>0</v>
      </c>
      <c r="I69" s="13">
        <f t="shared" si="7"/>
        <v>5.74655</v>
      </c>
      <c r="J69" s="18">
        <f t="shared" si="8"/>
        <v>-0.09577583333</v>
      </c>
      <c r="K69" s="18">
        <f t="shared" si="10"/>
        <v>84.68777083</v>
      </c>
      <c r="L69" s="4"/>
      <c r="M69" s="4"/>
      <c r="N69" s="4"/>
      <c r="O69" s="4"/>
      <c r="P69" s="4"/>
      <c r="Q69" s="4"/>
      <c r="R69" s="4"/>
      <c r="S69" s="4"/>
      <c r="T69" s="4"/>
      <c r="U69" s="4"/>
      <c r="V69" s="4"/>
      <c r="W69" s="4"/>
    </row>
    <row r="70" ht="15.75" customHeight="1">
      <c r="A70" s="13">
        <f t="shared" si="9"/>
        <v>67</v>
      </c>
      <c r="B70" s="18">
        <f>A70/'Orbit Info'!$G$10</f>
        <v>0.7081443841</v>
      </c>
      <c r="C70" s="13">
        <f t="shared" si="2"/>
        <v>0</v>
      </c>
      <c r="D70" s="13">
        <f t="shared" si="3"/>
        <v>0</v>
      </c>
      <c r="E70" s="13">
        <f t="shared" si="4"/>
        <v>0</v>
      </c>
      <c r="F70" s="13">
        <f t="shared" si="5"/>
        <v>1</v>
      </c>
      <c r="G70" s="13">
        <f t="shared" si="6"/>
        <v>1</v>
      </c>
      <c r="H70" s="13">
        <f>'Orbit Info'!C69*((C70*$O$2)+(D70*$O$3)+(E70*$O$4)+(F70*$O$5))</f>
        <v>0</v>
      </c>
      <c r="I70" s="13">
        <f t="shared" si="7"/>
        <v>5.74655</v>
      </c>
      <c r="J70" s="18">
        <f t="shared" si="8"/>
        <v>-0.09577583333</v>
      </c>
      <c r="K70" s="18">
        <f t="shared" si="10"/>
        <v>84.591995</v>
      </c>
      <c r="L70" s="4"/>
      <c r="M70" s="4"/>
      <c r="N70" s="4"/>
      <c r="O70" s="4"/>
      <c r="P70" s="4"/>
      <c r="Q70" s="4"/>
      <c r="R70" s="4"/>
      <c r="S70" s="4"/>
      <c r="T70" s="4"/>
      <c r="U70" s="4"/>
      <c r="V70" s="4"/>
      <c r="W70" s="4"/>
    </row>
    <row r="71" ht="15.75" customHeight="1">
      <c r="A71" s="13">
        <f t="shared" si="9"/>
        <v>68</v>
      </c>
      <c r="B71" s="18">
        <f>A71/'Orbit Info'!$G$10</f>
        <v>0.7187137033</v>
      </c>
      <c r="C71" s="13">
        <f t="shared" si="2"/>
        <v>0</v>
      </c>
      <c r="D71" s="13">
        <f t="shared" si="3"/>
        <v>0</v>
      </c>
      <c r="E71" s="13">
        <f t="shared" si="4"/>
        <v>0</v>
      </c>
      <c r="F71" s="13">
        <f t="shared" si="5"/>
        <v>1</v>
      </c>
      <c r="G71" s="13">
        <f t="shared" si="6"/>
        <v>1</v>
      </c>
      <c r="H71" s="13">
        <f>'Orbit Info'!C70*((C71*$O$2)+(D71*$O$3)+(E71*$O$4)+(F71*$O$5))</f>
        <v>0</v>
      </c>
      <c r="I71" s="13">
        <f t="shared" si="7"/>
        <v>5.74655</v>
      </c>
      <c r="J71" s="18">
        <f t="shared" si="8"/>
        <v>-0.09577583333</v>
      </c>
      <c r="K71" s="18">
        <f t="shared" si="10"/>
        <v>84.49621917</v>
      </c>
      <c r="L71" s="4"/>
      <c r="M71" s="4"/>
      <c r="N71" s="4"/>
      <c r="O71" s="4"/>
      <c r="P71" s="4"/>
      <c r="Q71" s="4"/>
      <c r="R71" s="4"/>
      <c r="S71" s="4"/>
      <c r="T71" s="4"/>
      <c r="U71" s="4"/>
      <c r="V71" s="4"/>
      <c r="W71" s="4"/>
    </row>
    <row r="72" ht="15.75" customHeight="1">
      <c r="A72" s="13">
        <f t="shared" si="9"/>
        <v>69</v>
      </c>
      <c r="B72" s="18">
        <f>A72/'Orbit Info'!$G$10</f>
        <v>0.7292830224</v>
      </c>
      <c r="C72" s="13">
        <f t="shared" si="2"/>
        <v>0</v>
      </c>
      <c r="D72" s="13">
        <f t="shared" si="3"/>
        <v>0</v>
      </c>
      <c r="E72" s="13">
        <f t="shared" si="4"/>
        <v>0</v>
      </c>
      <c r="F72" s="13">
        <f t="shared" si="5"/>
        <v>1</v>
      </c>
      <c r="G72" s="13">
        <f t="shared" si="6"/>
        <v>1</v>
      </c>
      <c r="H72" s="13">
        <f>'Orbit Info'!C71*((C72*$O$2)+(D72*$O$3)+(E72*$O$4)+(F72*$O$5))</f>
        <v>0</v>
      </c>
      <c r="I72" s="13">
        <f t="shared" si="7"/>
        <v>5.74655</v>
      </c>
      <c r="J72" s="18">
        <f t="shared" si="8"/>
        <v>-0.09577583333</v>
      </c>
      <c r="K72" s="18">
        <f t="shared" si="10"/>
        <v>84.40044333</v>
      </c>
      <c r="L72" s="4"/>
      <c r="M72" s="639"/>
      <c r="N72" s="4"/>
      <c r="O72" s="4"/>
      <c r="P72" s="4"/>
      <c r="Q72" s="4"/>
      <c r="R72" s="4"/>
      <c r="S72" s="4"/>
      <c r="T72" s="4"/>
      <c r="U72" s="4"/>
      <c r="V72" s="4"/>
      <c r="W72" s="4"/>
    </row>
    <row r="73" ht="15.75" customHeight="1">
      <c r="A73" s="13">
        <f t="shared" si="9"/>
        <v>70</v>
      </c>
      <c r="B73" s="18">
        <f>A73/'Orbit Info'!$G$10</f>
        <v>0.7398523416</v>
      </c>
      <c r="C73" s="13">
        <f t="shared" si="2"/>
        <v>0</v>
      </c>
      <c r="D73" s="13">
        <f t="shared" si="3"/>
        <v>0</v>
      </c>
      <c r="E73" s="13">
        <f t="shared" si="4"/>
        <v>0</v>
      </c>
      <c r="F73" s="13">
        <f t="shared" si="5"/>
        <v>1</v>
      </c>
      <c r="G73" s="13">
        <f t="shared" si="6"/>
        <v>1</v>
      </c>
      <c r="H73" s="13">
        <f>'Orbit Info'!C72*((C73*$O$2)+(D73*$O$3)+(E73*$O$4)+(F73*$O$5))</f>
        <v>0</v>
      </c>
      <c r="I73" s="13">
        <f t="shared" si="7"/>
        <v>5.74655</v>
      </c>
      <c r="J73" s="18">
        <f t="shared" si="8"/>
        <v>-0.09577583333</v>
      </c>
      <c r="K73" s="18">
        <f t="shared" si="10"/>
        <v>84.3046675</v>
      </c>
      <c r="L73" s="4"/>
      <c r="M73" s="639"/>
      <c r="N73" s="4"/>
      <c r="O73" s="4"/>
      <c r="P73" s="4"/>
      <c r="Q73" s="4"/>
      <c r="R73" s="4"/>
      <c r="S73" s="4"/>
      <c r="T73" s="4"/>
      <c r="U73" s="4"/>
      <c r="V73" s="4"/>
      <c r="W73" s="4"/>
    </row>
    <row r="74" ht="15.75" customHeight="1">
      <c r="A74" s="13">
        <f t="shared" si="9"/>
        <v>71</v>
      </c>
      <c r="B74" s="18">
        <f>A74/'Orbit Info'!$G$10</f>
        <v>0.7504216608</v>
      </c>
      <c r="C74" s="13">
        <f t="shared" si="2"/>
        <v>0</v>
      </c>
      <c r="D74" s="13">
        <f t="shared" si="3"/>
        <v>0</v>
      </c>
      <c r="E74" s="13">
        <f t="shared" si="4"/>
        <v>0</v>
      </c>
      <c r="F74" s="13">
        <f t="shared" si="5"/>
        <v>1</v>
      </c>
      <c r="G74" s="13">
        <f t="shared" si="6"/>
        <v>1</v>
      </c>
      <c r="H74" s="13">
        <f>'Orbit Info'!C73*((C74*$O$2)+(D74*$O$3)+(E74*$O$4)+(F74*$O$5))</f>
        <v>0</v>
      </c>
      <c r="I74" s="13">
        <f t="shared" si="7"/>
        <v>5.74655</v>
      </c>
      <c r="J74" s="18">
        <f t="shared" si="8"/>
        <v>-0.09577583333</v>
      </c>
      <c r="K74" s="18">
        <f t="shared" si="10"/>
        <v>84.20889167</v>
      </c>
      <c r="L74" s="4"/>
      <c r="M74" s="639"/>
      <c r="N74" s="4"/>
      <c r="O74" s="4"/>
      <c r="P74" s="4"/>
      <c r="Q74" s="4"/>
      <c r="R74" s="4"/>
      <c r="S74" s="4"/>
      <c r="T74" s="4"/>
      <c r="U74" s="4"/>
      <c r="V74" s="4"/>
      <c r="W74" s="4"/>
    </row>
    <row r="75" ht="15.75" customHeight="1">
      <c r="A75" s="13">
        <f t="shared" si="9"/>
        <v>72</v>
      </c>
      <c r="B75" s="18">
        <f>A75/'Orbit Info'!$G$10</f>
        <v>0.7609909799</v>
      </c>
      <c r="C75" s="13">
        <f t="shared" si="2"/>
        <v>0</v>
      </c>
      <c r="D75" s="13">
        <f t="shared" si="3"/>
        <v>0</v>
      </c>
      <c r="E75" s="13">
        <f t="shared" si="4"/>
        <v>0</v>
      </c>
      <c r="F75" s="13">
        <f t="shared" si="5"/>
        <v>1</v>
      </c>
      <c r="G75" s="13">
        <f t="shared" si="6"/>
        <v>1</v>
      </c>
      <c r="H75" s="13">
        <f>'Orbit Info'!C74*((C75*$O$2)+(D75*$O$3)+(E75*$O$4)+(F75*$O$5))</f>
        <v>0</v>
      </c>
      <c r="I75" s="13">
        <f t="shared" si="7"/>
        <v>5.74655</v>
      </c>
      <c r="J75" s="18">
        <f t="shared" si="8"/>
        <v>-0.09577583333</v>
      </c>
      <c r="K75" s="18">
        <f t="shared" si="10"/>
        <v>84.11311583</v>
      </c>
      <c r="L75" s="4"/>
      <c r="M75" s="639"/>
      <c r="N75" s="4"/>
      <c r="O75" s="4"/>
      <c r="P75" s="4"/>
      <c r="Q75" s="4"/>
      <c r="R75" s="4"/>
      <c r="S75" s="4"/>
      <c r="T75" s="4"/>
      <c r="U75" s="4"/>
      <c r="V75" s="4"/>
      <c r="W75" s="4"/>
    </row>
    <row r="76" ht="15.75" customHeight="1">
      <c r="A76" s="13">
        <f t="shared" si="9"/>
        <v>73</v>
      </c>
      <c r="B76" s="18">
        <f>A76/'Orbit Info'!$G$10</f>
        <v>0.7715602991</v>
      </c>
      <c r="C76" s="13">
        <f t="shared" si="2"/>
        <v>0</v>
      </c>
      <c r="D76" s="13">
        <f t="shared" si="3"/>
        <v>0</v>
      </c>
      <c r="E76" s="13">
        <f t="shared" si="4"/>
        <v>0</v>
      </c>
      <c r="F76" s="13">
        <f t="shared" si="5"/>
        <v>1</v>
      </c>
      <c r="G76" s="13">
        <f t="shared" si="6"/>
        <v>1</v>
      </c>
      <c r="H76" s="13">
        <f>'Orbit Info'!C75*((C76*$O$2)+(D76*$O$3)+(E76*$O$4)+(F76*$O$5))</f>
        <v>0</v>
      </c>
      <c r="I76" s="13">
        <f t="shared" si="7"/>
        <v>5.74655</v>
      </c>
      <c r="J76" s="18">
        <f t="shared" si="8"/>
        <v>-0.09577583333</v>
      </c>
      <c r="K76" s="18">
        <f t="shared" si="10"/>
        <v>84.01734</v>
      </c>
      <c r="L76" s="4"/>
      <c r="M76" s="639"/>
      <c r="N76" s="4"/>
      <c r="O76" s="4"/>
      <c r="P76" s="4"/>
      <c r="Q76" s="4"/>
      <c r="R76" s="4"/>
      <c r="S76" s="4"/>
      <c r="T76" s="4"/>
      <c r="U76" s="4"/>
      <c r="V76" s="4"/>
      <c r="W76" s="4"/>
    </row>
    <row r="77" ht="15.75" customHeight="1">
      <c r="A77" s="13">
        <f t="shared" si="9"/>
        <v>74</v>
      </c>
      <c r="B77" s="18">
        <f>A77/'Orbit Info'!$G$10</f>
        <v>0.7821296183</v>
      </c>
      <c r="C77" s="13">
        <f t="shared" si="2"/>
        <v>0</v>
      </c>
      <c r="D77" s="13">
        <f t="shared" si="3"/>
        <v>0</v>
      </c>
      <c r="E77" s="13">
        <f t="shared" si="4"/>
        <v>0</v>
      </c>
      <c r="F77" s="13">
        <f t="shared" si="5"/>
        <v>1</v>
      </c>
      <c r="G77" s="13">
        <f t="shared" si="6"/>
        <v>1</v>
      </c>
      <c r="H77" s="13">
        <f>'Orbit Info'!C76*((C77*$O$2)+(D77*$O$3)+(E77*$O$4)+(F77*$O$5))</f>
        <v>0</v>
      </c>
      <c r="I77" s="13">
        <f t="shared" si="7"/>
        <v>5.74655</v>
      </c>
      <c r="J77" s="18">
        <f t="shared" si="8"/>
        <v>-0.09577583333</v>
      </c>
      <c r="K77" s="18">
        <f t="shared" si="10"/>
        <v>83.92156417</v>
      </c>
      <c r="L77" s="4"/>
      <c r="M77" s="639"/>
      <c r="N77" s="4"/>
      <c r="O77" s="4"/>
      <c r="P77" s="4"/>
      <c r="Q77" s="4"/>
      <c r="R77" s="4"/>
      <c r="S77" s="4"/>
      <c r="T77" s="4"/>
      <c r="U77" s="4"/>
      <c r="V77" s="4"/>
      <c r="W77" s="4"/>
    </row>
    <row r="78" ht="15.75" customHeight="1">
      <c r="A78" s="13">
        <f t="shared" si="9"/>
        <v>75</v>
      </c>
      <c r="B78" s="18">
        <f>A78/'Orbit Info'!$G$10</f>
        <v>0.7926989374</v>
      </c>
      <c r="C78" s="13">
        <f t="shared" si="2"/>
        <v>0</v>
      </c>
      <c r="D78" s="13">
        <f t="shared" si="3"/>
        <v>0</v>
      </c>
      <c r="E78" s="13">
        <f t="shared" si="4"/>
        <v>0</v>
      </c>
      <c r="F78" s="13">
        <f t="shared" si="5"/>
        <v>1</v>
      </c>
      <c r="G78" s="13">
        <f t="shared" si="6"/>
        <v>1</v>
      </c>
      <c r="H78" s="13">
        <f>'Orbit Info'!C77*((C78*$O$2)+(D78*$O$3)+(E78*$O$4)+(F78*$O$5))</f>
        <v>0</v>
      </c>
      <c r="I78" s="13">
        <f t="shared" si="7"/>
        <v>5.74655</v>
      </c>
      <c r="J78" s="18">
        <f t="shared" si="8"/>
        <v>-0.09577583333</v>
      </c>
      <c r="K78" s="18">
        <f t="shared" si="10"/>
        <v>83.82578833</v>
      </c>
      <c r="L78" s="4"/>
      <c r="M78" s="639"/>
      <c r="N78" s="4"/>
      <c r="O78" s="4"/>
      <c r="P78" s="4"/>
      <c r="Q78" s="4"/>
      <c r="R78" s="4"/>
      <c r="S78" s="4"/>
      <c r="T78" s="4"/>
      <c r="U78" s="4"/>
      <c r="V78" s="4"/>
      <c r="W78" s="4"/>
    </row>
    <row r="79" ht="15.75" customHeight="1">
      <c r="A79" s="13">
        <f t="shared" si="9"/>
        <v>76</v>
      </c>
      <c r="B79" s="18">
        <f>A79/'Orbit Info'!$G$10</f>
        <v>0.8032682566</v>
      </c>
      <c r="C79" s="13">
        <f t="shared" si="2"/>
        <v>0</v>
      </c>
      <c r="D79" s="13">
        <f t="shared" si="3"/>
        <v>0</v>
      </c>
      <c r="E79" s="13">
        <f t="shared" si="4"/>
        <v>0</v>
      </c>
      <c r="F79" s="13">
        <f t="shared" si="5"/>
        <v>1</v>
      </c>
      <c r="G79" s="13">
        <f t="shared" si="6"/>
        <v>1</v>
      </c>
      <c r="H79" s="13">
        <f>'Orbit Info'!C78*((C79*$O$2)+(D79*$O$3)+(E79*$O$4)+(F79*$O$5))</f>
        <v>0</v>
      </c>
      <c r="I79" s="13">
        <f t="shared" si="7"/>
        <v>5.74655</v>
      </c>
      <c r="J79" s="18">
        <f t="shared" si="8"/>
        <v>-0.09577583333</v>
      </c>
      <c r="K79" s="18">
        <f t="shared" si="10"/>
        <v>83.7300125</v>
      </c>
      <c r="L79" s="4"/>
      <c r="M79" s="639"/>
      <c r="N79" s="4"/>
      <c r="O79" s="4"/>
      <c r="P79" s="4"/>
      <c r="Q79" s="4"/>
      <c r="R79" s="4"/>
      <c r="S79" s="4"/>
      <c r="T79" s="4"/>
      <c r="U79" s="4"/>
      <c r="V79" s="4"/>
      <c r="W79" s="4"/>
    </row>
    <row r="80" ht="15.75" customHeight="1">
      <c r="A80" s="13">
        <f t="shared" si="9"/>
        <v>77</v>
      </c>
      <c r="B80" s="18">
        <f>A80/'Orbit Info'!$G$10</f>
        <v>0.8138375758</v>
      </c>
      <c r="C80" s="13">
        <f t="shared" si="2"/>
        <v>0</v>
      </c>
      <c r="D80" s="13">
        <f t="shared" si="3"/>
        <v>0</v>
      </c>
      <c r="E80" s="13">
        <f t="shared" si="4"/>
        <v>0</v>
      </c>
      <c r="F80" s="13">
        <f t="shared" si="5"/>
        <v>1</v>
      </c>
      <c r="G80" s="13">
        <f t="shared" si="6"/>
        <v>1</v>
      </c>
      <c r="H80" s="13">
        <f>'Orbit Info'!C79*((C80*$O$2)+(D80*$O$3)+(E80*$O$4)+(F80*$O$5))</f>
        <v>0</v>
      </c>
      <c r="I80" s="13">
        <f t="shared" si="7"/>
        <v>5.74655</v>
      </c>
      <c r="J80" s="18">
        <f t="shared" si="8"/>
        <v>-0.09577583333</v>
      </c>
      <c r="K80" s="18">
        <f t="shared" si="10"/>
        <v>83.63423667</v>
      </c>
      <c r="L80" s="4"/>
      <c r="M80" s="639"/>
      <c r="N80" s="4"/>
      <c r="O80" s="4"/>
      <c r="P80" s="4"/>
      <c r="Q80" s="4"/>
      <c r="R80" s="4"/>
      <c r="S80" s="4"/>
      <c r="T80" s="4"/>
      <c r="U80" s="4"/>
      <c r="V80" s="4"/>
      <c r="W80" s="4"/>
    </row>
    <row r="81" ht="15.75" customHeight="1">
      <c r="A81" s="13">
        <f t="shared" si="9"/>
        <v>78</v>
      </c>
      <c r="B81" s="18">
        <f>A81/'Orbit Info'!$G$10</f>
        <v>0.8244068949</v>
      </c>
      <c r="C81" s="13">
        <f t="shared" si="2"/>
        <v>0</v>
      </c>
      <c r="D81" s="13">
        <f t="shared" si="3"/>
        <v>0</v>
      </c>
      <c r="E81" s="13">
        <f t="shared" si="4"/>
        <v>0</v>
      </c>
      <c r="F81" s="13">
        <f t="shared" si="5"/>
        <v>1</v>
      </c>
      <c r="G81" s="13">
        <f t="shared" si="6"/>
        <v>1</v>
      </c>
      <c r="H81" s="13">
        <f>'Orbit Info'!C80*((C81*$O$2)+(D81*$O$3)+(E81*$O$4)+(F81*$O$5))</f>
        <v>0</v>
      </c>
      <c r="I81" s="13">
        <f t="shared" si="7"/>
        <v>5.74655</v>
      </c>
      <c r="J81" s="18">
        <f t="shared" si="8"/>
        <v>-0.09577583333</v>
      </c>
      <c r="K81" s="18">
        <f t="shared" si="10"/>
        <v>83.53846083</v>
      </c>
      <c r="L81" s="4"/>
      <c r="M81" s="639"/>
      <c r="N81" s="4"/>
      <c r="O81" s="4"/>
      <c r="P81" s="4"/>
      <c r="Q81" s="4"/>
      <c r="R81" s="4"/>
      <c r="S81" s="4"/>
      <c r="T81" s="4"/>
      <c r="U81" s="4"/>
      <c r="V81" s="4"/>
      <c r="W81" s="4"/>
    </row>
    <row r="82" ht="15.75" customHeight="1">
      <c r="A82" s="13">
        <f t="shared" si="9"/>
        <v>79</v>
      </c>
      <c r="B82" s="18">
        <f>A82/'Orbit Info'!$G$10</f>
        <v>0.8349762141</v>
      </c>
      <c r="C82" s="13">
        <f t="shared" si="2"/>
        <v>0</v>
      </c>
      <c r="D82" s="13">
        <f t="shared" si="3"/>
        <v>0</v>
      </c>
      <c r="E82" s="13">
        <f t="shared" si="4"/>
        <v>0</v>
      </c>
      <c r="F82" s="13">
        <f t="shared" si="5"/>
        <v>1</v>
      </c>
      <c r="G82" s="13">
        <f t="shared" si="6"/>
        <v>1</v>
      </c>
      <c r="H82" s="13">
        <f>'Orbit Info'!C81*((C82*$O$2)+(D82*$O$3)+(E82*$O$4)+(F82*$O$5))</f>
        <v>0</v>
      </c>
      <c r="I82" s="13">
        <f t="shared" si="7"/>
        <v>5.74655</v>
      </c>
      <c r="J82" s="18">
        <f t="shared" si="8"/>
        <v>-0.09577583333</v>
      </c>
      <c r="K82" s="18">
        <f t="shared" si="10"/>
        <v>83.442685</v>
      </c>
      <c r="L82" s="4"/>
      <c r="M82" s="4"/>
      <c r="N82" s="4"/>
      <c r="O82" s="4"/>
      <c r="P82" s="4"/>
      <c r="Q82" s="4"/>
      <c r="R82" s="4"/>
      <c r="S82" s="4"/>
      <c r="T82" s="4"/>
      <c r="U82" s="4"/>
      <c r="V82" s="4"/>
      <c r="W82" s="4"/>
    </row>
    <row r="83" ht="15.75" customHeight="1">
      <c r="A83" s="13">
        <f t="shared" si="9"/>
        <v>80</v>
      </c>
      <c r="B83" s="18">
        <f>A83/'Orbit Info'!$G$10</f>
        <v>0.8455455333</v>
      </c>
      <c r="C83" s="13">
        <f t="shared" si="2"/>
        <v>0</v>
      </c>
      <c r="D83" s="13">
        <f t="shared" si="3"/>
        <v>0</v>
      </c>
      <c r="E83" s="13">
        <f t="shared" si="4"/>
        <v>0</v>
      </c>
      <c r="F83" s="13">
        <f t="shared" si="5"/>
        <v>1</v>
      </c>
      <c r="G83" s="13">
        <f t="shared" si="6"/>
        <v>1</v>
      </c>
      <c r="H83" s="13">
        <f>'Orbit Info'!C82*((C83*$O$2)+(D83*$O$3)+(E83*$O$4)+(F83*$O$5))</f>
        <v>0</v>
      </c>
      <c r="I83" s="13">
        <f t="shared" si="7"/>
        <v>5.74655</v>
      </c>
      <c r="J83" s="18">
        <f t="shared" si="8"/>
        <v>-0.09577583333</v>
      </c>
      <c r="K83" s="18">
        <f t="shared" si="10"/>
        <v>83.34690917</v>
      </c>
      <c r="L83" s="4"/>
      <c r="M83" s="4"/>
      <c r="N83" s="4"/>
      <c r="O83" s="4"/>
      <c r="P83" s="4"/>
      <c r="Q83" s="4"/>
      <c r="R83" s="4"/>
      <c r="S83" s="4"/>
      <c r="T83" s="4"/>
      <c r="U83" s="4"/>
      <c r="V83" s="4"/>
      <c r="W83" s="4"/>
    </row>
    <row r="84" ht="15.75" customHeight="1">
      <c r="A84" s="13">
        <f t="shared" si="9"/>
        <v>81</v>
      </c>
      <c r="B84" s="18">
        <f>A84/'Orbit Info'!$G$10</f>
        <v>0.8561148524</v>
      </c>
      <c r="C84" s="13">
        <f t="shared" si="2"/>
        <v>0</v>
      </c>
      <c r="D84" s="13">
        <f t="shared" si="3"/>
        <v>0</v>
      </c>
      <c r="E84" s="13">
        <f t="shared" si="4"/>
        <v>0</v>
      </c>
      <c r="F84" s="13">
        <f t="shared" si="5"/>
        <v>1</v>
      </c>
      <c r="G84" s="13">
        <f t="shared" si="6"/>
        <v>1</v>
      </c>
      <c r="H84" s="13">
        <f>'Orbit Info'!C83*((C84*$O$2)+(D84*$O$3)+(E84*$O$4)+(F84*$O$5))</f>
        <v>0</v>
      </c>
      <c r="I84" s="13">
        <f t="shared" si="7"/>
        <v>5.74655</v>
      </c>
      <c r="J84" s="18">
        <f t="shared" si="8"/>
        <v>-0.09577583333</v>
      </c>
      <c r="K84" s="18">
        <f t="shared" si="10"/>
        <v>83.25113333</v>
      </c>
      <c r="L84" s="4"/>
      <c r="M84" s="4"/>
      <c r="N84" s="4"/>
      <c r="O84" s="4"/>
      <c r="P84" s="4"/>
      <c r="Q84" s="4"/>
      <c r="R84" s="4"/>
      <c r="S84" s="4"/>
      <c r="T84" s="4"/>
      <c r="U84" s="4"/>
      <c r="V84" s="4"/>
      <c r="W84" s="4"/>
    </row>
    <row r="85" ht="15.75" customHeight="1">
      <c r="A85" s="13">
        <f t="shared" si="9"/>
        <v>82</v>
      </c>
      <c r="B85" s="18">
        <f>A85/'Orbit Info'!$G$10</f>
        <v>0.8666841716</v>
      </c>
      <c r="C85" s="13">
        <f t="shared" si="2"/>
        <v>0</v>
      </c>
      <c r="D85" s="13">
        <f t="shared" si="3"/>
        <v>0</v>
      </c>
      <c r="E85" s="13">
        <f t="shared" si="4"/>
        <v>0</v>
      </c>
      <c r="F85" s="13">
        <f t="shared" si="5"/>
        <v>1</v>
      </c>
      <c r="G85" s="13">
        <f t="shared" si="6"/>
        <v>1</v>
      </c>
      <c r="H85" s="13">
        <f>'Orbit Info'!C84*((C85*$O$2)+(D85*$O$3)+(E85*$O$4)+(F85*$O$5))</f>
        <v>0</v>
      </c>
      <c r="I85" s="13">
        <f t="shared" si="7"/>
        <v>5.74655</v>
      </c>
      <c r="J85" s="18">
        <f t="shared" si="8"/>
        <v>-0.09577583333</v>
      </c>
      <c r="K85" s="18">
        <f t="shared" si="10"/>
        <v>83.1553575</v>
      </c>
      <c r="L85" s="4"/>
      <c r="M85" s="4"/>
      <c r="N85" s="4"/>
      <c r="O85" s="4"/>
      <c r="P85" s="4"/>
      <c r="Q85" s="4"/>
      <c r="R85" s="4"/>
      <c r="S85" s="4"/>
      <c r="T85" s="4"/>
      <c r="U85" s="4"/>
      <c r="V85" s="4"/>
      <c r="W85" s="4"/>
    </row>
    <row r="86" ht="15.75" customHeight="1">
      <c r="A86" s="13">
        <f t="shared" si="9"/>
        <v>83</v>
      </c>
      <c r="B86" s="18">
        <f>A86/'Orbit Info'!$G$10</f>
        <v>0.8772534908</v>
      </c>
      <c r="C86" s="13">
        <f t="shared" si="2"/>
        <v>0</v>
      </c>
      <c r="D86" s="13">
        <f t="shared" si="3"/>
        <v>0</v>
      </c>
      <c r="E86" s="13">
        <f t="shared" si="4"/>
        <v>0</v>
      </c>
      <c r="F86" s="13">
        <f t="shared" si="5"/>
        <v>1</v>
      </c>
      <c r="G86" s="13">
        <f t="shared" si="6"/>
        <v>1</v>
      </c>
      <c r="H86" s="13">
        <f>'Orbit Info'!C85*((C86*$O$2)+(D86*$O$3)+(E86*$O$4)+(F86*$O$5))</f>
        <v>0</v>
      </c>
      <c r="I86" s="13">
        <f t="shared" si="7"/>
        <v>5.74655</v>
      </c>
      <c r="J86" s="18">
        <f t="shared" si="8"/>
        <v>-0.09577583333</v>
      </c>
      <c r="K86" s="18">
        <f t="shared" si="10"/>
        <v>83.05958167</v>
      </c>
      <c r="L86" s="4"/>
      <c r="M86" s="4"/>
      <c r="N86" s="4"/>
      <c r="O86" s="4"/>
      <c r="P86" s="4"/>
      <c r="Q86" s="4"/>
      <c r="R86" s="4"/>
      <c r="S86" s="4"/>
      <c r="T86" s="4"/>
      <c r="U86" s="4"/>
      <c r="V86" s="4"/>
      <c r="W86" s="4"/>
    </row>
    <row r="87" ht="15.75" customHeight="1">
      <c r="A87" s="13">
        <f t="shared" si="9"/>
        <v>84</v>
      </c>
      <c r="B87" s="18">
        <f>A87/'Orbit Info'!$G$10</f>
        <v>0.8878228099</v>
      </c>
      <c r="C87" s="13">
        <f t="shared" si="2"/>
        <v>0</v>
      </c>
      <c r="D87" s="13">
        <f t="shared" si="3"/>
        <v>0</v>
      </c>
      <c r="E87" s="13">
        <f t="shared" si="4"/>
        <v>0</v>
      </c>
      <c r="F87" s="13">
        <f t="shared" si="5"/>
        <v>1</v>
      </c>
      <c r="G87" s="13">
        <f t="shared" si="6"/>
        <v>1</v>
      </c>
      <c r="H87" s="13">
        <f>'Orbit Info'!C86*((C87*$O$2)+(D87*$O$3)+(E87*$O$4)+(F87*$O$5))</f>
        <v>0</v>
      </c>
      <c r="I87" s="13">
        <f t="shared" si="7"/>
        <v>5.74655</v>
      </c>
      <c r="J87" s="18">
        <f t="shared" si="8"/>
        <v>-0.09577583333</v>
      </c>
      <c r="K87" s="18">
        <f t="shared" si="10"/>
        <v>82.96380583</v>
      </c>
      <c r="L87" s="4"/>
      <c r="M87" s="4"/>
      <c r="N87" s="4"/>
      <c r="O87" s="4"/>
      <c r="P87" s="4"/>
      <c r="Q87" s="4"/>
      <c r="R87" s="4"/>
      <c r="S87" s="4"/>
      <c r="T87" s="4"/>
      <c r="U87" s="4"/>
      <c r="V87" s="4"/>
      <c r="W87" s="4"/>
    </row>
    <row r="88" ht="15.75" customHeight="1">
      <c r="A88" s="13">
        <f t="shared" si="9"/>
        <v>85</v>
      </c>
      <c r="B88" s="18">
        <f>A88/'Orbit Info'!$G$10</f>
        <v>0.8983921291</v>
      </c>
      <c r="C88" s="13">
        <f t="shared" si="2"/>
        <v>0</v>
      </c>
      <c r="D88" s="13">
        <f t="shared" si="3"/>
        <v>0</v>
      </c>
      <c r="E88" s="13">
        <f t="shared" si="4"/>
        <v>0</v>
      </c>
      <c r="F88" s="13">
        <f t="shared" si="5"/>
        <v>1</v>
      </c>
      <c r="G88" s="13">
        <f t="shared" si="6"/>
        <v>1</v>
      </c>
      <c r="H88" s="13">
        <f>'Orbit Info'!C87*((C88*$O$2)+(D88*$O$3)+(E88*$O$4)+(F88*$O$5))</f>
        <v>0</v>
      </c>
      <c r="I88" s="13">
        <f t="shared" si="7"/>
        <v>5.74655</v>
      </c>
      <c r="J88" s="18">
        <f t="shared" si="8"/>
        <v>-0.09577583333</v>
      </c>
      <c r="K88" s="18">
        <f t="shared" si="10"/>
        <v>82.86803</v>
      </c>
      <c r="L88" s="4"/>
      <c r="M88" s="4"/>
      <c r="N88" s="4"/>
      <c r="O88" s="4"/>
      <c r="P88" s="4"/>
      <c r="Q88" s="4"/>
      <c r="R88" s="4"/>
      <c r="S88" s="4"/>
      <c r="T88" s="4"/>
      <c r="U88" s="4"/>
      <c r="V88" s="4"/>
      <c r="W88" s="4"/>
    </row>
    <row r="89" ht="15.75" customHeight="1">
      <c r="A89" s="13">
        <f t="shared" si="9"/>
        <v>86</v>
      </c>
      <c r="B89" s="18">
        <f>A89/'Orbit Info'!$G$10</f>
        <v>0.9089614483</v>
      </c>
      <c r="C89" s="13">
        <f t="shared" si="2"/>
        <v>0</v>
      </c>
      <c r="D89" s="13">
        <f t="shared" si="3"/>
        <v>0</v>
      </c>
      <c r="E89" s="13">
        <f t="shared" si="4"/>
        <v>0</v>
      </c>
      <c r="F89" s="13">
        <f t="shared" si="5"/>
        <v>1</v>
      </c>
      <c r="G89" s="13">
        <f t="shared" si="6"/>
        <v>1</v>
      </c>
      <c r="H89" s="13">
        <f>'Orbit Info'!C88*((C89*$O$2)+(D89*$O$3)+(E89*$O$4)+(F89*$O$5))</f>
        <v>0</v>
      </c>
      <c r="I89" s="13">
        <f t="shared" si="7"/>
        <v>5.74655</v>
      </c>
      <c r="J89" s="18">
        <f t="shared" si="8"/>
        <v>-0.09577583333</v>
      </c>
      <c r="K89" s="18">
        <f t="shared" si="10"/>
        <v>82.77225417</v>
      </c>
      <c r="L89" s="4"/>
      <c r="M89" s="4"/>
      <c r="N89" s="4"/>
      <c r="O89" s="4"/>
      <c r="P89" s="4"/>
      <c r="Q89" s="4"/>
      <c r="R89" s="4"/>
      <c r="S89" s="4"/>
      <c r="T89" s="4"/>
      <c r="U89" s="4"/>
      <c r="V89" s="4"/>
      <c r="W89" s="4"/>
    </row>
    <row r="90" ht="15.75" customHeight="1">
      <c r="A90" s="13">
        <f t="shared" si="9"/>
        <v>87</v>
      </c>
      <c r="B90" s="18">
        <f>A90/'Orbit Info'!$G$10</f>
        <v>0.9195307674</v>
      </c>
      <c r="C90" s="13">
        <f t="shared" si="2"/>
        <v>0</v>
      </c>
      <c r="D90" s="13">
        <f t="shared" si="3"/>
        <v>0</v>
      </c>
      <c r="E90" s="13">
        <f t="shared" si="4"/>
        <v>0</v>
      </c>
      <c r="F90" s="13">
        <f t="shared" si="5"/>
        <v>1</v>
      </c>
      <c r="G90" s="13">
        <f t="shared" si="6"/>
        <v>1</v>
      </c>
      <c r="H90" s="13">
        <f>'Orbit Info'!C89*((C90*$O$2)+(D90*$O$3)+(E90*$O$4)+(F90*$O$5))</f>
        <v>0</v>
      </c>
      <c r="I90" s="13">
        <f t="shared" si="7"/>
        <v>5.74655</v>
      </c>
      <c r="J90" s="18">
        <f t="shared" si="8"/>
        <v>-0.09577583333</v>
      </c>
      <c r="K90" s="18">
        <f t="shared" si="10"/>
        <v>82.67647833</v>
      </c>
      <c r="L90" s="4"/>
      <c r="M90" s="4"/>
      <c r="N90" s="4"/>
      <c r="O90" s="4"/>
      <c r="P90" s="4"/>
      <c r="Q90" s="4"/>
      <c r="R90" s="4"/>
      <c r="S90" s="4"/>
      <c r="T90" s="4"/>
      <c r="U90" s="4"/>
      <c r="V90" s="4"/>
      <c r="W90" s="4"/>
    </row>
    <row r="91" ht="15.75" customHeight="1">
      <c r="A91" s="13">
        <f t="shared" si="9"/>
        <v>88</v>
      </c>
      <c r="B91" s="18">
        <f>A91/'Orbit Info'!$G$10</f>
        <v>0.9301000866</v>
      </c>
      <c r="C91" s="13">
        <f t="shared" si="2"/>
        <v>0</v>
      </c>
      <c r="D91" s="13">
        <f t="shared" si="3"/>
        <v>0</v>
      </c>
      <c r="E91" s="13">
        <f t="shared" si="4"/>
        <v>0</v>
      </c>
      <c r="F91" s="13">
        <f t="shared" si="5"/>
        <v>1</v>
      </c>
      <c r="G91" s="13">
        <f t="shared" si="6"/>
        <v>1</v>
      </c>
      <c r="H91" s="13">
        <f>'Orbit Info'!C90*((C91*$O$2)+(D91*$O$3)+(E91*$O$4)+(F91*$O$5))</f>
        <v>0</v>
      </c>
      <c r="I91" s="13">
        <f t="shared" si="7"/>
        <v>5.74655</v>
      </c>
      <c r="J91" s="18">
        <f t="shared" si="8"/>
        <v>-0.09577583333</v>
      </c>
      <c r="K91" s="18">
        <f t="shared" si="10"/>
        <v>82.5807025</v>
      </c>
      <c r="L91" s="4"/>
      <c r="M91" s="4"/>
      <c r="N91" s="4"/>
      <c r="O91" s="4"/>
      <c r="P91" s="4"/>
      <c r="Q91" s="4"/>
      <c r="R91" s="4"/>
      <c r="S91" s="4"/>
      <c r="T91" s="4"/>
      <c r="U91" s="4"/>
      <c r="V91" s="4"/>
      <c r="W91" s="4"/>
    </row>
    <row r="92" ht="15.75" customHeight="1">
      <c r="A92" s="13">
        <f t="shared" si="9"/>
        <v>89</v>
      </c>
      <c r="B92" s="18">
        <f>A92/'Orbit Info'!$G$10</f>
        <v>0.9406694058</v>
      </c>
      <c r="C92" s="13">
        <f t="shared" si="2"/>
        <v>0</v>
      </c>
      <c r="D92" s="13">
        <f t="shared" si="3"/>
        <v>0</v>
      </c>
      <c r="E92" s="13">
        <f t="shared" si="4"/>
        <v>0</v>
      </c>
      <c r="F92" s="13">
        <f t="shared" si="5"/>
        <v>1</v>
      </c>
      <c r="G92" s="13">
        <f t="shared" si="6"/>
        <v>1</v>
      </c>
      <c r="H92" s="13">
        <f>'Orbit Info'!C91*((C92*$O$2)+(D92*$O$3)+(E92*$O$4)+(F92*$O$5))</f>
        <v>0</v>
      </c>
      <c r="I92" s="13">
        <f t="shared" si="7"/>
        <v>5.74655</v>
      </c>
      <c r="J92" s="18">
        <f t="shared" si="8"/>
        <v>-0.09577583333</v>
      </c>
      <c r="K92" s="18">
        <f t="shared" si="10"/>
        <v>82.48492667</v>
      </c>
      <c r="L92" s="4"/>
      <c r="M92" s="4"/>
      <c r="N92" s="4"/>
      <c r="O92" s="4"/>
      <c r="P92" s="4"/>
      <c r="Q92" s="4"/>
      <c r="R92" s="4"/>
      <c r="S92" s="4"/>
      <c r="T92" s="4"/>
      <c r="U92" s="4"/>
      <c r="V92" s="4"/>
      <c r="W92" s="4"/>
    </row>
    <row r="93" ht="15.75" customHeight="1">
      <c r="A93" s="13">
        <f t="shared" si="9"/>
        <v>90</v>
      </c>
      <c r="B93" s="18">
        <f>A93/'Orbit Info'!$G$10</f>
        <v>0.9512387249</v>
      </c>
      <c r="C93" s="13">
        <f t="shared" si="2"/>
        <v>0</v>
      </c>
      <c r="D93" s="13">
        <f t="shared" si="3"/>
        <v>0</v>
      </c>
      <c r="E93" s="13">
        <f t="shared" si="4"/>
        <v>0</v>
      </c>
      <c r="F93" s="13">
        <f t="shared" si="5"/>
        <v>1</v>
      </c>
      <c r="G93" s="13">
        <f t="shared" si="6"/>
        <v>1</v>
      </c>
      <c r="H93" s="13">
        <f>'Orbit Info'!C92*((C93*$O$2)+(D93*$O$3)+(E93*$O$4)+(F93*$O$5))</f>
        <v>0</v>
      </c>
      <c r="I93" s="13">
        <f t="shared" si="7"/>
        <v>5.74655</v>
      </c>
      <c r="J93" s="18">
        <f t="shared" si="8"/>
        <v>-0.09577583333</v>
      </c>
      <c r="K93" s="18">
        <f t="shared" si="10"/>
        <v>82.38915083</v>
      </c>
      <c r="L93" s="4"/>
      <c r="M93" s="4"/>
      <c r="N93" s="4"/>
      <c r="O93" s="4"/>
      <c r="P93" s="4"/>
      <c r="Q93" s="4"/>
      <c r="R93" s="4"/>
      <c r="S93" s="4"/>
      <c r="T93" s="4"/>
      <c r="U93" s="4"/>
      <c r="V93" s="4"/>
      <c r="W93" s="4"/>
    </row>
    <row r="94" ht="15.75" customHeight="1">
      <c r="A94" s="13">
        <f t="shared" si="9"/>
        <v>91</v>
      </c>
      <c r="B94" s="18">
        <f>A94/'Orbit Info'!$G$10</f>
        <v>0.9618080441</v>
      </c>
      <c r="C94" s="13">
        <f t="shared" si="2"/>
        <v>0</v>
      </c>
      <c r="D94" s="13">
        <f t="shared" si="3"/>
        <v>0</v>
      </c>
      <c r="E94" s="13">
        <f t="shared" si="4"/>
        <v>0</v>
      </c>
      <c r="F94" s="13">
        <f t="shared" si="5"/>
        <v>1</v>
      </c>
      <c r="G94" s="13">
        <f t="shared" si="6"/>
        <v>1</v>
      </c>
      <c r="H94" s="13">
        <f>'Orbit Info'!C93*((C94*$O$2)+(D94*$O$3)+(E94*$O$4)+(F94*$O$5))</f>
        <v>0</v>
      </c>
      <c r="I94" s="13">
        <f t="shared" si="7"/>
        <v>5.74655</v>
      </c>
      <c r="J94" s="18">
        <f t="shared" si="8"/>
        <v>-0.09577583333</v>
      </c>
      <c r="K94" s="18">
        <f t="shared" si="10"/>
        <v>82.293375</v>
      </c>
      <c r="L94" s="4"/>
      <c r="M94" s="4"/>
      <c r="N94" s="4"/>
      <c r="O94" s="4"/>
      <c r="P94" s="4"/>
      <c r="Q94" s="4"/>
      <c r="R94" s="4"/>
      <c r="S94" s="4"/>
      <c r="T94" s="4"/>
      <c r="U94" s="4"/>
      <c r="V94" s="4"/>
      <c r="W94" s="4"/>
    </row>
    <row r="95" ht="15.75" customHeight="1">
      <c r="A95" s="13">
        <f t="shared" si="9"/>
        <v>92</v>
      </c>
      <c r="B95" s="18">
        <f>A95/'Orbit Info'!$G$10</f>
        <v>0.9723773633</v>
      </c>
      <c r="C95" s="13">
        <f t="shared" si="2"/>
        <v>0</v>
      </c>
      <c r="D95" s="13">
        <f t="shared" si="3"/>
        <v>0</v>
      </c>
      <c r="E95" s="13">
        <f t="shared" si="4"/>
        <v>0</v>
      </c>
      <c r="F95" s="13">
        <f t="shared" si="5"/>
        <v>1</v>
      </c>
      <c r="G95" s="13">
        <f t="shared" si="6"/>
        <v>1</v>
      </c>
      <c r="H95" s="13">
        <f>'Orbit Info'!C94*((C95*$O$2)+(D95*$O$3)+(E95*$O$4)+(F95*$O$5))</f>
        <v>0</v>
      </c>
      <c r="I95" s="13">
        <f t="shared" si="7"/>
        <v>5.74655</v>
      </c>
      <c r="J95" s="18">
        <f t="shared" si="8"/>
        <v>-0.09577583333</v>
      </c>
      <c r="K95" s="18">
        <f t="shared" si="10"/>
        <v>82.19759917</v>
      </c>
      <c r="L95" s="4"/>
      <c r="M95" s="4"/>
      <c r="N95" s="4"/>
      <c r="O95" s="4"/>
      <c r="P95" s="4"/>
      <c r="Q95" s="4"/>
      <c r="R95" s="4"/>
      <c r="S95" s="4"/>
      <c r="T95" s="4"/>
      <c r="U95" s="4"/>
      <c r="V95" s="4"/>
      <c r="W95" s="4"/>
    </row>
    <row r="96" ht="15.75" customHeight="1">
      <c r="A96" s="13">
        <f t="shared" si="9"/>
        <v>93</v>
      </c>
      <c r="B96" s="18">
        <f>A96/'Orbit Info'!$G$10</f>
        <v>0.9829466824</v>
      </c>
      <c r="C96" s="13">
        <f t="shared" si="2"/>
        <v>0</v>
      </c>
      <c r="D96" s="13">
        <f t="shared" si="3"/>
        <v>0</v>
      </c>
      <c r="E96" s="13">
        <f t="shared" si="4"/>
        <v>0</v>
      </c>
      <c r="F96" s="13">
        <f t="shared" si="5"/>
        <v>1</v>
      </c>
      <c r="G96" s="13">
        <f t="shared" si="6"/>
        <v>1</v>
      </c>
      <c r="H96" s="13">
        <f>'Orbit Info'!C95*((C96*$O$2)+(D96*$O$3)+(E96*$O$4)+(F96*$O$5))</f>
        <v>0</v>
      </c>
      <c r="I96" s="13">
        <f t="shared" si="7"/>
        <v>5.74655</v>
      </c>
      <c r="J96" s="18">
        <f t="shared" si="8"/>
        <v>-0.09577583333</v>
      </c>
      <c r="K96" s="18">
        <f t="shared" si="10"/>
        <v>82.10182333</v>
      </c>
      <c r="L96" s="4"/>
      <c r="M96" s="4"/>
      <c r="N96" s="4"/>
      <c r="O96" s="4"/>
      <c r="P96" s="4"/>
      <c r="Q96" s="4"/>
      <c r="R96" s="4"/>
      <c r="S96" s="4"/>
      <c r="T96" s="4"/>
      <c r="U96" s="4"/>
      <c r="V96" s="4"/>
      <c r="W96" s="4"/>
    </row>
    <row r="97" ht="15.75" customHeight="1">
      <c r="A97" s="13">
        <f t="shared" si="9"/>
        <v>94</v>
      </c>
      <c r="B97" s="18">
        <f>A97/'Orbit Info'!$G$10</f>
        <v>0.9935160016</v>
      </c>
      <c r="C97" s="13">
        <f t="shared" si="2"/>
        <v>0</v>
      </c>
      <c r="D97" s="13">
        <f t="shared" si="3"/>
        <v>0</v>
      </c>
      <c r="E97" s="13">
        <f t="shared" si="4"/>
        <v>0</v>
      </c>
      <c r="F97" s="13">
        <f t="shared" si="5"/>
        <v>1</v>
      </c>
      <c r="G97" s="13">
        <f t="shared" si="6"/>
        <v>1</v>
      </c>
      <c r="H97" s="13">
        <f>'Orbit Info'!C96*((C97*$O$2)+(D97*$O$3)+(E97*$O$4)+(F97*$O$5))</f>
        <v>0</v>
      </c>
      <c r="I97" s="13">
        <f t="shared" si="7"/>
        <v>5.74655</v>
      </c>
      <c r="J97" s="18">
        <f t="shared" si="8"/>
        <v>-0.09577583333</v>
      </c>
      <c r="K97" s="18">
        <f t="shared" si="10"/>
        <v>82.0060475</v>
      </c>
      <c r="L97" s="4"/>
      <c r="M97" s="4"/>
      <c r="N97" s="4"/>
      <c r="O97" s="4"/>
      <c r="P97" s="4"/>
      <c r="Q97" s="4"/>
      <c r="R97" s="4"/>
      <c r="S97" s="4"/>
      <c r="T97" s="4"/>
      <c r="U97" s="4"/>
      <c r="V97" s="4"/>
      <c r="W97" s="4"/>
    </row>
    <row r="98" ht="15.75" customHeight="1">
      <c r="A98" s="13">
        <f t="shared" si="9"/>
        <v>95</v>
      </c>
      <c r="B98" s="18">
        <f>A98/'Orbit Info'!$G$10</f>
        <v>1.004085321</v>
      </c>
      <c r="C98" s="13">
        <f t="shared" si="2"/>
        <v>0</v>
      </c>
      <c r="D98" s="13">
        <f t="shared" si="3"/>
        <v>0</v>
      </c>
      <c r="E98" s="13">
        <f t="shared" si="4"/>
        <v>0</v>
      </c>
      <c r="F98" s="13">
        <f t="shared" si="5"/>
        <v>1</v>
      </c>
      <c r="G98" s="13">
        <f t="shared" si="6"/>
        <v>1</v>
      </c>
      <c r="H98" s="13">
        <f>'Orbit Info'!C97*((C98*$O$2)+(D98*$O$3)+(E98*$O$4)+(F98*$O$5))</f>
        <v>2.856</v>
      </c>
      <c r="I98" s="13">
        <f t="shared" si="7"/>
        <v>5.74655</v>
      </c>
      <c r="J98" s="18">
        <f t="shared" si="8"/>
        <v>-0.04817583333</v>
      </c>
      <c r="K98" s="18">
        <f t="shared" si="10"/>
        <v>81.95787167</v>
      </c>
      <c r="L98" s="4"/>
      <c r="M98" s="4"/>
      <c r="N98" s="4"/>
      <c r="O98" s="4"/>
      <c r="P98" s="4"/>
      <c r="Q98" s="4"/>
      <c r="R98" s="4"/>
      <c r="S98" s="4"/>
      <c r="T98" s="4"/>
      <c r="U98" s="4"/>
      <c r="V98" s="4"/>
      <c r="W98" s="4"/>
    </row>
    <row r="99" ht="15.75" customHeight="1">
      <c r="A99" s="13">
        <f t="shared" si="9"/>
        <v>96</v>
      </c>
      <c r="B99" s="18">
        <f>A99/'Orbit Info'!$G$10</f>
        <v>1.01465464</v>
      </c>
      <c r="C99" s="13">
        <f t="shared" si="2"/>
        <v>0</v>
      </c>
      <c r="D99" s="13">
        <f t="shared" si="3"/>
        <v>0</v>
      </c>
      <c r="E99" s="13">
        <f t="shared" si="4"/>
        <v>0</v>
      </c>
      <c r="F99" s="13">
        <f t="shared" si="5"/>
        <v>1</v>
      </c>
      <c r="G99" s="13">
        <f t="shared" si="6"/>
        <v>1</v>
      </c>
      <c r="H99" s="13">
        <f>'Orbit Info'!C98*((C99*$O$2)+(D99*$O$3)+(E99*$O$4)+(F99*$O$5))</f>
        <v>2.856</v>
      </c>
      <c r="I99" s="13">
        <f t="shared" si="7"/>
        <v>5.74655</v>
      </c>
      <c r="J99" s="18">
        <f t="shared" si="8"/>
        <v>-0.04817583333</v>
      </c>
      <c r="K99" s="18">
        <f t="shared" si="10"/>
        <v>81.90969583</v>
      </c>
      <c r="L99" s="4"/>
      <c r="M99" s="4"/>
      <c r="N99" s="4"/>
      <c r="O99" s="4"/>
      <c r="P99" s="4"/>
      <c r="Q99" s="4"/>
      <c r="R99" s="4"/>
      <c r="S99" s="4"/>
      <c r="T99" s="4"/>
      <c r="U99" s="4"/>
      <c r="V99" s="4"/>
      <c r="W99" s="4"/>
    </row>
    <row r="100" ht="15.75" customHeight="1">
      <c r="A100" s="13">
        <f t="shared" si="9"/>
        <v>97</v>
      </c>
      <c r="B100" s="18">
        <f>A100/'Orbit Info'!$G$10</f>
        <v>1.025223959</v>
      </c>
      <c r="C100" s="13">
        <f t="shared" si="2"/>
        <v>0</v>
      </c>
      <c r="D100" s="13">
        <f t="shared" si="3"/>
        <v>0</v>
      </c>
      <c r="E100" s="13">
        <f t="shared" si="4"/>
        <v>0</v>
      </c>
      <c r="F100" s="13">
        <f t="shared" si="5"/>
        <v>1</v>
      </c>
      <c r="G100" s="13">
        <f t="shared" si="6"/>
        <v>1</v>
      </c>
      <c r="H100" s="13">
        <f>'Orbit Info'!C99*((C100*$O$2)+(D100*$O$3)+(E100*$O$4)+(F100*$O$5))</f>
        <v>2.856</v>
      </c>
      <c r="I100" s="13">
        <f t="shared" si="7"/>
        <v>5.74655</v>
      </c>
      <c r="J100" s="18">
        <f t="shared" si="8"/>
        <v>-0.04817583333</v>
      </c>
      <c r="K100" s="18">
        <f t="shared" si="10"/>
        <v>81.86152</v>
      </c>
      <c r="L100" s="4"/>
      <c r="M100" s="4"/>
      <c r="N100" s="4"/>
      <c r="O100" s="4"/>
      <c r="P100" s="4"/>
      <c r="Q100" s="4"/>
      <c r="R100" s="4"/>
      <c r="S100" s="4"/>
      <c r="T100" s="4"/>
      <c r="U100" s="4"/>
      <c r="V100" s="4"/>
      <c r="W100" s="4"/>
    </row>
    <row r="101" ht="15.75" customHeight="1">
      <c r="A101" s="13">
        <f t="shared" si="9"/>
        <v>98</v>
      </c>
      <c r="B101" s="18">
        <f>A101/'Orbit Info'!$G$10</f>
        <v>1.035793278</v>
      </c>
      <c r="C101" s="13">
        <f t="shared" si="2"/>
        <v>0</v>
      </c>
      <c r="D101" s="13">
        <f t="shared" si="3"/>
        <v>0</v>
      </c>
      <c r="E101" s="13">
        <f t="shared" si="4"/>
        <v>0</v>
      </c>
      <c r="F101" s="13">
        <f t="shared" si="5"/>
        <v>1</v>
      </c>
      <c r="G101" s="13">
        <f t="shared" si="6"/>
        <v>1</v>
      </c>
      <c r="H101" s="13">
        <f>'Orbit Info'!C100*((C101*$O$2)+(D101*$O$3)+(E101*$O$4)+(F101*$O$5))</f>
        <v>2.856</v>
      </c>
      <c r="I101" s="13">
        <f t="shared" si="7"/>
        <v>5.74655</v>
      </c>
      <c r="J101" s="18">
        <f t="shared" si="8"/>
        <v>-0.04817583333</v>
      </c>
      <c r="K101" s="18">
        <f t="shared" si="10"/>
        <v>81.81334417</v>
      </c>
      <c r="L101" s="4"/>
      <c r="M101" s="4"/>
      <c r="N101" s="4"/>
      <c r="O101" s="4"/>
      <c r="P101" s="4"/>
      <c r="Q101" s="4"/>
      <c r="R101" s="4"/>
      <c r="S101" s="4"/>
      <c r="T101" s="4"/>
      <c r="U101" s="4"/>
      <c r="V101" s="4"/>
      <c r="W101" s="4"/>
    </row>
    <row r="102" ht="15.75" customHeight="1">
      <c r="A102" s="13">
        <f t="shared" si="9"/>
        <v>99</v>
      </c>
      <c r="B102" s="18">
        <f>A102/'Orbit Info'!$G$10</f>
        <v>1.046362597</v>
      </c>
      <c r="C102" s="13">
        <f t="shared" si="2"/>
        <v>0</v>
      </c>
      <c r="D102" s="13">
        <f t="shared" si="3"/>
        <v>0</v>
      </c>
      <c r="E102" s="13">
        <f t="shared" si="4"/>
        <v>0</v>
      </c>
      <c r="F102" s="13">
        <f t="shared" si="5"/>
        <v>1</v>
      </c>
      <c r="G102" s="13">
        <f t="shared" si="6"/>
        <v>1</v>
      </c>
      <c r="H102" s="13">
        <f>'Orbit Info'!C101*((C102*$O$2)+(D102*$O$3)+(E102*$O$4)+(F102*$O$5))</f>
        <v>2.856</v>
      </c>
      <c r="I102" s="13">
        <f t="shared" si="7"/>
        <v>5.74655</v>
      </c>
      <c r="J102" s="18">
        <f t="shared" si="8"/>
        <v>-0.04817583333</v>
      </c>
      <c r="K102" s="18">
        <f t="shared" si="10"/>
        <v>81.76516833</v>
      </c>
      <c r="L102" s="4"/>
      <c r="M102" s="4"/>
      <c r="N102" s="4"/>
      <c r="O102" s="4"/>
      <c r="P102" s="4"/>
      <c r="Q102" s="4"/>
      <c r="R102" s="4"/>
      <c r="S102" s="4"/>
      <c r="T102" s="4"/>
      <c r="U102" s="4"/>
      <c r="V102" s="4"/>
      <c r="W102" s="4"/>
    </row>
    <row r="103" ht="15.75" customHeight="1">
      <c r="A103" s="13">
        <f t="shared" si="9"/>
        <v>100</v>
      </c>
      <c r="B103" s="18">
        <f>A103/'Orbit Info'!$G$10</f>
        <v>1.056931917</v>
      </c>
      <c r="C103" s="13">
        <f t="shared" si="2"/>
        <v>0</v>
      </c>
      <c r="D103" s="13">
        <f t="shared" si="3"/>
        <v>0</v>
      </c>
      <c r="E103" s="13">
        <f t="shared" si="4"/>
        <v>0</v>
      </c>
      <c r="F103" s="13">
        <f t="shared" si="5"/>
        <v>1</v>
      </c>
      <c r="G103" s="13">
        <f t="shared" si="6"/>
        <v>1</v>
      </c>
      <c r="H103" s="13">
        <f>'Orbit Info'!C102*((C103*$O$2)+(D103*$O$3)+(E103*$O$4)+(F103*$O$5))</f>
        <v>2.856</v>
      </c>
      <c r="I103" s="13">
        <f t="shared" si="7"/>
        <v>5.74655</v>
      </c>
      <c r="J103" s="18">
        <f t="shared" si="8"/>
        <v>-0.04817583333</v>
      </c>
      <c r="K103" s="18">
        <f t="shared" si="10"/>
        <v>81.7169925</v>
      </c>
      <c r="L103" s="4"/>
      <c r="M103" s="4"/>
      <c r="N103" s="4"/>
      <c r="O103" s="4"/>
      <c r="P103" s="4"/>
      <c r="Q103" s="4"/>
      <c r="R103" s="4"/>
      <c r="S103" s="4"/>
      <c r="T103" s="4"/>
      <c r="U103" s="4"/>
      <c r="V103" s="4"/>
      <c r="W103" s="4"/>
    </row>
    <row r="104" ht="15.75" customHeight="1">
      <c r="A104" s="13">
        <f t="shared" si="9"/>
        <v>101</v>
      </c>
      <c r="B104" s="18">
        <f>A104/'Orbit Info'!$G$10</f>
        <v>1.067501236</v>
      </c>
      <c r="C104" s="13">
        <f t="shared" si="2"/>
        <v>0</v>
      </c>
      <c r="D104" s="13">
        <f t="shared" si="3"/>
        <v>0</v>
      </c>
      <c r="E104" s="13">
        <f t="shared" si="4"/>
        <v>0</v>
      </c>
      <c r="F104" s="13">
        <f t="shared" si="5"/>
        <v>1</v>
      </c>
      <c r="G104" s="13">
        <f t="shared" si="6"/>
        <v>1</v>
      </c>
      <c r="H104" s="13">
        <f>'Orbit Info'!C103*((C104*$O$2)+(D104*$O$3)+(E104*$O$4)+(F104*$O$5))</f>
        <v>2.856</v>
      </c>
      <c r="I104" s="13">
        <f t="shared" si="7"/>
        <v>5.74655</v>
      </c>
      <c r="J104" s="18">
        <f t="shared" si="8"/>
        <v>-0.04817583333</v>
      </c>
      <c r="K104" s="18">
        <f t="shared" si="10"/>
        <v>81.66881667</v>
      </c>
      <c r="L104" s="4"/>
      <c r="M104" s="4"/>
      <c r="N104" s="4"/>
      <c r="O104" s="4"/>
      <c r="P104" s="4"/>
      <c r="Q104" s="4"/>
      <c r="R104" s="4"/>
      <c r="S104" s="4"/>
      <c r="T104" s="4"/>
      <c r="U104" s="4"/>
      <c r="V104" s="4"/>
      <c r="W104" s="4"/>
    </row>
    <row r="105" ht="15.75" customHeight="1">
      <c r="A105" s="13">
        <f t="shared" si="9"/>
        <v>102</v>
      </c>
      <c r="B105" s="18">
        <f>A105/'Orbit Info'!$G$10</f>
        <v>1.078070555</v>
      </c>
      <c r="C105" s="13">
        <f t="shared" si="2"/>
        <v>0</v>
      </c>
      <c r="D105" s="13">
        <f t="shared" si="3"/>
        <v>0</v>
      </c>
      <c r="E105" s="13">
        <f t="shared" si="4"/>
        <v>0</v>
      </c>
      <c r="F105" s="13">
        <f t="shared" si="5"/>
        <v>1</v>
      </c>
      <c r="G105" s="13">
        <f t="shared" si="6"/>
        <v>1</v>
      </c>
      <c r="H105" s="13">
        <f>'Orbit Info'!C104*((C105*$O$2)+(D105*$O$3)+(E105*$O$4)+(F105*$O$5))</f>
        <v>2.856</v>
      </c>
      <c r="I105" s="13">
        <f t="shared" si="7"/>
        <v>5.74655</v>
      </c>
      <c r="J105" s="18">
        <f t="shared" si="8"/>
        <v>-0.04817583333</v>
      </c>
      <c r="K105" s="18">
        <f t="shared" si="10"/>
        <v>81.62064083</v>
      </c>
      <c r="L105" s="4"/>
      <c r="M105" s="4"/>
      <c r="N105" s="4"/>
      <c r="O105" s="4"/>
      <c r="P105" s="4"/>
      <c r="Q105" s="4"/>
      <c r="R105" s="4"/>
      <c r="S105" s="4"/>
      <c r="T105" s="4"/>
      <c r="U105" s="4"/>
      <c r="V105" s="4"/>
      <c r="W105" s="4"/>
    </row>
    <row r="106" ht="15.75" customHeight="1">
      <c r="A106" s="13">
        <f t="shared" si="9"/>
        <v>103</v>
      </c>
      <c r="B106" s="18">
        <f>A106/'Orbit Info'!$G$10</f>
        <v>1.088639874</v>
      </c>
      <c r="C106" s="13">
        <f t="shared" si="2"/>
        <v>0</v>
      </c>
      <c r="D106" s="13">
        <f t="shared" si="3"/>
        <v>0</v>
      </c>
      <c r="E106" s="13">
        <f t="shared" si="4"/>
        <v>0</v>
      </c>
      <c r="F106" s="13">
        <f t="shared" si="5"/>
        <v>1</v>
      </c>
      <c r="G106" s="13">
        <f t="shared" si="6"/>
        <v>1</v>
      </c>
      <c r="H106" s="13">
        <f>'Orbit Info'!C105*((C106*$O$2)+(D106*$O$3)+(E106*$O$4)+(F106*$O$5))</f>
        <v>2.856</v>
      </c>
      <c r="I106" s="13">
        <f t="shared" si="7"/>
        <v>5.74655</v>
      </c>
      <c r="J106" s="18">
        <f t="shared" si="8"/>
        <v>-0.04817583333</v>
      </c>
      <c r="K106" s="18">
        <f t="shared" si="10"/>
        <v>81.572465</v>
      </c>
      <c r="L106" s="4"/>
      <c r="M106" s="4"/>
      <c r="N106" s="4"/>
      <c r="O106" s="4"/>
      <c r="P106" s="4"/>
      <c r="Q106" s="4"/>
      <c r="R106" s="4"/>
      <c r="S106" s="4"/>
      <c r="T106" s="4"/>
      <c r="U106" s="4"/>
      <c r="V106" s="4"/>
      <c r="W106" s="4"/>
    </row>
    <row r="107" ht="15.75" customHeight="1">
      <c r="A107" s="13">
        <f t="shared" si="9"/>
        <v>104</v>
      </c>
      <c r="B107" s="18">
        <f>A107/'Orbit Info'!$G$10</f>
        <v>1.099209193</v>
      </c>
      <c r="C107" s="13">
        <f t="shared" si="2"/>
        <v>0</v>
      </c>
      <c r="D107" s="13">
        <f t="shared" si="3"/>
        <v>0</v>
      </c>
      <c r="E107" s="13">
        <f t="shared" si="4"/>
        <v>0</v>
      </c>
      <c r="F107" s="13">
        <f t="shared" si="5"/>
        <v>1</v>
      </c>
      <c r="G107" s="13">
        <f t="shared" si="6"/>
        <v>1</v>
      </c>
      <c r="H107" s="13">
        <f>'Orbit Info'!C106*((C107*$O$2)+(D107*$O$3)+(E107*$O$4)+(F107*$O$5))</f>
        <v>2.856</v>
      </c>
      <c r="I107" s="13">
        <f t="shared" si="7"/>
        <v>5.74655</v>
      </c>
      <c r="J107" s="18">
        <f t="shared" si="8"/>
        <v>-0.04817583333</v>
      </c>
      <c r="K107" s="18">
        <f t="shared" si="10"/>
        <v>81.52428917</v>
      </c>
      <c r="L107" s="4"/>
      <c r="M107" s="4"/>
      <c r="N107" s="4"/>
      <c r="O107" s="4"/>
      <c r="P107" s="4"/>
      <c r="Q107" s="4"/>
      <c r="R107" s="4"/>
      <c r="S107" s="4"/>
      <c r="T107" s="4"/>
      <c r="U107" s="4"/>
      <c r="V107" s="4"/>
      <c r="W107" s="4"/>
    </row>
    <row r="108" ht="15.75" customHeight="1">
      <c r="A108" s="13">
        <f t="shared" si="9"/>
        <v>105</v>
      </c>
      <c r="B108" s="18">
        <f>A108/'Orbit Info'!$G$10</f>
        <v>1.109778512</v>
      </c>
      <c r="C108" s="13">
        <f t="shared" si="2"/>
        <v>0</v>
      </c>
      <c r="D108" s="13">
        <f t="shared" si="3"/>
        <v>0</v>
      </c>
      <c r="E108" s="13">
        <f t="shared" si="4"/>
        <v>0</v>
      </c>
      <c r="F108" s="13">
        <f t="shared" si="5"/>
        <v>1</v>
      </c>
      <c r="G108" s="13">
        <f t="shared" si="6"/>
        <v>1</v>
      </c>
      <c r="H108" s="13">
        <f>'Orbit Info'!C107*((C108*$O$2)+(D108*$O$3)+(E108*$O$4)+(F108*$O$5))</f>
        <v>2.856</v>
      </c>
      <c r="I108" s="13">
        <f t="shared" si="7"/>
        <v>5.74655</v>
      </c>
      <c r="J108" s="18">
        <f t="shared" si="8"/>
        <v>-0.04817583333</v>
      </c>
      <c r="K108" s="18">
        <f t="shared" si="10"/>
        <v>81.47611333</v>
      </c>
      <c r="L108" s="4"/>
      <c r="M108" s="4"/>
      <c r="N108" s="4"/>
      <c r="O108" s="4"/>
      <c r="P108" s="4"/>
      <c r="Q108" s="4"/>
      <c r="R108" s="4"/>
      <c r="S108" s="4"/>
      <c r="T108" s="4"/>
      <c r="U108" s="4"/>
      <c r="V108" s="4"/>
      <c r="W108" s="4"/>
    </row>
    <row r="109" ht="15.75" customHeight="1">
      <c r="A109" s="13">
        <f t="shared" si="9"/>
        <v>106</v>
      </c>
      <c r="B109" s="18">
        <f>A109/'Orbit Info'!$G$10</f>
        <v>1.120347832</v>
      </c>
      <c r="C109" s="13">
        <f t="shared" si="2"/>
        <v>0</v>
      </c>
      <c r="D109" s="13">
        <f t="shared" si="3"/>
        <v>0</v>
      </c>
      <c r="E109" s="13">
        <f t="shared" si="4"/>
        <v>0</v>
      </c>
      <c r="F109" s="13">
        <f t="shared" si="5"/>
        <v>1</v>
      </c>
      <c r="G109" s="13">
        <f t="shared" si="6"/>
        <v>1</v>
      </c>
      <c r="H109" s="13">
        <f>'Orbit Info'!C108*((C109*$O$2)+(D109*$O$3)+(E109*$O$4)+(F109*$O$5))</f>
        <v>2.856</v>
      </c>
      <c r="I109" s="13">
        <f t="shared" si="7"/>
        <v>5.74655</v>
      </c>
      <c r="J109" s="18">
        <f t="shared" si="8"/>
        <v>-0.04817583333</v>
      </c>
      <c r="K109" s="18">
        <f t="shared" si="10"/>
        <v>81.4279375</v>
      </c>
      <c r="L109" s="4"/>
      <c r="M109" s="4"/>
      <c r="N109" s="4"/>
      <c r="O109" s="4"/>
      <c r="P109" s="4"/>
      <c r="Q109" s="4"/>
      <c r="R109" s="4"/>
      <c r="S109" s="4"/>
      <c r="T109" s="4"/>
      <c r="U109" s="4"/>
      <c r="V109" s="4"/>
      <c r="W109" s="4"/>
    </row>
    <row r="110" ht="15.75" customHeight="1">
      <c r="A110" s="13">
        <f t="shared" si="9"/>
        <v>107</v>
      </c>
      <c r="B110" s="18">
        <f>A110/'Orbit Info'!$G$10</f>
        <v>1.130917151</v>
      </c>
      <c r="C110" s="13">
        <f t="shared" si="2"/>
        <v>0</v>
      </c>
      <c r="D110" s="13">
        <f t="shared" si="3"/>
        <v>0</v>
      </c>
      <c r="E110" s="13">
        <f t="shared" si="4"/>
        <v>0</v>
      </c>
      <c r="F110" s="13">
        <f t="shared" si="5"/>
        <v>1</v>
      </c>
      <c r="G110" s="13">
        <f t="shared" si="6"/>
        <v>1</v>
      </c>
      <c r="H110" s="13">
        <f>'Orbit Info'!C109*((C110*$O$2)+(D110*$O$3)+(E110*$O$4)+(F110*$O$5))</f>
        <v>2.856</v>
      </c>
      <c r="I110" s="13">
        <f t="shared" si="7"/>
        <v>5.74655</v>
      </c>
      <c r="J110" s="18">
        <f t="shared" si="8"/>
        <v>-0.04817583333</v>
      </c>
      <c r="K110" s="18">
        <f t="shared" si="10"/>
        <v>81.37976167</v>
      </c>
      <c r="L110" s="4"/>
      <c r="M110" s="4"/>
      <c r="N110" s="4"/>
      <c r="O110" s="4"/>
      <c r="P110" s="4"/>
      <c r="Q110" s="4"/>
      <c r="R110" s="4"/>
      <c r="S110" s="4"/>
      <c r="T110" s="4"/>
      <c r="U110" s="4"/>
      <c r="V110" s="4"/>
      <c r="W110" s="4"/>
    </row>
    <row r="111" ht="15.75" customHeight="1">
      <c r="A111" s="13">
        <f t="shared" si="9"/>
        <v>108</v>
      </c>
      <c r="B111" s="18">
        <f>A111/'Orbit Info'!$G$10</f>
        <v>1.14148647</v>
      </c>
      <c r="C111" s="13">
        <f t="shared" si="2"/>
        <v>0</v>
      </c>
      <c r="D111" s="13">
        <f t="shared" si="3"/>
        <v>0</v>
      </c>
      <c r="E111" s="13">
        <f t="shared" si="4"/>
        <v>0</v>
      </c>
      <c r="F111" s="13">
        <f t="shared" si="5"/>
        <v>1</v>
      </c>
      <c r="G111" s="13">
        <f t="shared" si="6"/>
        <v>1</v>
      </c>
      <c r="H111" s="13">
        <f>'Orbit Info'!C110*((C111*$O$2)+(D111*$O$3)+(E111*$O$4)+(F111*$O$5))</f>
        <v>2.856</v>
      </c>
      <c r="I111" s="13">
        <f t="shared" si="7"/>
        <v>5.74655</v>
      </c>
      <c r="J111" s="18">
        <f t="shared" si="8"/>
        <v>-0.04817583333</v>
      </c>
      <c r="K111" s="18">
        <f t="shared" si="10"/>
        <v>81.33158583</v>
      </c>
      <c r="L111" s="4"/>
      <c r="M111" s="4"/>
      <c r="N111" s="4"/>
      <c r="O111" s="4"/>
      <c r="P111" s="4"/>
      <c r="Q111" s="4"/>
      <c r="R111" s="4"/>
      <c r="S111" s="4"/>
      <c r="T111" s="4"/>
      <c r="U111" s="4"/>
      <c r="V111" s="4"/>
      <c r="W111" s="4"/>
    </row>
    <row r="112" ht="15.75" customHeight="1">
      <c r="A112" s="13">
        <f t="shared" si="9"/>
        <v>109</v>
      </c>
      <c r="B112" s="18">
        <f>A112/'Orbit Info'!$G$10</f>
        <v>1.152055789</v>
      </c>
      <c r="C112" s="13">
        <f t="shared" si="2"/>
        <v>0</v>
      </c>
      <c r="D112" s="13">
        <f t="shared" si="3"/>
        <v>0</v>
      </c>
      <c r="E112" s="13">
        <f t="shared" si="4"/>
        <v>0</v>
      </c>
      <c r="F112" s="13">
        <f t="shared" si="5"/>
        <v>1</v>
      </c>
      <c r="G112" s="13">
        <f t="shared" si="6"/>
        <v>1</v>
      </c>
      <c r="H112" s="13">
        <f>'Orbit Info'!C111*((C112*$O$2)+(D112*$O$3)+(E112*$O$4)+(F112*$O$5))</f>
        <v>2.856</v>
      </c>
      <c r="I112" s="13">
        <f t="shared" si="7"/>
        <v>5.74655</v>
      </c>
      <c r="J112" s="18">
        <f t="shared" si="8"/>
        <v>-0.04817583333</v>
      </c>
      <c r="K112" s="18">
        <f t="shared" si="10"/>
        <v>81.28341</v>
      </c>
      <c r="L112" s="4"/>
      <c r="M112" s="4"/>
      <c r="N112" s="4"/>
      <c r="O112" s="4"/>
      <c r="P112" s="4"/>
      <c r="Q112" s="4"/>
      <c r="R112" s="4"/>
      <c r="S112" s="4"/>
      <c r="T112" s="4"/>
      <c r="U112" s="4"/>
      <c r="V112" s="4"/>
      <c r="W112" s="4"/>
    </row>
    <row r="113" ht="15.75" customHeight="1">
      <c r="A113" s="13">
        <f t="shared" si="9"/>
        <v>110</v>
      </c>
      <c r="B113" s="18">
        <f>A113/'Orbit Info'!$G$10</f>
        <v>1.162625108</v>
      </c>
      <c r="C113" s="13">
        <f t="shared" si="2"/>
        <v>0</v>
      </c>
      <c r="D113" s="13">
        <f t="shared" si="3"/>
        <v>0</v>
      </c>
      <c r="E113" s="13">
        <f t="shared" si="4"/>
        <v>0</v>
      </c>
      <c r="F113" s="13">
        <f t="shared" si="5"/>
        <v>1</v>
      </c>
      <c r="G113" s="13">
        <f t="shared" si="6"/>
        <v>1</v>
      </c>
      <c r="H113" s="13">
        <f>'Orbit Info'!C112*((C113*$O$2)+(D113*$O$3)+(E113*$O$4)+(F113*$O$5))</f>
        <v>2.856</v>
      </c>
      <c r="I113" s="13">
        <f t="shared" si="7"/>
        <v>5.74655</v>
      </c>
      <c r="J113" s="18">
        <f t="shared" si="8"/>
        <v>-0.04817583333</v>
      </c>
      <c r="K113" s="18">
        <f t="shared" si="10"/>
        <v>81.23523417</v>
      </c>
      <c r="L113" s="4"/>
      <c r="M113" s="4"/>
      <c r="N113" s="4"/>
      <c r="O113" s="4"/>
      <c r="P113" s="4"/>
      <c r="Q113" s="4"/>
      <c r="R113" s="4"/>
      <c r="S113" s="4"/>
      <c r="T113" s="4"/>
      <c r="U113" s="4"/>
      <c r="V113" s="4"/>
      <c r="W113" s="4"/>
    </row>
    <row r="114" ht="15.75" customHeight="1">
      <c r="A114" s="13">
        <f t="shared" si="9"/>
        <v>111</v>
      </c>
      <c r="B114" s="18">
        <f>A114/'Orbit Info'!$G$10</f>
        <v>1.173194427</v>
      </c>
      <c r="C114" s="13">
        <f t="shared" si="2"/>
        <v>0</v>
      </c>
      <c r="D114" s="13">
        <f t="shared" si="3"/>
        <v>0</v>
      </c>
      <c r="E114" s="13">
        <f t="shared" si="4"/>
        <v>0</v>
      </c>
      <c r="F114" s="13">
        <f t="shared" si="5"/>
        <v>1</v>
      </c>
      <c r="G114" s="13">
        <f t="shared" si="6"/>
        <v>1</v>
      </c>
      <c r="H114" s="13">
        <f>'Orbit Info'!C113*((C114*$O$2)+(D114*$O$3)+(E114*$O$4)+(F114*$O$5))</f>
        <v>2.856</v>
      </c>
      <c r="I114" s="13">
        <f t="shared" si="7"/>
        <v>5.74655</v>
      </c>
      <c r="J114" s="18">
        <f t="shared" si="8"/>
        <v>-0.04817583333</v>
      </c>
      <c r="K114" s="18">
        <f t="shared" si="10"/>
        <v>81.18705833</v>
      </c>
      <c r="L114" s="4"/>
      <c r="M114" s="4"/>
      <c r="N114" s="4"/>
      <c r="O114" s="4"/>
      <c r="P114" s="4"/>
      <c r="Q114" s="4"/>
      <c r="R114" s="4"/>
      <c r="S114" s="4"/>
      <c r="T114" s="4"/>
      <c r="U114" s="4"/>
      <c r="V114" s="4"/>
      <c r="W114" s="4"/>
    </row>
    <row r="115" ht="15.75" customHeight="1">
      <c r="A115" s="13">
        <f t="shared" si="9"/>
        <v>112</v>
      </c>
      <c r="B115" s="18">
        <f>A115/'Orbit Info'!$G$10</f>
        <v>1.183763747</v>
      </c>
      <c r="C115" s="13">
        <f t="shared" si="2"/>
        <v>0</v>
      </c>
      <c r="D115" s="13">
        <f t="shared" si="3"/>
        <v>0</v>
      </c>
      <c r="E115" s="13">
        <f t="shared" si="4"/>
        <v>0</v>
      </c>
      <c r="F115" s="13">
        <f t="shared" si="5"/>
        <v>1</v>
      </c>
      <c r="G115" s="13">
        <f t="shared" si="6"/>
        <v>1</v>
      </c>
      <c r="H115" s="13">
        <f>'Orbit Info'!C114*((C115*$O$2)+(D115*$O$3)+(E115*$O$4)+(F115*$O$5))</f>
        <v>2.856</v>
      </c>
      <c r="I115" s="13">
        <f t="shared" si="7"/>
        <v>5.74655</v>
      </c>
      <c r="J115" s="18">
        <f t="shared" si="8"/>
        <v>-0.04817583333</v>
      </c>
      <c r="K115" s="18">
        <f t="shared" si="10"/>
        <v>81.1388825</v>
      </c>
      <c r="L115" s="4"/>
      <c r="M115" s="4"/>
      <c r="N115" s="4"/>
      <c r="O115" s="4"/>
      <c r="P115" s="4"/>
      <c r="Q115" s="4"/>
      <c r="R115" s="4"/>
      <c r="S115" s="4"/>
      <c r="T115" s="4"/>
      <c r="U115" s="4"/>
      <c r="V115" s="4"/>
      <c r="W115" s="4"/>
    </row>
    <row r="116" ht="15.75" customHeight="1">
      <c r="A116" s="13">
        <f t="shared" si="9"/>
        <v>113</v>
      </c>
      <c r="B116" s="18">
        <f>A116/'Orbit Info'!$G$10</f>
        <v>1.194333066</v>
      </c>
      <c r="C116" s="13">
        <f t="shared" si="2"/>
        <v>0</v>
      </c>
      <c r="D116" s="13">
        <f t="shared" si="3"/>
        <v>0</v>
      </c>
      <c r="E116" s="13">
        <f t="shared" si="4"/>
        <v>0</v>
      </c>
      <c r="F116" s="13">
        <f t="shared" si="5"/>
        <v>1</v>
      </c>
      <c r="G116" s="13">
        <f t="shared" si="6"/>
        <v>1</v>
      </c>
      <c r="H116" s="13">
        <f>'Orbit Info'!C115*((C116*$O$2)+(D116*$O$3)+(E116*$O$4)+(F116*$O$5))</f>
        <v>2.856</v>
      </c>
      <c r="I116" s="13">
        <f t="shared" si="7"/>
        <v>5.74655</v>
      </c>
      <c r="J116" s="18">
        <f t="shared" si="8"/>
        <v>-0.04817583333</v>
      </c>
      <c r="K116" s="18">
        <f t="shared" si="10"/>
        <v>81.09070667</v>
      </c>
      <c r="L116" s="4"/>
      <c r="M116" s="4"/>
      <c r="N116" s="4"/>
      <c r="O116" s="4"/>
      <c r="P116" s="4"/>
      <c r="Q116" s="4"/>
      <c r="R116" s="4"/>
      <c r="S116" s="4"/>
      <c r="T116" s="4"/>
      <c r="U116" s="4"/>
      <c r="V116" s="4"/>
      <c r="W116" s="4"/>
    </row>
    <row r="117" ht="15.75" customHeight="1">
      <c r="A117" s="13">
        <f t="shared" si="9"/>
        <v>114</v>
      </c>
      <c r="B117" s="18">
        <f>A117/'Orbit Info'!$G$10</f>
        <v>1.204902385</v>
      </c>
      <c r="C117" s="13">
        <f t="shared" si="2"/>
        <v>0</v>
      </c>
      <c r="D117" s="13">
        <f t="shared" si="3"/>
        <v>0</v>
      </c>
      <c r="E117" s="13">
        <f t="shared" si="4"/>
        <v>0</v>
      </c>
      <c r="F117" s="13">
        <f t="shared" si="5"/>
        <v>1</v>
      </c>
      <c r="G117" s="13">
        <f t="shared" si="6"/>
        <v>1</v>
      </c>
      <c r="H117" s="13">
        <f>'Orbit Info'!C116*((C117*$O$2)+(D117*$O$3)+(E117*$O$4)+(F117*$O$5))</f>
        <v>2.856</v>
      </c>
      <c r="I117" s="13">
        <f t="shared" si="7"/>
        <v>5.74655</v>
      </c>
      <c r="J117" s="18">
        <f t="shared" si="8"/>
        <v>-0.04817583333</v>
      </c>
      <c r="K117" s="18">
        <f t="shared" si="10"/>
        <v>81.04253083</v>
      </c>
      <c r="L117" s="4"/>
      <c r="M117" s="4"/>
      <c r="N117" s="4"/>
      <c r="O117" s="4"/>
      <c r="P117" s="4"/>
      <c r="Q117" s="4"/>
      <c r="R117" s="4"/>
      <c r="S117" s="4"/>
      <c r="T117" s="4"/>
      <c r="U117" s="4"/>
      <c r="V117" s="4"/>
      <c r="W117" s="4"/>
    </row>
    <row r="118" ht="15.75" customHeight="1">
      <c r="A118" s="13">
        <f t="shared" si="9"/>
        <v>115</v>
      </c>
      <c r="B118" s="18">
        <f>A118/'Orbit Info'!$G$10</f>
        <v>1.215471704</v>
      </c>
      <c r="C118" s="13">
        <f t="shared" si="2"/>
        <v>0</v>
      </c>
      <c r="D118" s="13">
        <f t="shared" si="3"/>
        <v>0</v>
      </c>
      <c r="E118" s="13">
        <f t="shared" si="4"/>
        <v>0</v>
      </c>
      <c r="F118" s="13">
        <f t="shared" si="5"/>
        <v>1</v>
      </c>
      <c r="G118" s="13">
        <f t="shared" si="6"/>
        <v>1</v>
      </c>
      <c r="H118" s="13">
        <f>'Orbit Info'!C117*((C118*$O$2)+(D118*$O$3)+(E118*$O$4)+(F118*$O$5))</f>
        <v>2.856</v>
      </c>
      <c r="I118" s="13">
        <f t="shared" si="7"/>
        <v>5.74655</v>
      </c>
      <c r="J118" s="18">
        <f t="shared" si="8"/>
        <v>-0.04817583333</v>
      </c>
      <c r="K118" s="18">
        <f t="shared" si="10"/>
        <v>80.994355</v>
      </c>
      <c r="L118" s="4"/>
      <c r="M118" s="4"/>
      <c r="N118" s="4"/>
      <c r="O118" s="4"/>
      <c r="P118" s="4"/>
      <c r="Q118" s="4"/>
      <c r="R118" s="4"/>
      <c r="S118" s="4"/>
      <c r="T118" s="4"/>
      <c r="U118" s="4"/>
      <c r="V118" s="4"/>
      <c r="W118" s="4"/>
    </row>
    <row r="119" ht="15.75" customHeight="1">
      <c r="A119" s="13">
        <f t="shared" si="9"/>
        <v>116</v>
      </c>
      <c r="B119" s="18">
        <f>A119/'Orbit Info'!$G$10</f>
        <v>1.226041023</v>
      </c>
      <c r="C119" s="13">
        <f t="shared" si="2"/>
        <v>0</v>
      </c>
      <c r="D119" s="13">
        <f t="shared" si="3"/>
        <v>0</v>
      </c>
      <c r="E119" s="13">
        <f t="shared" si="4"/>
        <v>0</v>
      </c>
      <c r="F119" s="13">
        <f t="shared" si="5"/>
        <v>1</v>
      </c>
      <c r="G119" s="13">
        <f t="shared" si="6"/>
        <v>1</v>
      </c>
      <c r="H119" s="13">
        <f>'Orbit Info'!C118*((C119*$O$2)+(D119*$O$3)+(E119*$O$4)+(F119*$O$5))</f>
        <v>2.856</v>
      </c>
      <c r="I119" s="13">
        <f t="shared" si="7"/>
        <v>5.74655</v>
      </c>
      <c r="J119" s="18">
        <f t="shared" si="8"/>
        <v>-0.04817583333</v>
      </c>
      <c r="K119" s="18">
        <f t="shared" si="10"/>
        <v>80.94617917</v>
      </c>
      <c r="L119" s="4"/>
      <c r="M119" s="4"/>
      <c r="N119" s="4"/>
      <c r="O119" s="4"/>
      <c r="P119" s="4"/>
      <c r="Q119" s="4"/>
      <c r="R119" s="4"/>
      <c r="S119" s="4"/>
      <c r="T119" s="4"/>
      <c r="U119" s="4"/>
      <c r="V119" s="4"/>
      <c r="W119" s="4"/>
    </row>
    <row r="120" ht="15.75" customHeight="1">
      <c r="A120" s="13">
        <f t="shared" si="9"/>
        <v>117</v>
      </c>
      <c r="B120" s="18">
        <f>A120/'Orbit Info'!$G$10</f>
        <v>1.236610342</v>
      </c>
      <c r="C120" s="13">
        <f t="shared" si="2"/>
        <v>0</v>
      </c>
      <c r="D120" s="13">
        <f t="shared" si="3"/>
        <v>0</v>
      </c>
      <c r="E120" s="13">
        <f t="shared" si="4"/>
        <v>0</v>
      </c>
      <c r="F120" s="13">
        <f t="shared" si="5"/>
        <v>1</v>
      </c>
      <c r="G120" s="13">
        <f t="shared" si="6"/>
        <v>1</v>
      </c>
      <c r="H120" s="13">
        <f>'Orbit Info'!C119*((C120*$O$2)+(D120*$O$3)+(E120*$O$4)+(F120*$O$5))</f>
        <v>2.856</v>
      </c>
      <c r="I120" s="13">
        <f t="shared" si="7"/>
        <v>5.74655</v>
      </c>
      <c r="J120" s="18">
        <f t="shared" si="8"/>
        <v>-0.04817583333</v>
      </c>
      <c r="K120" s="18">
        <f t="shared" si="10"/>
        <v>80.89800333</v>
      </c>
      <c r="L120" s="4"/>
      <c r="M120" s="4"/>
      <c r="N120" s="4"/>
      <c r="O120" s="4"/>
      <c r="P120" s="4"/>
      <c r="Q120" s="4"/>
      <c r="R120" s="4"/>
      <c r="S120" s="4"/>
      <c r="T120" s="4"/>
      <c r="U120" s="4"/>
      <c r="V120" s="4"/>
      <c r="W120" s="4"/>
    </row>
    <row r="121" ht="15.75" customHeight="1">
      <c r="A121" s="13">
        <f t="shared" si="9"/>
        <v>118</v>
      </c>
      <c r="B121" s="18">
        <f>A121/'Orbit Info'!$G$10</f>
        <v>1.247179662</v>
      </c>
      <c r="C121" s="13">
        <f t="shared" si="2"/>
        <v>0</v>
      </c>
      <c r="D121" s="13">
        <f t="shared" si="3"/>
        <v>0</v>
      </c>
      <c r="E121" s="13">
        <f t="shared" si="4"/>
        <v>0</v>
      </c>
      <c r="F121" s="13">
        <f t="shared" si="5"/>
        <v>1</v>
      </c>
      <c r="G121" s="13">
        <f t="shared" si="6"/>
        <v>1</v>
      </c>
      <c r="H121" s="13">
        <f>'Orbit Info'!C120*((C121*$O$2)+(D121*$O$3)+(E121*$O$4)+(F121*$O$5))</f>
        <v>2.856</v>
      </c>
      <c r="I121" s="13">
        <f t="shared" si="7"/>
        <v>5.74655</v>
      </c>
      <c r="J121" s="18">
        <f t="shared" si="8"/>
        <v>-0.04817583333</v>
      </c>
      <c r="K121" s="18">
        <f t="shared" si="10"/>
        <v>80.8498275</v>
      </c>
      <c r="L121" s="4"/>
      <c r="M121" s="4"/>
      <c r="N121" s="4"/>
      <c r="O121" s="4"/>
      <c r="P121" s="4"/>
      <c r="Q121" s="4"/>
      <c r="R121" s="4"/>
      <c r="S121" s="4"/>
      <c r="T121" s="4"/>
      <c r="U121" s="4"/>
      <c r="V121" s="4"/>
      <c r="W121" s="4"/>
    </row>
    <row r="122" ht="15.75" customHeight="1">
      <c r="A122" s="13">
        <f t="shared" si="9"/>
        <v>119</v>
      </c>
      <c r="B122" s="18">
        <f>A122/'Orbit Info'!$G$10</f>
        <v>1.257748981</v>
      </c>
      <c r="C122" s="13">
        <f t="shared" si="2"/>
        <v>0</v>
      </c>
      <c r="D122" s="13">
        <f t="shared" si="3"/>
        <v>0</v>
      </c>
      <c r="E122" s="13">
        <f t="shared" si="4"/>
        <v>0</v>
      </c>
      <c r="F122" s="13">
        <f t="shared" si="5"/>
        <v>1</v>
      </c>
      <c r="G122" s="13">
        <f t="shared" si="6"/>
        <v>1</v>
      </c>
      <c r="H122" s="13">
        <f>'Orbit Info'!C121*((C122*$O$2)+(D122*$O$3)+(E122*$O$4)+(F122*$O$5))</f>
        <v>2.856</v>
      </c>
      <c r="I122" s="13">
        <f t="shared" si="7"/>
        <v>5.74655</v>
      </c>
      <c r="J122" s="18">
        <f t="shared" si="8"/>
        <v>-0.04817583333</v>
      </c>
      <c r="K122" s="18">
        <f t="shared" si="10"/>
        <v>80.80165167</v>
      </c>
      <c r="L122" s="4"/>
      <c r="M122" s="4"/>
      <c r="N122" s="4"/>
      <c r="O122" s="4"/>
      <c r="P122" s="4"/>
      <c r="Q122" s="4"/>
      <c r="R122" s="4"/>
      <c r="S122" s="4"/>
      <c r="T122" s="4"/>
      <c r="U122" s="4"/>
      <c r="V122" s="4"/>
      <c r="W122" s="4"/>
    </row>
    <row r="123" ht="15.75" customHeight="1">
      <c r="A123" s="13">
        <f t="shared" si="9"/>
        <v>120</v>
      </c>
      <c r="B123" s="18">
        <f>A123/'Orbit Info'!$G$10</f>
        <v>1.2683183</v>
      </c>
      <c r="C123" s="13">
        <f t="shared" si="2"/>
        <v>0</v>
      </c>
      <c r="D123" s="13">
        <f t="shared" si="3"/>
        <v>0</v>
      </c>
      <c r="E123" s="13">
        <f t="shared" si="4"/>
        <v>0</v>
      </c>
      <c r="F123" s="13">
        <f t="shared" si="5"/>
        <v>1</v>
      </c>
      <c r="G123" s="13">
        <f t="shared" si="6"/>
        <v>1</v>
      </c>
      <c r="H123" s="13">
        <f>'Orbit Info'!C122*((C123*$O$2)+(D123*$O$3)+(E123*$O$4)+(F123*$O$5))</f>
        <v>2.856</v>
      </c>
      <c r="I123" s="13">
        <f t="shared" si="7"/>
        <v>5.74655</v>
      </c>
      <c r="J123" s="18">
        <f t="shared" si="8"/>
        <v>-0.04817583333</v>
      </c>
      <c r="K123" s="18">
        <f t="shared" si="10"/>
        <v>80.75347583</v>
      </c>
      <c r="L123" s="4"/>
      <c r="M123" s="4"/>
      <c r="N123" s="4"/>
      <c r="O123" s="4"/>
      <c r="P123" s="4"/>
      <c r="Q123" s="4"/>
      <c r="R123" s="4"/>
      <c r="S123" s="4"/>
      <c r="T123" s="4"/>
      <c r="U123" s="4"/>
      <c r="V123" s="4"/>
      <c r="W123" s="4"/>
    </row>
    <row r="124" ht="15.75" customHeight="1">
      <c r="A124" s="13">
        <f t="shared" si="9"/>
        <v>121</v>
      </c>
      <c r="B124" s="18">
        <f>A124/'Orbit Info'!$G$10</f>
        <v>1.278887619</v>
      </c>
      <c r="C124" s="13">
        <f t="shared" si="2"/>
        <v>0</v>
      </c>
      <c r="D124" s="13">
        <f t="shared" si="3"/>
        <v>0</v>
      </c>
      <c r="E124" s="13">
        <f t="shared" si="4"/>
        <v>0</v>
      </c>
      <c r="F124" s="13">
        <f t="shared" si="5"/>
        <v>1</v>
      </c>
      <c r="G124" s="13">
        <f t="shared" si="6"/>
        <v>1</v>
      </c>
      <c r="H124" s="13">
        <f>'Orbit Info'!C123*((C124*$O$2)+(D124*$O$3)+(E124*$O$4)+(F124*$O$5))</f>
        <v>2.856</v>
      </c>
      <c r="I124" s="13">
        <f t="shared" si="7"/>
        <v>5.74655</v>
      </c>
      <c r="J124" s="18">
        <f t="shared" si="8"/>
        <v>-0.04817583333</v>
      </c>
      <c r="K124" s="18">
        <f t="shared" si="10"/>
        <v>80.7053</v>
      </c>
      <c r="L124" s="4"/>
      <c r="M124" s="4"/>
      <c r="N124" s="4"/>
      <c r="O124" s="4"/>
      <c r="P124" s="4"/>
      <c r="Q124" s="4"/>
      <c r="R124" s="4"/>
      <c r="S124" s="4"/>
      <c r="T124" s="4"/>
      <c r="U124" s="4"/>
      <c r="V124" s="4"/>
      <c r="W124" s="4"/>
    </row>
    <row r="125" ht="15.75" customHeight="1">
      <c r="A125" s="13">
        <f t="shared" si="9"/>
        <v>122</v>
      </c>
      <c r="B125" s="18">
        <f>A125/'Orbit Info'!$G$10</f>
        <v>1.289456938</v>
      </c>
      <c r="C125" s="13">
        <f t="shared" si="2"/>
        <v>0</v>
      </c>
      <c r="D125" s="13">
        <f t="shared" si="3"/>
        <v>0</v>
      </c>
      <c r="E125" s="13">
        <f t="shared" si="4"/>
        <v>0</v>
      </c>
      <c r="F125" s="13">
        <f t="shared" si="5"/>
        <v>1</v>
      </c>
      <c r="G125" s="13">
        <f t="shared" si="6"/>
        <v>1</v>
      </c>
      <c r="H125" s="13">
        <f>'Orbit Info'!C124*((C125*$O$2)+(D125*$O$3)+(E125*$O$4)+(F125*$O$5))</f>
        <v>2.856</v>
      </c>
      <c r="I125" s="13">
        <f t="shared" si="7"/>
        <v>5.74655</v>
      </c>
      <c r="J125" s="18">
        <f t="shared" si="8"/>
        <v>-0.04817583333</v>
      </c>
      <c r="K125" s="18">
        <f t="shared" si="10"/>
        <v>80.65712417</v>
      </c>
      <c r="L125" s="4"/>
      <c r="M125" s="4"/>
      <c r="N125" s="4"/>
      <c r="O125" s="4"/>
      <c r="P125" s="4"/>
      <c r="Q125" s="4"/>
      <c r="R125" s="4"/>
      <c r="S125" s="4"/>
      <c r="T125" s="4"/>
      <c r="U125" s="4"/>
      <c r="V125" s="4"/>
      <c r="W125" s="4"/>
    </row>
    <row r="126" ht="15.75" customHeight="1">
      <c r="A126" s="13">
        <f t="shared" si="9"/>
        <v>123</v>
      </c>
      <c r="B126" s="18">
        <f>A126/'Orbit Info'!$G$10</f>
        <v>1.300026257</v>
      </c>
      <c r="C126" s="13">
        <f t="shared" si="2"/>
        <v>0</v>
      </c>
      <c r="D126" s="13">
        <f t="shared" si="3"/>
        <v>0</v>
      </c>
      <c r="E126" s="13">
        <f t="shared" si="4"/>
        <v>0</v>
      </c>
      <c r="F126" s="13">
        <f t="shared" si="5"/>
        <v>1</v>
      </c>
      <c r="G126" s="13">
        <f t="shared" si="6"/>
        <v>1</v>
      </c>
      <c r="H126" s="13">
        <f>'Orbit Info'!C125*((C126*$O$2)+(D126*$O$3)+(E126*$O$4)+(F126*$O$5))</f>
        <v>2.856</v>
      </c>
      <c r="I126" s="13">
        <f t="shared" si="7"/>
        <v>5.74655</v>
      </c>
      <c r="J126" s="18">
        <f t="shared" si="8"/>
        <v>-0.04817583333</v>
      </c>
      <c r="K126" s="18">
        <f t="shared" si="10"/>
        <v>80.60894833</v>
      </c>
      <c r="L126" s="4"/>
      <c r="M126" s="4"/>
      <c r="N126" s="4"/>
      <c r="O126" s="4"/>
      <c r="P126" s="4"/>
      <c r="Q126" s="4"/>
      <c r="R126" s="4"/>
      <c r="S126" s="4"/>
      <c r="T126" s="4"/>
      <c r="U126" s="4"/>
      <c r="V126" s="4"/>
      <c r="W126" s="4"/>
    </row>
    <row r="127" ht="15.75" customHeight="1">
      <c r="A127" s="13">
        <f t="shared" si="9"/>
        <v>124</v>
      </c>
      <c r="B127" s="18">
        <f>A127/'Orbit Info'!$G$10</f>
        <v>1.310595577</v>
      </c>
      <c r="C127" s="13">
        <f t="shared" si="2"/>
        <v>0</v>
      </c>
      <c r="D127" s="13">
        <f t="shared" si="3"/>
        <v>0</v>
      </c>
      <c r="E127" s="13">
        <f t="shared" si="4"/>
        <v>0</v>
      </c>
      <c r="F127" s="13">
        <f t="shared" si="5"/>
        <v>1</v>
      </c>
      <c r="G127" s="13">
        <f t="shared" si="6"/>
        <v>1</v>
      </c>
      <c r="H127" s="13">
        <f>'Orbit Info'!C126*((C127*$O$2)+(D127*$O$3)+(E127*$O$4)+(F127*$O$5))</f>
        <v>2.856</v>
      </c>
      <c r="I127" s="13">
        <f t="shared" si="7"/>
        <v>5.74655</v>
      </c>
      <c r="J127" s="18">
        <f t="shared" si="8"/>
        <v>-0.04817583333</v>
      </c>
      <c r="K127" s="18">
        <f t="shared" si="10"/>
        <v>80.5607725</v>
      </c>
      <c r="L127" s="4"/>
      <c r="M127" s="4"/>
      <c r="N127" s="4"/>
      <c r="O127" s="4"/>
      <c r="P127" s="4"/>
      <c r="Q127" s="4"/>
      <c r="R127" s="4"/>
      <c r="S127" s="4"/>
      <c r="T127" s="4"/>
      <c r="U127" s="4"/>
      <c r="V127" s="4"/>
      <c r="W127" s="4"/>
    </row>
    <row r="128" ht="15.75" customHeight="1">
      <c r="A128" s="13">
        <f t="shared" si="9"/>
        <v>125</v>
      </c>
      <c r="B128" s="18">
        <f>A128/'Orbit Info'!$G$10</f>
        <v>1.321164896</v>
      </c>
      <c r="C128" s="13">
        <f t="shared" si="2"/>
        <v>0</v>
      </c>
      <c r="D128" s="13">
        <f t="shared" si="3"/>
        <v>0</v>
      </c>
      <c r="E128" s="13">
        <f t="shared" si="4"/>
        <v>0</v>
      </c>
      <c r="F128" s="13">
        <f t="shared" si="5"/>
        <v>1</v>
      </c>
      <c r="G128" s="13">
        <f t="shared" si="6"/>
        <v>1</v>
      </c>
      <c r="H128" s="13">
        <f>'Orbit Info'!C127*((C128*$O$2)+(D128*$O$3)+(E128*$O$4)+(F128*$O$5))</f>
        <v>2.856</v>
      </c>
      <c r="I128" s="13">
        <f t="shared" si="7"/>
        <v>5.74655</v>
      </c>
      <c r="J128" s="18">
        <f t="shared" si="8"/>
        <v>-0.04817583333</v>
      </c>
      <c r="K128" s="18">
        <f t="shared" si="10"/>
        <v>80.51259667</v>
      </c>
      <c r="L128" s="4"/>
      <c r="M128" s="4"/>
      <c r="N128" s="4"/>
      <c r="O128" s="4"/>
      <c r="P128" s="4"/>
      <c r="Q128" s="4"/>
      <c r="R128" s="4"/>
      <c r="S128" s="4"/>
      <c r="T128" s="4"/>
      <c r="U128" s="4"/>
      <c r="V128" s="4"/>
      <c r="W128" s="4"/>
    </row>
    <row r="129" ht="15.75" customHeight="1">
      <c r="A129" s="13">
        <f t="shared" si="9"/>
        <v>126</v>
      </c>
      <c r="B129" s="18">
        <f>A129/'Orbit Info'!$G$10</f>
        <v>1.331734215</v>
      </c>
      <c r="C129" s="13">
        <f t="shared" si="2"/>
        <v>0</v>
      </c>
      <c r="D129" s="13">
        <f t="shared" si="3"/>
        <v>0</v>
      </c>
      <c r="E129" s="13">
        <f t="shared" si="4"/>
        <v>0</v>
      </c>
      <c r="F129" s="13">
        <f t="shared" si="5"/>
        <v>1</v>
      </c>
      <c r="G129" s="13">
        <f t="shared" si="6"/>
        <v>1</v>
      </c>
      <c r="H129" s="13">
        <f>'Orbit Info'!C128*((C129*$O$2)+(D129*$O$3)+(E129*$O$4)+(F129*$O$5))</f>
        <v>2.856</v>
      </c>
      <c r="I129" s="13">
        <f t="shared" si="7"/>
        <v>5.74655</v>
      </c>
      <c r="J129" s="18">
        <f t="shared" si="8"/>
        <v>-0.04817583333</v>
      </c>
      <c r="K129" s="18">
        <f t="shared" si="10"/>
        <v>80.46442083</v>
      </c>
      <c r="L129" s="4"/>
      <c r="M129" s="4"/>
      <c r="N129" s="4"/>
      <c r="O129" s="4"/>
      <c r="P129" s="4"/>
      <c r="Q129" s="4"/>
      <c r="R129" s="4"/>
      <c r="S129" s="4"/>
      <c r="T129" s="4"/>
      <c r="U129" s="4"/>
      <c r="V129" s="4"/>
      <c r="W129" s="4"/>
    </row>
    <row r="130" ht="15.75" customHeight="1">
      <c r="A130" s="13">
        <f t="shared" si="9"/>
        <v>127</v>
      </c>
      <c r="B130" s="18">
        <f>A130/'Orbit Info'!$G$10</f>
        <v>1.342303534</v>
      </c>
      <c r="C130" s="13">
        <f t="shared" si="2"/>
        <v>0</v>
      </c>
      <c r="D130" s="13">
        <f t="shared" si="3"/>
        <v>0</v>
      </c>
      <c r="E130" s="13">
        <f t="shared" si="4"/>
        <v>0</v>
      </c>
      <c r="F130" s="13">
        <f t="shared" si="5"/>
        <v>1</v>
      </c>
      <c r="G130" s="13">
        <f t="shared" si="6"/>
        <v>1</v>
      </c>
      <c r="H130" s="13">
        <f>'Orbit Info'!C129*((C130*$O$2)+(D130*$O$3)+(E130*$O$4)+(F130*$O$5))</f>
        <v>2.856</v>
      </c>
      <c r="I130" s="13">
        <f t="shared" si="7"/>
        <v>5.74655</v>
      </c>
      <c r="J130" s="18">
        <f t="shared" si="8"/>
        <v>-0.04817583333</v>
      </c>
      <c r="K130" s="18">
        <f t="shared" si="10"/>
        <v>80.416245</v>
      </c>
      <c r="L130" s="4"/>
      <c r="M130" s="4"/>
      <c r="N130" s="4"/>
      <c r="O130" s="4"/>
      <c r="P130" s="4"/>
      <c r="Q130" s="4"/>
      <c r="R130" s="4"/>
      <c r="S130" s="4"/>
      <c r="T130" s="4"/>
      <c r="U130" s="4"/>
      <c r="V130" s="4"/>
      <c r="W130" s="4"/>
    </row>
    <row r="131" ht="15.75" customHeight="1">
      <c r="A131" s="13">
        <f t="shared" si="9"/>
        <v>128</v>
      </c>
      <c r="B131" s="18">
        <f>A131/'Orbit Info'!$G$10</f>
        <v>1.352872853</v>
      </c>
      <c r="C131" s="13">
        <f t="shared" si="2"/>
        <v>0</v>
      </c>
      <c r="D131" s="13">
        <f t="shared" si="3"/>
        <v>0</v>
      </c>
      <c r="E131" s="13">
        <f t="shared" si="4"/>
        <v>0</v>
      </c>
      <c r="F131" s="13">
        <f t="shared" si="5"/>
        <v>1</v>
      </c>
      <c r="G131" s="13">
        <f t="shared" si="6"/>
        <v>1</v>
      </c>
      <c r="H131" s="13">
        <f>'Orbit Info'!C130*((C131*$O$2)+(D131*$O$3)+(E131*$O$4)+(F131*$O$5))</f>
        <v>2.856</v>
      </c>
      <c r="I131" s="13">
        <f t="shared" si="7"/>
        <v>5.74655</v>
      </c>
      <c r="J131" s="18">
        <f t="shared" si="8"/>
        <v>-0.04817583333</v>
      </c>
      <c r="K131" s="18">
        <f t="shared" si="10"/>
        <v>80.36806917</v>
      </c>
      <c r="L131" s="4"/>
      <c r="M131" s="4"/>
      <c r="N131" s="4"/>
      <c r="O131" s="4"/>
      <c r="P131" s="4"/>
      <c r="Q131" s="4"/>
      <c r="R131" s="4"/>
      <c r="S131" s="4"/>
      <c r="T131" s="4"/>
      <c r="U131" s="4"/>
      <c r="V131" s="4"/>
      <c r="W131" s="4"/>
    </row>
    <row r="132" ht="15.75" customHeight="1">
      <c r="A132" s="13">
        <f t="shared" si="9"/>
        <v>129</v>
      </c>
      <c r="B132" s="18">
        <f>A132/'Orbit Info'!$G$10</f>
        <v>1.363442172</v>
      </c>
      <c r="C132" s="13">
        <f t="shared" si="2"/>
        <v>0</v>
      </c>
      <c r="D132" s="13">
        <f t="shared" si="3"/>
        <v>0</v>
      </c>
      <c r="E132" s="13">
        <f t="shared" si="4"/>
        <v>0</v>
      </c>
      <c r="F132" s="13">
        <f t="shared" si="5"/>
        <v>1</v>
      </c>
      <c r="G132" s="13">
        <f t="shared" si="6"/>
        <v>1</v>
      </c>
      <c r="H132" s="13">
        <f>'Orbit Info'!C131*((C132*$O$2)+(D132*$O$3)+(E132*$O$4)+(F132*$O$5))</f>
        <v>2.856</v>
      </c>
      <c r="I132" s="13">
        <f t="shared" si="7"/>
        <v>5.74655</v>
      </c>
      <c r="J132" s="18">
        <f t="shared" si="8"/>
        <v>-0.04817583333</v>
      </c>
      <c r="K132" s="18">
        <f t="shared" si="10"/>
        <v>80.31989333</v>
      </c>
      <c r="L132" s="4"/>
      <c r="M132" s="4"/>
      <c r="N132" s="4"/>
      <c r="O132" s="4"/>
      <c r="P132" s="4"/>
      <c r="Q132" s="4"/>
      <c r="R132" s="4"/>
      <c r="S132" s="4"/>
      <c r="T132" s="4"/>
      <c r="U132" s="4"/>
      <c r="V132" s="4"/>
      <c r="W132" s="4"/>
    </row>
    <row r="133" ht="15.75" customHeight="1">
      <c r="A133" s="13">
        <f t="shared" si="9"/>
        <v>130</v>
      </c>
      <c r="B133" s="18">
        <f>A133/'Orbit Info'!$G$10</f>
        <v>1.374011492</v>
      </c>
      <c r="C133" s="13">
        <f t="shared" si="2"/>
        <v>0</v>
      </c>
      <c r="D133" s="13">
        <f t="shared" si="3"/>
        <v>0</v>
      </c>
      <c r="E133" s="13">
        <f t="shared" si="4"/>
        <v>0</v>
      </c>
      <c r="F133" s="13">
        <f t="shared" si="5"/>
        <v>1</v>
      </c>
      <c r="G133" s="13">
        <f t="shared" si="6"/>
        <v>1</v>
      </c>
      <c r="H133" s="13">
        <f>'Orbit Info'!C132*((C133*$O$2)+(D133*$O$3)+(E133*$O$4)+(F133*$O$5))</f>
        <v>2.856</v>
      </c>
      <c r="I133" s="13">
        <f t="shared" si="7"/>
        <v>5.74655</v>
      </c>
      <c r="J133" s="18">
        <f t="shared" si="8"/>
        <v>-0.04817583333</v>
      </c>
      <c r="K133" s="18">
        <f t="shared" si="10"/>
        <v>80.2717175</v>
      </c>
      <c r="L133" s="4"/>
      <c r="M133" s="4"/>
      <c r="N133" s="4"/>
      <c r="O133" s="4"/>
      <c r="P133" s="4"/>
      <c r="Q133" s="4"/>
      <c r="R133" s="4"/>
      <c r="S133" s="4"/>
      <c r="T133" s="4"/>
      <c r="U133" s="4"/>
      <c r="V133" s="4"/>
      <c r="W133" s="4"/>
    </row>
    <row r="134" ht="15.75" customHeight="1">
      <c r="A134" s="13">
        <f t="shared" si="9"/>
        <v>131</v>
      </c>
      <c r="B134" s="18">
        <f>A134/'Orbit Info'!$G$10</f>
        <v>1.384580811</v>
      </c>
      <c r="C134" s="13">
        <f t="shared" si="2"/>
        <v>0</v>
      </c>
      <c r="D134" s="13">
        <f t="shared" si="3"/>
        <v>0</v>
      </c>
      <c r="E134" s="13">
        <f t="shared" si="4"/>
        <v>0</v>
      </c>
      <c r="F134" s="13">
        <f t="shared" si="5"/>
        <v>1</v>
      </c>
      <c r="G134" s="13">
        <f t="shared" si="6"/>
        <v>1</v>
      </c>
      <c r="H134" s="13">
        <f>'Orbit Info'!C133*((C134*$O$2)+(D134*$O$3)+(E134*$O$4)+(F134*$O$5))</f>
        <v>2.856</v>
      </c>
      <c r="I134" s="13">
        <f t="shared" si="7"/>
        <v>5.74655</v>
      </c>
      <c r="J134" s="18">
        <f t="shared" si="8"/>
        <v>-0.04817583333</v>
      </c>
      <c r="K134" s="18">
        <f t="shared" si="10"/>
        <v>80.22354167</v>
      </c>
      <c r="L134" s="4"/>
      <c r="M134" s="4"/>
      <c r="N134" s="4"/>
      <c r="O134" s="4"/>
      <c r="P134" s="4"/>
      <c r="Q134" s="4"/>
      <c r="R134" s="4"/>
      <c r="S134" s="4"/>
      <c r="T134" s="4"/>
      <c r="U134" s="4"/>
      <c r="V134" s="4"/>
      <c r="W134" s="4"/>
    </row>
    <row r="135" ht="15.75" customHeight="1">
      <c r="A135" s="13">
        <f t="shared" si="9"/>
        <v>132</v>
      </c>
      <c r="B135" s="18">
        <f>A135/'Orbit Info'!$G$10</f>
        <v>1.39515013</v>
      </c>
      <c r="C135" s="13">
        <f t="shared" si="2"/>
        <v>0</v>
      </c>
      <c r="D135" s="13">
        <f t="shared" si="3"/>
        <v>0</v>
      </c>
      <c r="E135" s="13">
        <f t="shared" si="4"/>
        <v>0</v>
      </c>
      <c r="F135" s="13">
        <f t="shared" si="5"/>
        <v>1</v>
      </c>
      <c r="G135" s="13">
        <f t="shared" si="6"/>
        <v>1</v>
      </c>
      <c r="H135" s="13">
        <f>'Orbit Info'!C134*((C135*$O$2)+(D135*$O$3)+(E135*$O$4)+(F135*$O$5))</f>
        <v>2.856</v>
      </c>
      <c r="I135" s="13">
        <f t="shared" si="7"/>
        <v>5.74655</v>
      </c>
      <c r="J135" s="18">
        <f t="shared" si="8"/>
        <v>-0.04817583333</v>
      </c>
      <c r="K135" s="18">
        <f t="shared" si="10"/>
        <v>80.17536583</v>
      </c>
      <c r="L135" s="4"/>
      <c r="M135" s="4"/>
      <c r="N135" s="4"/>
      <c r="O135" s="4"/>
      <c r="P135" s="4"/>
      <c r="Q135" s="4"/>
      <c r="R135" s="4"/>
      <c r="S135" s="4"/>
      <c r="T135" s="4"/>
      <c r="U135" s="4"/>
      <c r="V135" s="4"/>
      <c r="W135" s="4"/>
    </row>
    <row r="136" ht="15.75" customHeight="1">
      <c r="A136" s="13">
        <f t="shared" si="9"/>
        <v>133</v>
      </c>
      <c r="B136" s="18">
        <f>A136/'Orbit Info'!$G$10</f>
        <v>1.405719449</v>
      </c>
      <c r="C136" s="13">
        <f t="shared" si="2"/>
        <v>0</v>
      </c>
      <c r="D136" s="13">
        <f t="shared" si="3"/>
        <v>0</v>
      </c>
      <c r="E136" s="13">
        <f t="shared" si="4"/>
        <v>0</v>
      </c>
      <c r="F136" s="13">
        <f t="shared" si="5"/>
        <v>1</v>
      </c>
      <c r="G136" s="13">
        <f t="shared" si="6"/>
        <v>1</v>
      </c>
      <c r="H136" s="13">
        <f>'Orbit Info'!C135*((C136*$O$2)+(D136*$O$3)+(E136*$O$4)+(F136*$O$5))</f>
        <v>2.856</v>
      </c>
      <c r="I136" s="13">
        <f t="shared" si="7"/>
        <v>5.74655</v>
      </c>
      <c r="J136" s="18">
        <f t="shared" si="8"/>
        <v>-0.04817583333</v>
      </c>
      <c r="K136" s="18">
        <f t="shared" si="10"/>
        <v>80.12719</v>
      </c>
      <c r="L136" s="4"/>
      <c r="M136" s="4"/>
      <c r="N136" s="4"/>
      <c r="O136" s="4"/>
      <c r="P136" s="4"/>
      <c r="Q136" s="4"/>
      <c r="R136" s="4"/>
      <c r="S136" s="4"/>
      <c r="T136" s="4"/>
      <c r="U136" s="4"/>
      <c r="V136" s="4"/>
      <c r="W136" s="4"/>
    </row>
    <row r="137" ht="15.75" customHeight="1">
      <c r="A137" s="13">
        <f t="shared" si="9"/>
        <v>134</v>
      </c>
      <c r="B137" s="18">
        <f>A137/'Orbit Info'!$G$10</f>
        <v>1.416288768</v>
      </c>
      <c r="C137" s="13">
        <f t="shared" si="2"/>
        <v>0</v>
      </c>
      <c r="D137" s="13">
        <f t="shared" si="3"/>
        <v>0</v>
      </c>
      <c r="E137" s="13">
        <f t="shared" si="4"/>
        <v>0</v>
      </c>
      <c r="F137" s="13">
        <f t="shared" si="5"/>
        <v>1</v>
      </c>
      <c r="G137" s="13">
        <f t="shared" si="6"/>
        <v>1</v>
      </c>
      <c r="H137" s="13">
        <f>'Orbit Info'!C136*((C137*$O$2)+(D137*$O$3)+(E137*$O$4)+(F137*$O$5))</f>
        <v>2.856</v>
      </c>
      <c r="I137" s="13">
        <f t="shared" si="7"/>
        <v>5.74655</v>
      </c>
      <c r="J137" s="18">
        <f t="shared" si="8"/>
        <v>-0.04817583333</v>
      </c>
      <c r="K137" s="18">
        <f t="shared" si="10"/>
        <v>80.07901417</v>
      </c>
      <c r="L137" s="4"/>
      <c r="M137" s="4"/>
      <c r="N137" s="4"/>
      <c r="O137" s="4"/>
      <c r="P137" s="4"/>
      <c r="Q137" s="4"/>
      <c r="R137" s="4"/>
      <c r="S137" s="4"/>
      <c r="T137" s="4"/>
      <c r="U137" s="4"/>
      <c r="V137" s="4"/>
      <c r="W137" s="4"/>
    </row>
    <row r="138" ht="15.75" customHeight="1">
      <c r="A138" s="13">
        <f t="shared" si="9"/>
        <v>135</v>
      </c>
      <c r="B138" s="18">
        <f>A138/'Orbit Info'!$G$10</f>
        <v>1.426858087</v>
      </c>
      <c r="C138" s="13">
        <f t="shared" si="2"/>
        <v>0</v>
      </c>
      <c r="D138" s="13">
        <f t="shared" si="3"/>
        <v>0</v>
      </c>
      <c r="E138" s="13">
        <f t="shared" si="4"/>
        <v>0</v>
      </c>
      <c r="F138" s="13">
        <f t="shared" si="5"/>
        <v>1</v>
      </c>
      <c r="G138" s="13">
        <f t="shared" si="6"/>
        <v>1</v>
      </c>
      <c r="H138" s="13">
        <f>'Orbit Info'!C137*((C138*$O$2)+(D138*$O$3)+(E138*$O$4)+(F138*$O$5))</f>
        <v>2.856</v>
      </c>
      <c r="I138" s="13">
        <f t="shared" si="7"/>
        <v>5.74655</v>
      </c>
      <c r="J138" s="18">
        <f t="shared" si="8"/>
        <v>-0.04817583333</v>
      </c>
      <c r="K138" s="18">
        <f t="shared" si="10"/>
        <v>80.03083833</v>
      </c>
      <c r="L138" s="4"/>
      <c r="M138" s="4"/>
      <c r="N138" s="4"/>
      <c r="O138" s="4"/>
      <c r="P138" s="4"/>
      <c r="Q138" s="4"/>
      <c r="R138" s="4"/>
      <c r="S138" s="4"/>
      <c r="T138" s="4"/>
      <c r="U138" s="4"/>
      <c r="V138" s="4"/>
      <c r="W138" s="4"/>
    </row>
    <row r="139" ht="15.75" customHeight="1">
      <c r="A139" s="13">
        <f t="shared" si="9"/>
        <v>136</v>
      </c>
      <c r="B139" s="18">
        <f>A139/'Orbit Info'!$G$10</f>
        <v>1.437427407</v>
      </c>
      <c r="C139" s="13">
        <f t="shared" si="2"/>
        <v>0</v>
      </c>
      <c r="D139" s="13">
        <f t="shared" si="3"/>
        <v>0</v>
      </c>
      <c r="E139" s="13">
        <f t="shared" si="4"/>
        <v>0</v>
      </c>
      <c r="F139" s="13">
        <f t="shared" si="5"/>
        <v>1</v>
      </c>
      <c r="G139" s="13">
        <f t="shared" si="6"/>
        <v>1</v>
      </c>
      <c r="H139" s="13">
        <f>'Orbit Info'!C138*((C139*$O$2)+(D139*$O$3)+(E139*$O$4)+(F139*$O$5))</f>
        <v>2.856</v>
      </c>
      <c r="I139" s="13">
        <f t="shared" si="7"/>
        <v>5.74655</v>
      </c>
      <c r="J139" s="18">
        <f t="shared" si="8"/>
        <v>-0.04817583333</v>
      </c>
      <c r="K139" s="18">
        <f t="shared" si="10"/>
        <v>79.9826625</v>
      </c>
      <c r="L139" s="4"/>
      <c r="M139" s="4"/>
      <c r="N139" s="4"/>
      <c r="O139" s="4"/>
      <c r="P139" s="4"/>
      <c r="Q139" s="4"/>
      <c r="R139" s="4"/>
      <c r="S139" s="4"/>
      <c r="T139" s="4"/>
      <c r="U139" s="4"/>
      <c r="V139" s="4"/>
      <c r="W139" s="4"/>
    </row>
    <row r="140" ht="15.75" customHeight="1">
      <c r="A140" s="13">
        <f t="shared" si="9"/>
        <v>137</v>
      </c>
      <c r="B140" s="18">
        <f>A140/'Orbit Info'!$G$10</f>
        <v>1.447996726</v>
      </c>
      <c r="C140" s="13">
        <f t="shared" si="2"/>
        <v>0</v>
      </c>
      <c r="D140" s="13">
        <f t="shared" si="3"/>
        <v>0</v>
      </c>
      <c r="E140" s="13">
        <f t="shared" si="4"/>
        <v>0</v>
      </c>
      <c r="F140" s="13">
        <f t="shared" si="5"/>
        <v>1</v>
      </c>
      <c r="G140" s="13">
        <f t="shared" si="6"/>
        <v>1</v>
      </c>
      <c r="H140" s="13">
        <f>'Orbit Info'!C139*((C140*$O$2)+(D140*$O$3)+(E140*$O$4)+(F140*$O$5))</f>
        <v>2.856</v>
      </c>
      <c r="I140" s="13">
        <f t="shared" si="7"/>
        <v>5.74655</v>
      </c>
      <c r="J140" s="18">
        <f t="shared" si="8"/>
        <v>-0.04817583333</v>
      </c>
      <c r="K140" s="18">
        <f t="shared" si="10"/>
        <v>79.93448667</v>
      </c>
      <c r="L140" s="4"/>
      <c r="M140" s="4"/>
      <c r="N140" s="4"/>
      <c r="O140" s="4"/>
      <c r="P140" s="4"/>
      <c r="Q140" s="4"/>
      <c r="R140" s="4"/>
      <c r="S140" s="4"/>
      <c r="T140" s="4"/>
      <c r="U140" s="4"/>
      <c r="V140" s="4"/>
      <c r="W140" s="4"/>
    </row>
    <row r="141" ht="15.75" customHeight="1">
      <c r="A141" s="13">
        <f t="shared" si="9"/>
        <v>138</v>
      </c>
      <c r="B141" s="18">
        <f>A141/'Orbit Info'!$G$10</f>
        <v>1.458566045</v>
      </c>
      <c r="C141" s="13">
        <f t="shared" si="2"/>
        <v>0</v>
      </c>
      <c r="D141" s="13">
        <f t="shared" si="3"/>
        <v>0</v>
      </c>
      <c r="E141" s="13">
        <f t="shared" si="4"/>
        <v>0</v>
      </c>
      <c r="F141" s="13">
        <f t="shared" si="5"/>
        <v>1</v>
      </c>
      <c r="G141" s="13">
        <f t="shared" si="6"/>
        <v>1</v>
      </c>
      <c r="H141" s="13">
        <f>'Orbit Info'!C140*((C141*$O$2)+(D141*$O$3)+(E141*$O$4)+(F141*$O$5))</f>
        <v>2.856</v>
      </c>
      <c r="I141" s="13">
        <f t="shared" si="7"/>
        <v>5.74655</v>
      </c>
      <c r="J141" s="18">
        <f t="shared" si="8"/>
        <v>-0.04817583333</v>
      </c>
      <c r="K141" s="18">
        <f t="shared" si="10"/>
        <v>79.88631083</v>
      </c>
      <c r="L141" s="4"/>
      <c r="M141" s="4"/>
      <c r="N141" s="4"/>
      <c r="O141" s="4"/>
      <c r="P141" s="4"/>
      <c r="Q141" s="4"/>
      <c r="R141" s="4"/>
      <c r="S141" s="4"/>
      <c r="T141" s="4"/>
      <c r="U141" s="4"/>
      <c r="V141" s="4"/>
      <c r="W141" s="4"/>
    </row>
    <row r="142" ht="15.75" customHeight="1">
      <c r="A142" s="13">
        <f t="shared" si="9"/>
        <v>139</v>
      </c>
      <c r="B142" s="18">
        <f>A142/'Orbit Info'!$G$10</f>
        <v>1.469135364</v>
      </c>
      <c r="C142" s="13">
        <f t="shared" si="2"/>
        <v>0</v>
      </c>
      <c r="D142" s="13">
        <f t="shared" si="3"/>
        <v>0</v>
      </c>
      <c r="E142" s="13">
        <f t="shared" si="4"/>
        <v>0</v>
      </c>
      <c r="F142" s="13">
        <f t="shared" si="5"/>
        <v>1</v>
      </c>
      <c r="G142" s="13">
        <f t="shared" si="6"/>
        <v>1</v>
      </c>
      <c r="H142" s="13">
        <f>'Orbit Info'!C141*((C142*$O$2)+(D142*$O$3)+(E142*$O$4)+(F142*$O$5))</f>
        <v>2.856</v>
      </c>
      <c r="I142" s="13">
        <f t="shared" si="7"/>
        <v>5.74655</v>
      </c>
      <c r="J142" s="18">
        <f t="shared" si="8"/>
        <v>-0.04817583333</v>
      </c>
      <c r="K142" s="18">
        <f t="shared" si="10"/>
        <v>79.838135</v>
      </c>
      <c r="L142" s="4"/>
      <c r="M142" s="4"/>
      <c r="N142" s="4"/>
      <c r="O142" s="4"/>
      <c r="P142" s="4"/>
      <c r="Q142" s="4"/>
      <c r="R142" s="4"/>
      <c r="S142" s="4"/>
      <c r="T142" s="4"/>
      <c r="U142" s="4"/>
      <c r="V142" s="4"/>
      <c r="W142" s="4"/>
    </row>
    <row r="143" ht="15.75" customHeight="1">
      <c r="A143" s="13">
        <f t="shared" si="9"/>
        <v>140</v>
      </c>
      <c r="B143" s="18">
        <f>A143/'Orbit Info'!$G$10</f>
        <v>1.479704683</v>
      </c>
      <c r="C143" s="13">
        <f t="shared" si="2"/>
        <v>0</v>
      </c>
      <c r="D143" s="13">
        <f t="shared" si="3"/>
        <v>0</v>
      </c>
      <c r="E143" s="13">
        <f t="shared" si="4"/>
        <v>0</v>
      </c>
      <c r="F143" s="13">
        <f t="shared" si="5"/>
        <v>1</v>
      </c>
      <c r="G143" s="13">
        <f t="shared" si="6"/>
        <v>1</v>
      </c>
      <c r="H143" s="13">
        <f>'Orbit Info'!C142*((C143*$O$2)+(D143*$O$3)+(E143*$O$4)+(F143*$O$5))</f>
        <v>2.856</v>
      </c>
      <c r="I143" s="13">
        <f t="shared" si="7"/>
        <v>5.74655</v>
      </c>
      <c r="J143" s="18">
        <f t="shared" si="8"/>
        <v>-0.04817583333</v>
      </c>
      <c r="K143" s="18">
        <f t="shared" si="10"/>
        <v>79.78995917</v>
      </c>
      <c r="L143" s="4"/>
      <c r="M143" s="4"/>
      <c r="N143" s="4"/>
      <c r="O143" s="4"/>
      <c r="P143" s="4"/>
      <c r="Q143" s="4"/>
      <c r="R143" s="4"/>
      <c r="S143" s="4"/>
      <c r="T143" s="4"/>
      <c r="U143" s="4"/>
      <c r="V143" s="4"/>
      <c r="W143" s="4"/>
    </row>
    <row r="144" ht="15.75" customHeight="1">
      <c r="A144" s="13">
        <f t="shared" si="9"/>
        <v>141</v>
      </c>
      <c r="B144" s="18">
        <f>A144/'Orbit Info'!$G$10</f>
        <v>1.490274002</v>
      </c>
      <c r="C144" s="13">
        <f t="shared" si="2"/>
        <v>0</v>
      </c>
      <c r="D144" s="13">
        <f t="shared" si="3"/>
        <v>0</v>
      </c>
      <c r="E144" s="13">
        <f t="shared" si="4"/>
        <v>0</v>
      </c>
      <c r="F144" s="13">
        <f t="shared" si="5"/>
        <v>1</v>
      </c>
      <c r="G144" s="13">
        <f t="shared" si="6"/>
        <v>1</v>
      </c>
      <c r="H144" s="13">
        <f>'Orbit Info'!C143*((C144*$O$2)+(D144*$O$3)+(E144*$O$4)+(F144*$O$5))</f>
        <v>2.856</v>
      </c>
      <c r="I144" s="13">
        <f t="shared" si="7"/>
        <v>5.74655</v>
      </c>
      <c r="J144" s="18">
        <f t="shared" si="8"/>
        <v>-0.04817583333</v>
      </c>
      <c r="K144" s="18">
        <f t="shared" si="10"/>
        <v>79.74178333</v>
      </c>
      <c r="L144" s="4"/>
      <c r="M144" s="4"/>
      <c r="N144" s="4"/>
      <c r="O144" s="4"/>
      <c r="P144" s="4"/>
      <c r="Q144" s="4"/>
      <c r="R144" s="4"/>
      <c r="S144" s="4"/>
      <c r="T144" s="4"/>
      <c r="U144" s="4"/>
      <c r="V144" s="4"/>
      <c r="W144" s="4"/>
    </row>
    <row r="145" ht="15.75" customHeight="1">
      <c r="A145" s="13">
        <f t="shared" si="9"/>
        <v>142</v>
      </c>
      <c r="B145" s="18">
        <f>A145/'Orbit Info'!$G$10</f>
        <v>1.500843322</v>
      </c>
      <c r="C145" s="13">
        <f t="shared" si="2"/>
        <v>0</v>
      </c>
      <c r="D145" s="13">
        <f t="shared" si="3"/>
        <v>0</v>
      </c>
      <c r="E145" s="13">
        <f t="shared" si="4"/>
        <v>0</v>
      </c>
      <c r="F145" s="13">
        <f t="shared" si="5"/>
        <v>1</v>
      </c>
      <c r="G145" s="13">
        <f t="shared" si="6"/>
        <v>1</v>
      </c>
      <c r="H145" s="13">
        <f>'Orbit Info'!C144*((C145*$O$2)+(D145*$O$3)+(E145*$O$4)+(F145*$O$5))</f>
        <v>2.856</v>
      </c>
      <c r="I145" s="13">
        <f t="shared" si="7"/>
        <v>5.74655</v>
      </c>
      <c r="J145" s="18">
        <f t="shared" si="8"/>
        <v>-0.04817583333</v>
      </c>
      <c r="K145" s="18">
        <f t="shared" si="10"/>
        <v>79.6936075</v>
      </c>
      <c r="L145" s="4"/>
      <c r="M145" s="4"/>
      <c r="N145" s="4"/>
      <c r="O145" s="4"/>
      <c r="P145" s="4"/>
      <c r="Q145" s="4"/>
      <c r="R145" s="4"/>
      <c r="S145" s="4"/>
      <c r="T145" s="4"/>
      <c r="U145" s="4"/>
      <c r="V145" s="4"/>
      <c r="W145" s="4"/>
    </row>
    <row r="146" ht="15.75" customHeight="1">
      <c r="A146" s="13">
        <f t="shared" si="9"/>
        <v>143</v>
      </c>
      <c r="B146" s="18">
        <f>A146/'Orbit Info'!$G$10</f>
        <v>1.511412641</v>
      </c>
      <c r="C146" s="13">
        <f t="shared" si="2"/>
        <v>0</v>
      </c>
      <c r="D146" s="13">
        <f t="shared" si="3"/>
        <v>0</v>
      </c>
      <c r="E146" s="13">
        <f t="shared" si="4"/>
        <v>0</v>
      </c>
      <c r="F146" s="13">
        <f t="shared" si="5"/>
        <v>1</v>
      </c>
      <c r="G146" s="13">
        <f t="shared" si="6"/>
        <v>1</v>
      </c>
      <c r="H146" s="13">
        <f>'Orbit Info'!C145*((C146*$O$2)+(D146*$O$3)+(E146*$O$4)+(F146*$O$5))</f>
        <v>2.856</v>
      </c>
      <c r="I146" s="13">
        <f t="shared" si="7"/>
        <v>5.74655</v>
      </c>
      <c r="J146" s="18">
        <f t="shared" si="8"/>
        <v>-0.04817583333</v>
      </c>
      <c r="K146" s="18">
        <f t="shared" si="10"/>
        <v>79.64543167</v>
      </c>
      <c r="L146" s="4"/>
      <c r="M146" s="4"/>
      <c r="N146" s="4"/>
      <c r="O146" s="4"/>
      <c r="P146" s="4"/>
      <c r="Q146" s="4"/>
      <c r="R146" s="4"/>
      <c r="S146" s="4"/>
      <c r="T146" s="4"/>
      <c r="U146" s="4"/>
      <c r="V146" s="4"/>
      <c r="W146" s="4"/>
    </row>
    <row r="147" ht="15.75" customHeight="1">
      <c r="A147" s="13">
        <f t="shared" si="9"/>
        <v>144</v>
      </c>
      <c r="B147" s="18">
        <f>A147/'Orbit Info'!$G$10</f>
        <v>1.52198196</v>
      </c>
      <c r="C147" s="13">
        <f t="shared" si="2"/>
        <v>0</v>
      </c>
      <c r="D147" s="13">
        <f t="shared" si="3"/>
        <v>0</v>
      </c>
      <c r="E147" s="13">
        <f t="shared" si="4"/>
        <v>0</v>
      </c>
      <c r="F147" s="13">
        <f t="shared" si="5"/>
        <v>1</v>
      </c>
      <c r="G147" s="13">
        <f t="shared" si="6"/>
        <v>1</v>
      </c>
      <c r="H147" s="13">
        <f>'Orbit Info'!C146*((C147*$O$2)+(D147*$O$3)+(E147*$O$4)+(F147*$O$5))</f>
        <v>2.856</v>
      </c>
      <c r="I147" s="13">
        <f t="shared" si="7"/>
        <v>5.74655</v>
      </c>
      <c r="J147" s="18">
        <f t="shared" si="8"/>
        <v>-0.04817583333</v>
      </c>
      <c r="K147" s="18">
        <f t="shared" si="10"/>
        <v>79.59725583</v>
      </c>
      <c r="L147" s="4"/>
      <c r="M147" s="4"/>
      <c r="N147" s="4"/>
      <c r="O147" s="4"/>
      <c r="P147" s="4"/>
      <c r="Q147" s="4"/>
      <c r="R147" s="4"/>
      <c r="S147" s="4"/>
      <c r="T147" s="4"/>
      <c r="U147" s="4"/>
      <c r="V147" s="4"/>
      <c r="W147" s="4"/>
    </row>
    <row r="148" ht="15.75" customHeight="1">
      <c r="A148" s="13">
        <f t="shared" si="9"/>
        <v>145</v>
      </c>
      <c r="B148" s="18">
        <f>A148/'Orbit Info'!$G$10</f>
        <v>1.532551279</v>
      </c>
      <c r="C148" s="13">
        <f t="shared" si="2"/>
        <v>0</v>
      </c>
      <c r="D148" s="13">
        <f t="shared" si="3"/>
        <v>0</v>
      </c>
      <c r="E148" s="13">
        <f t="shared" si="4"/>
        <v>0</v>
      </c>
      <c r="F148" s="13">
        <f t="shared" si="5"/>
        <v>1</v>
      </c>
      <c r="G148" s="13">
        <f t="shared" si="6"/>
        <v>1</v>
      </c>
      <c r="H148" s="13">
        <f>'Orbit Info'!C147*((C148*$O$2)+(D148*$O$3)+(E148*$O$4)+(F148*$O$5))</f>
        <v>2.856</v>
      </c>
      <c r="I148" s="13">
        <f t="shared" si="7"/>
        <v>5.74655</v>
      </c>
      <c r="J148" s="18">
        <f t="shared" si="8"/>
        <v>-0.04817583333</v>
      </c>
      <c r="K148" s="18">
        <f t="shared" si="10"/>
        <v>79.54908</v>
      </c>
      <c r="L148" s="4"/>
      <c r="M148" s="4"/>
      <c r="N148" s="4"/>
      <c r="O148" s="4"/>
      <c r="P148" s="4"/>
      <c r="Q148" s="4"/>
      <c r="R148" s="4"/>
      <c r="S148" s="4"/>
      <c r="T148" s="4"/>
      <c r="U148" s="4"/>
      <c r="V148" s="4"/>
      <c r="W148" s="4"/>
    </row>
    <row r="149" ht="15.75" customHeight="1">
      <c r="A149" s="13">
        <f t="shared" si="9"/>
        <v>146</v>
      </c>
      <c r="B149" s="18">
        <f>A149/'Orbit Info'!$G$10</f>
        <v>1.543120598</v>
      </c>
      <c r="C149" s="13">
        <f t="shared" si="2"/>
        <v>0</v>
      </c>
      <c r="D149" s="13">
        <f t="shared" si="3"/>
        <v>0</v>
      </c>
      <c r="E149" s="13">
        <f t="shared" si="4"/>
        <v>0</v>
      </c>
      <c r="F149" s="13">
        <f t="shared" si="5"/>
        <v>1</v>
      </c>
      <c r="G149" s="13">
        <f t="shared" si="6"/>
        <v>1</v>
      </c>
      <c r="H149" s="13">
        <f>'Orbit Info'!C148*((C149*$O$2)+(D149*$O$3)+(E149*$O$4)+(F149*$O$5))</f>
        <v>2.856</v>
      </c>
      <c r="I149" s="13">
        <f t="shared" si="7"/>
        <v>5.74655</v>
      </c>
      <c r="J149" s="18">
        <f t="shared" si="8"/>
        <v>-0.04817583333</v>
      </c>
      <c r="K149" s="18">
        <f t="shared" si="10"/>
        <v>79.50090417</v>
      </c>
      <c r="L149" s="4"/>
      <c r="M149" s="4"/>
      <c r="N149" s="4"/>
      <c r="O149" s="4"/>
      <c r="P149" s="4"/>
      <c r="Q149" s="4"/>
      <c r="R149" s="4"/>
      <c r="S149" s="4"/>
      <c r="T149" s="4"/>
      <c r="U149" s="4"/>
      <c r="V149" s="4"/>
      <c r="W149" s="4"/>
    </row>
    <row r="150" ht="15.75" customHeight="1">
      <c r="A150" s="13">
        <f t="shared" si="9"/>
        <v>147</v>
      </c>
      <c r="B150" s="18">
        <f>A150/'Orbit Info'!$G$10</f>
        <v>1.553689917</v>
      </c>
      <c r="C150" s="13">
        <f t="shared" si="2"/>
        <v>0</v>
      </c>
      <c r="D150" s="13">
        <f t="shared" si="3"/>
        <v>0</v>
      </c>
      <c r="E150" s="13">
        <f t="shared" si="4"/>
        <v>0</v>
      </c>
      <c r="F150" s="13">
        <f t="shared" si="5"/>
        <v>1</v>
      </c>
      <c r="G150" s="13">
        <f t="shared" si="6"/>
        <v>1</v>
      </c>
      <c r="H150" s="13">
        <f>'Orbit Info'!C149*((C150*$O$2)+(D150*$O$3)+(E150*$O$4)+(F150*$O$5))</f>
        <v>2.856</v>
      </c>
      <c r="I150" s="13">
        <f t="shared" si="7"/>
        <v>5.74655</v>
      </c>
      <c r="J150" s="18">
        <f t="shared" si="8"/>
        <v>-0.04817583333</v>
      </c>
      <c r="K150" s="18">
        <f t="shared" si="10"/>
        <v>79.45272833</v>
      </c>
      <c r="L150" s="4"/>
      <c r="M150" s="4"/>
      <c r="N150" s="4"/>
      <c r="O150" s="4"/>
      <c r="P150" s="4"/>
      <c r="Q150" s="4"/>
      <c r="R150" s="4"/>
      <c r="S150" s="4"/>
      <c r="T150" s="4"/>
      <c r="U150" s="4"/>
      <c r="V150" s="4"/>
      <c r="W150" s="4"/>
    </row>
    <row r="151" ht="15.75" customHeight="1">
      <c r="A151" s="13">
        <f t="shared" si="9"/>
        <v>148</v>
      </c>
      <c r="B151" s="18">
        <f>A151/'Orbit Info'!$G$10</f>
        <v>1.564259237</v>
      </c>
      <c r="C151" s="13">
        <f t="shared" si="2"/>
        <v>0</v>
      </c>
      <c r="D151" s="13">
        <f t="shared" si="3"/>
        <v>0</v>
      </c>
      <c r="E151" s="13">
        <f t="shared" si="4"/>
        <v>0</v>
      </c>
      <c r="F151" s="13">
        <f t="shared" si="5"/>
        <v>1</v>
      </c>
      <c r="G151" s="13">
        <f t="shared" si="6"/>
        <v>1</v>
      </c>
      <c r="H151" s="13">
        <f>'Orbit Info'!C150*((C151*$O$2)+(D151*$O$3)+(E151*$O$4)+(F151*$O$5))</f>
        <v>2.856</v>
      </c>
      <c r="I151" s="13">
        <f t="shared" si="7"/>
        <v>5.74655</v>
      </c>
      <c r="J151" s="18">
        <f t="shared" si="8"/>
        <v>-0.04817583333</v>
      </c>
      <c r="K151" s="18">
        <f t="shared" si="10"/>
        <v>79.4045525</v>
      </c>
      <c r="L151" s="4"/>
      <c r="M151" s="4"/>
      <c r="N151" s="4"/>
      <c r="O151" s="4"/>
      <c r="P151" s="4"/>
      <c r="Q151" s="4"/>
      <c r="R151" s="4"/>
      <c r="S151" s="4"/>
      <c r="T151" s="4"/>
      <c r="U151" s="4"/>
      <c r="V151" s="4"/>
      <c r="W151" s="4"/>
    </row>
    <row r="152" ht="15.75" customHeight="1">
      <c r="A152" s="13">
        <f t="shared" si="9"/>
        <v>149</v>
      </c>
      <c r="B152" s="18">
        <f>A152/'Orbit Info'!$G$10</f>
        <v>1.574828556</v>
      </c>
      <c r="C152" s="13">
        <f t="shared" si="2"/>
        <v>0</v>
      </c>
      <c r="D152" s="13">
        <f t="shared" si="3"/>
        <v>0</v>
      </c>
      <c r="E152" s="13">
        <f t="shared" si="4"/>
        <v>0</v>
      </c>
      <c r="F152" s="13">
        <f t="shared" si="5"/>
        <v>1</v>
      </c>
      <c r="G152" s="13">
        <f t="shared" si="6"/>
        <v>1</v>
      </c>
      <c r="H152" s="13">
        <f>'Orbit Info'!C151*((C152*$O$2)+(D152*$O$3)+(E152*$O$4)+(F152*$O$5))</f>
        <v>2.856</v>
      </c>
      <c r="I152" s="13">
        <f t="shared" si="7"/>
        <v>5.74655</v>
      </c>
      <c r="J152" s="18">
        <f t="shared" si="8"/>
        <v>-0.04817583333</v>
      </c>
      <c r="K152" s="18">
        <f t="shared" si="10"/>
        <v>79.35637667</v>
      </c>
      <c r="L152" s="4"/>
      <c r="M152" s="4"/>
      <c r="N152" s="4"/>
      <c r="O152" s="4"/>
      <c r="P152" s="4"/>
      <c r="Q152" s="4"/>
      <c r="R152" s="4"/>
      <c r="S152" s="4"/>
      <c r="T152" s="4"/>
      <c r="U152" s="4"/>
      <c r="V152" s="4"/>
      <c r="W152" s="4"/>
    </row>
    <row r="153" ht="15.75" customHeight="1">
      <c r="A153" s="13">
        <f t="shared" si="9"/>
        <v>150</v>
      </c>
      <c r="B153" s="18">
        <f>A153/'Orbit Info'!$G$10</f>
        <v>1.585397875</v>
      </c>
      <c r="C153" s="13">
        <f t="shared" si="2"/>
        <v>0</v>
      </c>
      <c r="D153" s="13">
        <f t="shared" si="3"/>
        <v>0</v>
      </c>
      <c r="E153" s="13">
        <f t="shared" si="4"/>
        <v>0</v>
      </c>
      <c r="F153" s="13">
        <f t="shared" si="5"/>
        <v>1</v>
      </c>
      <c r="G153" s="13">
        <f t="shared" si="6"/>
        <v>1</v>
      </c>
      <c r="H153" s="13">
        <f>'Orbit Info'!C152*((C153*$O$2)+(D153*$O$3)+(E153*$O$4)+(F153*$O$5))</f>
        <v>2.856</v>
      </c>
      <c r="I153" s="13">
        <f t="shared" si="7"/>
        <v>5.74655</v>
      </c>
      <c r="J153" s="18">
        <f t="shared" si="8"/>
        <v>-0.04817583333</v>
      </c>
      <c r="K153" s="18">
        <f t="shared" si="10"/>
        <v>79.30820083</v>
      </c>
      <c r="L153" s="4"/>
      <c r="M153" s="4"/>
      <c r="N153" s="4"/>
      <c r="O153" s="4"/>
      <c r="P153" s="4"/>
      <c r="Q153" s="4"/>
      <c r="R153" s="4"/>
      <c r="S153" s="4"/>
      <c r="T153" s="4"/>
      <c r="U153" s="4"/>
      <c r="V153" s="4"/>
      <c r="W153" s="4"/>
    </row>
    <row r="154" ht="15.75" customHeight="1">
      <c r="A154" s="13">
        <f t="shared" si="9"/>
        <v>151</v>
      </c>
      <c r="B154" s="18">
        <f>A154/'Orbit Info'!$G$10</f>
        <v>1.595967194</v>
      </c>
      <c r="C154" s="13">
        <f t="shared" si="2"/>
        <v>0</v>
      </c>
      <c r="D154" s="13">
        <f t="shared" si="3"/>
        <v>0</v>
      </c>
      <c r="E154" s="13">
        <f t="shared" si="4"/>
        <v>0</v>
      </c>
      <c r="F154" s="13">
        <f t="shared" si="5"/>
        <v>1</v>
      </c>
      <c r="G154" s="13">
        <f t="shared" si="6"/>
        <v>1</v>
      </c>
      <c r="H154" s="13">
        <f>'Orbit Info'!C153*((C154*$O$2)+(D154*$O$3)+(E154*$O$4)+(F154*$O$5))</f>
        <v>2.856</v>
      </c>
      <c r="I154" s="13">
        <f t="shared" si="7"/>
        <v>5.74655</v>
      </c>
      <c r="J154" s="18">
        <f t="shared" si="8"/>
        <v>-0.04817583333</v>
      </c>
      <c r="K154" s="18">
        <f t="shared" si="10"/>
        <v>79.260025</v>
      </c>
      <c r="L154" s="4"/>
      <c r="M154" s="4"/>
      <c r="N154" s="4"/>
      <c r="O154" s="4"/>
      <c r="P154" s="4"/>
      <c r="Q154" s="4"/>
      <c r="R154" s="4"/>
      <c r="S154" s="4"/>
      <c r="T154" s="4"/>
      <c r="U154" s="4"/>
      <c r="V154" s="4"/>
      <c r="W154" s="4"/>
    </row>
    <row r="155" ht="15.75" customHeight="1">
      <c r="A155" s="13">
        <f t="shared" si="9"/>
        <v>152</v>
      </c>
      <c r="B155" s="18">
        <f>A155/'Orbit Info'!$G$10</f>
        <v>1.606536513</v>
      </c>
      <c r="C155" s="13">
        <f t="shared" si="2"/>
        <v>0</v>
      </c>
      <c r="D155" s="13">
        <f t="shared" si="3"/>
        <v>0</v>
      </c>
      <c r="E155" s="13">
        <f t="shared" si="4"/>
        <v>0</v>
      </c>
      <c r="F155" s="13">
        <f t="shared" si="5"/>
        <v>1</v>
      </c>
      <c r="G155" s="13">
        <f t="shared" si="6"/>
        <v>1</v>
      </c>
      <c r="H155" s="13">
        <f>'Orbit Info'!C154*((C155*$O$2)+(D155*$O$3)+(E155*$O$4)+(F155*$O$5))</f>
        <v>2.856</v>
      </c>
      <c r="I155" s="13">
        <f t="shared" si="7"/>
        <v>5.74655</v>
      </c>
      <c r="J155" s="18">
        <f t="shared" si="8"/>
        <v>-0.04817583333</v>
      </c>
      <c r="K155" s="18">
        <f t="shared" si="10"/>
        <v>79.21184917</v>
      </c>
      <c r="L155" s="4"/>
      <c r="M155" s="4"/>
      <c r="N155" s="4"/>
      <c r="O155" s="4"/>
      <c r="P155" s="4"/>
      <c r="Q155" s="4"/>
      <c r="R155" s="4"/>
      <c r="S155" s="4"/>
      <c r="T155" s="4"/>
      <c r="U155" s="4"/>
      <c r="V155" s="4"/>
      <c r="W155" s="4"/>
    </row>
    <row r="156" ht="15.75" customHeight="1">
      <c r="A156" s="13">
        <f t="shared" si="9"/>
        <v>153</v>
      </c>
      <c r="B156" s="18">
        <f>A156/'Orbit Info'!$G$10</f>
        <v>1.617105832</v>
      </c>
      <c r="C156" s="13">
        <f t="shared" si="2"/>
        <v>0</v>
      </c>
      <c r="D156" s="13">
        <f t="shared" si="3"/>
        <v>0</v>
      </c>
      <c r="E156" s="13">
        <f t="shared" si="4"/>
        <v>0</v>
      </c>
      <c r="F156" s="13">
        <f t="shared" si="5"/>
        <v>1</v>
      </c>
      <c r="G156" s="13">
        <f t="shared" si="6"/>
        <v>1</v>
      </c>
      <c r="H156" s="13">
        <f>'Orbit Info'!C155*((C156*$O$2)+(D156*$O$3)+(E156*$O$4)+(F156*$O$5))</f>
        <v>2.856</v>
      </c>
      <c r="I156" s="13">
        <f t="shared" si="7"/>
        <v>5.74655</v>
      </c>
      <c r="J156" s="18">
        <f t="shared" si="8"/>
        <v>-0.04817583333</v>
      </c>
      <c r="K156" s="18">
        <f t="shared" si="10"/>
        <v>79.16367333</v>
      </c>
      <c r="L156" s="4"/>
      <c r="M156" s="4"/>
      <c r="N156" s="4"/>
      <c r="O156" s="4"/>
      <c r="P156" s="4"/>
      <c r="Q156" s="4"/>
      <c r="R156" s="4"/>
      <c r="S156" s="4"/>
      <c r="T156" s="4"/>
      <c r="U156" s="4"/>
      <c r="V156" s="4"/>
      <c r="W156" s="4"/>
    </row>
    <row r="157" ht="15.75" customHeight="1">
      <c r="A157" s="13">
        <f t="shared" si="9"/>
        <v>154</v>
      </c>
      <c r="B157" s="18">
        <f>A157/'Orbit Info'!$G$10</f>
        <v>1.627675152</v>
      </c>
      <c r="C157" s="13">
        <f t="shared" si="2"/>
        <v>0</v>
      </c>
      <c r="D157" s="13">
        <f t="shared" si="3"/>
        <v>0</v>
      </c>
      <c r="E157" s="13">
        <f t="shared" si="4"/>
        <v>0</v>
      </c>
      <c r="F157" s="13">
        <f t="shared" si="5"/>
        <v>1</v>
      </c>
      <c r="G157" s="13">
        <f t="shared" si="6"/>
        <v>1</v>
      </c>
      <c r="H157" s="13">
        <f>'Orbit Info'!C156*((C157*$O$2)+(D157*$O$3)+(E157*$O$4)+(F157*$O$5))</f>
        <v>0</v>
      </c>
      <c r="I157" s="13">
        <f t="shared" si="7"/>
        <v>5.74655</v>
      </c>
      <c r="J157" s="18">
        <f t="shared" si="8"/>
        <v>-0.09577583333</v>
      </c>
      <c r="K157" s="18">
        <f t="shared" si="10"/>
        <v>79.0678975</v>
      </c>
      <c r="L157" s="4"/>
      <c r="M157" s="4"/>
      <c r="N157" s="4"/>
      <c r="O157" s="4"/>
      <c r="P157" s="4"/>
      <c r="Q157" s="4"/>
      <c r="R157" s="4"/>
      <c r="S157" s="4"/>
      <c r="T157" s="4"/>
      <c r="U157" s="4"/>
      <c r="V157" s="4"/>
      <c r="W157" s="4"/>
    </row>
    <row r="158" ht="15.75" customHeight="1">
      <c r="A158" s="13">
        <f t="shared" si="9"/>
        <v>155</v>
      </c>
      <c r="B158" s="18">
        <f>A158/'Orbit Info'!$G$10</f>
        <v>1.638244471</v>
      </c>
      <c r="C158" s="13">
        <f t="shared" si="2"/>
        <v>0</v>
      </c>
      <c r="D158" s="13">
        <f t="shared" si="3"/>
        <v>0</v>
      </c>
      <c r="E158" s="13">
        <f t="shared" si="4"/>
        <v>0</v>
      </c>
      <c r="F158" s="13">
        <f t="shared" si="5"/>
        <v>1</v>
      </c>
      <c r="G158" s="13">
        <f t="shared" si="6"/>
        <v>1</v>
      </c>
      <c r="H158" s="13">
        <f>'Orbit Info'!C157*((C158*$O$2)+(D158*$O$3)+(E158*$O$4)+(F158*$O$5))</f>
        <v>0</v>
      </c>
      <c r="I158" s="13">
        <f t="shared" si="7"/>
        <v>5.74655</v>
      </c>
      <c r="J158" s="18">
        <f t="shared" si="8"/>
        <v>-0.09577583333</v>
      </c>
      <c r="K158" s="18">
        <f t="shared" si="10"/>
        <v>78.97212167</v>
      </c>
      <c r="L158" s="4"/>
      <c r="M158" s="4"/>
      <c r="N158" s="4"/>
      <c r="O158" s="4"/>
      <c r="P158" s="4"/>
      <c r="Q158" s="4"/>
      <c r="R158" s="4"/>
      <c r="S158" s="4"/>
      <c r="T158" s="4"/>
      <c r="U158" s="4"/>
      <c r="V158" s="4"/>
      <c r="W158" s="4"/>
    </row>
    <row r="159" ht="15.75" customHeight="1">
      <c r="A159" s="13">
        <f t="shared" si="9"/>
        <v>156</v>
      </c>
      <c r="B159" s="18">
        <f>A159/'Orbit Info'!$G$10</f>
        <v>1.64881379</v>
      </c>
      <c r="C159" s="13">
        <f t="shared" si="2"/>
        <v>0</v>
      </c>
      <c r="D159" s="13">
        <f t="shared" si="3"/>
        <v>0</v>
      </c>
      <c r="E159" s="13">
        <f t="shared" si="4"/>
        <v>0</v>
      </c>
      <c r="F159" s="13">
        <f t="shared" si="5"/>
        <v>1</v>
      </c>
      <c r="G159" s="13">
        <f t="shared" si="6"/>
        <v>1</v>
      </c>
      <c r="H159" s="13">
        <f>'Orbit Info'!C158*((C159*$O$2)+(D159*$O$3)+(E159*$O$4)+(F159*$O$5))</f>
        <v>0</v>
      </c>
      <c r="I159" s="13">
        <f t="shared" si="7"/>
        <v>5.74655</v>
      </c>
      <c r="J159" s="18">
        <f t="shared" si="8"/>
        <v>-0.09577583333</v>
      </c>
      <c r="K159" s="18">
        <f t="shared" si="10"/>
        <v>78.87634583</v>
      </c>
      <c r="L159" s="4"/>
      <c r="M159" s="4"/>
      <c r="N159" s="4"/>
      <c r="O159" s="4"/>
      <c r="P159" s="4"/>
      <c r="Q159" s="4"/>
      <c r="R159" s="4"/>
      <c r="S159" s="4"/>
      <c r="T159" s="4"/>
      <c r="U159" s="4"/>
      <c r="V159" s="4"/>
      <c r="W159" s="4"/>
    </row>
    <row r="160" ht="15.75" customHeight="1">
      <c r="A160" s="13">
        <f t="shared" si="9"/>
        <v>157</v>
      </c>
      <c r="B160" s="18">
        <f>A160/'Orbit Info'!$G$10</f>
        <v>1.659383109</v>
      </c>
      <c r="C160" s="13">
        <f t="shared" si="2"/>
        <v>0</v>
      </c>
      <c r="D160" s="13">
        <f t="shared" si="3"/>
        <v>0</v>
      </c>
      <c r="E160" s="13">
        <f t="shared" si="4"/>
        <v>0</v>
      </c>
      <c r="F160" s="13">
        <f t="shared" si="5"/>
        <v>1</v>
      </c>
      <c r="G160" s="13">
        <f t="shared" si="6"/>
        <v>1</v>
      </c>
      <c r="H160" s="13">
        <f>'Orbit Info'!C159*((C160*$O$2)+(D160*$O$3)+(E160*$O$4)+(F160*$O$5))</f>
        <v>0</v>
      </c>
      <c r="I160" s="13">
        <f t="shared" si="7"/>
        <v>5.74655</v>
      </c>
      <c r="J160" s="18">
        <f t="shared" si="8"/>
        <v>-0.09577583333</v>
      </c>
      <c r="K160" s="18">
        <f t="shared" si="10"/>
        <v>78.78057</v>
      </c>
      <c r="L160" s="4"/>
      <c r="M160" s="4"/>
      <c r="N160" s="4"/>
      <c r="O160" s="4"/>
      <c r="P160" s="4"/>
      <c r="Q160" s="4"/>
      <c r="R160" s="4"/>
      <c r="S160" s="4"/>
      <c r="T160" s="4"/>
      <c r="U160" s="4"/>
      <c r="V160" s="4"/>
      <c r="W160" s="4"/>
    </row>
    <row r="161" ht="15.75" customHeight="1">
      <c r="A161" s="13">
        <f t="shared" si="9"/>
        <v>158</v>
      </c>
      <c r="B161" s="18">
        <f>A161/'Orbit Info'!$G$10</f>
        <v>1.669952428</v>
      </c>
      <c r="C161" s="13">
        <f t="shared" si="2"/>
        <v>0</v>
      </c>
      <c r="D161" s="13">
        <f t="shared" si="3"/>
        <v>0</v>
      </c>
      <c r="E161" s="13">
        <f t="shared" si="4"/>
        <v>0</v>
      </c>
      <c r="F161" s="13">
        <f t="shared" si="5"/>
        <v>1</v>
      </c>
      <c r="G161" s="13">
        <f t="shared" si="6"/>
        <v>1</v>
      </c>
      <c r="H161" s="13">
        <f>'Orbit Info'!C160*((C161*$O$2)+(D161*$O$3)+(E161*$O$4)+(F161*$O$5))</f>
        <v>0</v>
      </c>
      <c r="I161" s="13">
        <f t="shared" si="7"/>
        <v>5.74655</v>
      </c>
      <c r="J161" s="18">
        <f t="shared" si="8"/>
        <v>-0.09577583333</v>
      </c>
      <c r="K161" s="18">
        <f t="shared" si="10"/>
        <v>78.68479417</v>
      </c>
      <c r="L161" s="4"/>
      <c r="M161" s="4"/>
      <c r="N161" s="4"/>
      <c r="O161" s="4"/>
      <c r="P161" s="4"/>
      <c r="Q161" s="4"/>
      <c r="R161" s="4"/>
      <c r="S161" s="4"/>
      <c r="T161" s="4"/>
      <c r="U161" s="4"/>
      <c r="V161" s="4"/>
      <c r="W161" s="4"/>
    </row>
    <row r="162" ht="15.75" customHeight="1">
      <c r="A162" s="13">
        <f t="shared" si="9"/>
        <v>159</v>
      </c>
      <c r="B162" s="18">
        <f>A162/'Orbit Info'!$G$10</f>
        <v>1.680521747</v>
      </c>
      <c r="C162" s="13">
        <f t="shared" si="2"/>
        <v>0</v>
      </c>
      <c r="D162" s="13">
        <f t="shared" si="3"/>
        <v>0</v>
      </c>
      <c r="E162" s="13">
        <f t="shared" si="4"/>
        <v>0</v>
      </c>
      <c r="F162" s="13">
        <f t="shared" si="5"/>
        <v>1</v>
      </c>
      <c r="G162" s="13">
        <f t="shared" si="6"/>
        <v>1</v>
      </c>
      <c r="H162" s="13">
        <f>'Orbit Info'!C161*((C162*$O$2)+(D162*$O$3)+(E162*$O$4)+(F162*$O$5))</f>
        <v>0</v>
      </c>
      <c r="I162" s="13">
        <f t="shared" si="7"/>
        <v>5.74655</v>
      </c>
      <c r="J162" s="18">
        <f t="shared" si="8"/>
        <v>-0.09577583333</v>
      </c>
      <c r="K162" s="18">
        <f t="shared" si="10"/>
        <v>78.58901833</v>
      </c>
      <c r="L162" s="4"/>
      <c r="M162" s="4"/>
      <c r="N162" s="4"/>
      <c r="O162" s="4"/>
      <c r="P162" s="4"/>
      <c r="Q162" s="4"/>
      <c r="R162" s="4"/>
      <c r="S162" s="4"/>
      <c r="T162" s="4"/>
      <c r="U162" s="4"/>
      <c r="V162" s="4"/>
      <c r="W162" s="4"/>
    </row>
    <row r="163" ht="15.75" customHeight="1">
      <c r="A163" s="13">
        <f t="shared" si="9"/>
        <v>160</v>
      </c>
      <c r="B163" s="18">
        <f>A163/'Orbit Info'!$G$10</f>
        <v>1.691091067</v>
      </c>
      <c r="C163" s="13">
        <f t="shared" si="2"/>
        <v>0</v>
      </c>
      <c r="D163" s="13">
        <f t="shared" si="3"/>
        <v>0</v>
      </c>
      <c r="E163" s="13">
        <f t="shared" si="4"/>
        <v>0</v>
      </c>
      <c r="F163" s="13">
        <f t="shared" si="5"/>
        <v>1</v>
      </c>
      <c r="G163" s="13">
        <f t="shared" si="6"/>
        <v>1</v>
      </c>
      <c r="H163" s="13">
        <f>'Orbit Info'!C162*((C163*$O$2)+(D163*$O$3)+(E163*$O$4)+(F163*$O$5))</f>
        <v>0</v>
      </c>
      <c r="I163" s="13">
        <f t="shared" si="7"/>
        <v>5.74655</v>
      </c>
      <c r="J163" s="18">
        <f t="shared" si="8"/>
        <v>-0.09577583333</v>
      </c>
      <c r="K163" s="18">
        <f t="shared" si="10"/>
        <v>78.4932425</v>
      </c>
      <c r="L163" s="4"/>
      <c r="M163" s="4"/>
      <c r="N163" s="4"/>
      <c r="O163" s="4"/>
      <c r="P163" s="4"/>
      <c r="Q163" s="4"/>
      <c r="R163" s="4"/>
      <c r="S163" s="4"/>
      <c r="T163" s="4"/>
      <c r="U163" s="4"/>
      <c r="V163" s="4"/>
      <c r="W163" s="4"/>
    </row>
    <row r="164" ht="15.75" customHeight="1">
      <c r="A164" s="13">
        <f t="shared" si="9"/>
        <v>161</v>
      </c>
      <c r="B164" s="18">
        <f>A164/'Orbit Info'!$G$10</f>
        <v>1.701660386</v>
      </c>
      <c r="C164" s="13">
        <f t="shared" si="2"/>
        <v>0</v>
      </c>
      <c r="D164" s="13">
        <f t="shared" si="3"/>
        <v>0</v>
      </c>
      <c r="E164" s="13">
        <f t="shared" si="4"/>
        <v>0</v>
      </c>
      <c r="F164" s="13">
        <f t="shared" si="5"/>
        <v>1</v>
      </c>
      <c r="G164" s="13">
        <f t="shared" si="6"/>
        <v>1</v>
      </c>
      <c r="H164" s="13">
        <f>'Orbit Info'!C163*((C164*$O$2)+(D164*$O$3)+(E164*$O$4)+(F164*$O$5))</f>
        <v>0</v>
      </c>
      <c r="I164" s="13">
        <f t="shared" si="7"/>
        <v>5.74655</v>
      </c>
      <c r="J164" s="18">
        <f t="shared" si="8"/>
        <v>-0.09577583333</v>
      </c>
      <c r="K164" s="18">
        <f t="shared" si="10"/>
        <v>78.39746667</v>
      </c>
      <c r="L164" s="4"/>
      <c r="M164" s="4"/>
      <c r="N164" s="4"/>
      <c r="O164" s="4"/>
      <c r="P164" s="4"/>
      <c r="Q164" s="4"/>
      <c r="R164" s="4"/>
      <c r="S164" s="4"/>
      <c r="T164" s="4"/>
      <c r="U164" s="4"/>
      <c r="V164" s="4"/>
      <c r="W164" s="4"/>
    </row>
    <row r="165" ht="15.75" customHeight="1">
      <c r="A165" s="13">
        <f t="shared" si="9"/>
        <v>162</v>
      </c>
      <c r="B165" s="18">
        <f>A165/'Orbit Info'!$G$10</f>
        <v>1.712229705</v>
      </c>
      <c r="C165" s="13">
        <f t="shared" si="2"/>
        <v>0</v>
      </c>
      <c r="D165" s="13">
        <f t="shared" si="3"/>
        <v>0</v>
      </c>
      <c r="E165" s="13">
        <f t="shared" si="4"/>
        <v>0</v>
      </c>
      <c r="F165" s="13">
        <f t="shared" si="5"/>
        <v>1</v>
      </c>
      <c r="G165" s="13">
        <f t="shared" si="6"/>
        <v>1</v>
      </c>
      <c r="H165" s="13">
        <f>'Orbit Info'!C164*((C165*$O$2)+(D165*$O$3)+(E165*$O$4)+(F165*$O$5))</f>
        <v>0</v>
      </c>
      <c r="I165" s="13">
        <f t="shared" si="7"/>
        <v>5.74655</v>
      </c>
      <c r="J165" s="18">
        <f t="shared" si="8"/>
        <v>-0.09577583333</v>
      </c>
      <c r="K165" s="18">
        <f t="shared" si="10"/>
        <v>78.30169083</v>
      </c>
      <c r="L165" s="4"/>
      <c r="M165" s="4"/>
      <c r="N165" s="4"/>
      <c r="O165" s="4"/>
      <c r="P165" s="4"/>
      <c r="Q165" s="4"/>
      <c r="R165" s="4"/>
      <c r="S165" s="4"/>
      <c r="T165" s="4"/>
      <c r="U165" s="4"/>
      <c r="V165" s="4"/>
      <c r="W165" s="4"/>
    </row>
    <row r="166" ht="15.75" customHeight="1">
      <c r="A166" s="13">
        <f t="shared" si="9"/>
        <v>163</v>
      </c>
      <c r="B166" s="18">
        <f>A166/'Orbit Info'!$G$10</f>
        <v>1.722799024</v>
      </c>
      <c r="C166" s="13">
        <f t="shared" si="2"/>
        <v>0</v>
      </c>
      <c r="D166" s="13">
        <f t="shared" si="3"/>
        <v>0</v>
      </c>
      <c r="E166" s="13">
        <f t="shared" si="4"/>
        <v>0</v>
      </c>
      <c r="F166" s="13">
        <f t="shared" si="5"/>
        <v>1</v>
      </c>
      <c r="G166" s="13">
        <f t="shared" si="6"/>
        <v>1</v>
      </c>
      <c r="H166" s="13">
        <f>'Orbit Info'!C165*((C166*$O$2)+(D166*$O$3)+(E166*$O$4)+(F166*$O$5))</f>
        <v>0</v>
      </c>
      <c r="I166" s="13">
        <f t="shared" si="7"/>
        <v>5.74655</v>
      </c>
      <c r="J166" s="18">
        <f t="shared" si="8"/>
        <v>-0.09577583333</v>
      </c>
      <c r="K166" s="18">
        <f t="shared" si="10"/>
        <v>78.205915</v>
      </c>
      <c r="L166" s="4"/>
      <c r="M166" s="4"/>
      <c r="N166" s="4"/>
      <c r="O166" s="4"/>
      <c r="P166" s="4"/>
      <c r="Q166" s="4"/>
      <c r="R166" s="4"/>
      <c r="S166" s="4"/>
      <c r="T166" s="4"/>
      <c r="U166" s="4"/>
      <c r="V166" s="4"/>
      <c r="W166" s="4"/>
    </row>
    <row r="167" ht="15.75" customHeight="1">
      <c r="A167" s="13">
        <f t="shared" si="9"/>
        <v>164</v>
      </c>
      <c r="B167" s="18">
        <f>A167/'Orbit Info'!$G$10</f>
        <v>1.733368343</v>
      </c>
      <c r="C167" s="13">
        <f t="shared" si="2"/>
        <v>0</v>
      </c>
      <c r="D167" s="13">
        <f t="shared" si="3"/>
        <v>0</v>
      </c>
      <c r="E167" s="13">
        <f t="shared" si="4"/>
        <v>0</v>
      </c>
      <c r="F167" s="13">
        <f t="shared" si="5"/>
        <v>1</v>
      </c>
      <c r="G167" s="13">
        <f t="shared" si="6"/>
        <v>1</v>
      </c>
      <c r="H167" s="13">
        <f>'Orbit Info'!C166*((C167*$O$2)+(D167*$O$3)+(E167*$O$4)+(F167*$O$5))</f>
        <v>0</v>
      </c>
      <c r="I167" s="13">
        <f t="shared" si="7"/>
        <v>5.74655</v>
      </c>
      <c r="J167" s="18">
        <f t="shared" si="8"/>
        <v>-0.09577583333</v>
      </c>
      <c r="K167" s="18">
        <f t="shared" si="10"/>
        <v>78.11013917</v>
      </c>
      <c r="L167" s="4"/>
      <c r="M167" s="4"/>
      <c r="N167" s="4"/>
      <c r="O167" s="4"/>
      <c r="P167" s="4"/>
      <c r="Q167" s="4"/>
      <c r="R167" s="4"/>
      <c r="S167" s="4"/>
      <c r="T167" s="4"/>
      <c r="U167" s="4"/>
      <c r="V167" s="4"/>
      <c r="W167" s="4"/>
    </row>
    <row r="168" ht="15.75" customHeight="1">
      <c r="A168" s="13">
        <f t="shared" si="9"/>
        <v>165</v>
      </c>
      <c r="B168" s="18">
        <f>A168/'Orbit Info'!$G$10</f>
        <v>1.743937662</v>
      </c>
      <c r="C168" s="13">
        <f t="shared" si="2"/>
        <v>0</v>
      </c>
      <c r="D168" s="13">
        <f t="shared" si="3"/>
        <v>0</v>
      </c>
      <c r="E168" s="13">
        <f t="shared" si="4"/>
        <v>0</v>
      </c>
      <c r="F168" s="13">
        <f t="shared" si="5"/>
        <v>1</v>
      </c>
      <c r="G168" s="13">
        <f t="shared" si="6"/>
        <v>1</v>
      </c>
      <c r="H168" s="13">
        <f>'Orbit Info'!C167*((C168*$O$2)+(D168*$O$3)+(E168*$O$4)+(F168*$O$5))</f>
        <v>0</v>
      </c>
      <c r="I168" s="13">
        <f t="shared" si="7"/>
        <v>5.74655</v>
      </c>
      <c r="J168" s="18">
        <f t="shared" si="8"/>
        <v>-0.09577583333</v>
      </c>
      <c r="K168" s="18">
        <f t="shared" si="10"/>
        <v>78.01436333</v>
      </c>
      <c r="L168" s="4"/>
      <c r="M168" s="4"/>
      <c r="N168" s="4"/>
      <c r="O168" s="4"/>
      <c r="P168" s="4"/>
      <c r="Q168" s="4"/>
      <c r="R168" s="4"/>
      <c r="S168" s="4"/>
      <c r="T168" s="4"/>
      <c r="U168" s="4"/>
      <c r="V168" s="4"/>
      <c r="W168" s="4"/>
    </row>
    <row r="169" ht="15.75" customHeight="1">
      <c r="A169" s="13">
        <f t="shared" si="9"/>
        <v>166</v>
      </c>
      <c r="B169" s="18">
        <f>A169/'Orbit Info'!$G$10</f>
        <v>1.754506982</v>
      </c>
      <c r="C169" s="13">
        <f t="shared" si="2"/>
        <v>0</v>
      </c>
      <c r="D169" s="13">
        <f t="shared" si="3"/>
        <v>0</v>
      </c>
      <c r="E169" s="13">
        <f t="shared" si="4"/>
        <v>0</v>
      </c>
      <c r="F169" s="13">
        <f t="shared" si="5"/>
        <v>1</v>
      </c>
      <c r="G169" s="13">
        <f t="shared" si="6"/>
        <v>1</v>
      </c>
      <c r="H169" s="13">
        <f>'Orbit Info'!C168*((C169*$O$2)+(D169*$O$3)+(E169*$O$4)+(F169*$O$5))</f>
        <v>0</v>
      </c>
      <c r="I169" s="13">
        <f t="shared" si="7"/>
        <v>5.74655</v>
      </c>
      <c r="J169" s="18">
        <f t="shared" si="8"/>
        <v>-0.09577583333</v>
      </c>
      <c r="K169" s="18">
        <f t="shared" si="10"/>
        <v>77.9185875</v>
      </c>
      <c r="L169" s="4"/>
      <c r="M169" s="4"/>
      <c r="N169" s="4"/>
      <c r="O169" s="4"/>
      <c r="P169" s="4"/>
      <c r="Q169" s="4"/>
      <c r="R169" s="4"/>
      <c r="S169" s="4"/>
      <c r="T169" s="4"/>
      <c r="U169" s="4"/>
      <c r="V169" s="4"/>
      <c r="W169" s="4"/>
    </row>
    <row r="170" ht="15.75" customHeight="1">
      <c r="A170" s="13">
        <f t="shared" si="9"/>
        <v>167</v>
      </c>
      <c r="B170" s="18">
        <f>A170/'Orbit Info'!$G$10</f>
        <v>1.765076301</v>
      </c>
      <c r="C170" s="13">
        <f t="shared" si="2"/>
        <v>0</v>
      </c>
      <c r="D170" s="13">
        <f t="shared" si="3"/>
        <v>0</v>
      </c>
      <c r="E170" s="13">
        <f t="shared" si="4"/>
        <v>0</v>
      </c>
      <c r="F170" s="13">
        <f t="shared" si="5"/>
        <v>1</v>
      </c>
      <c r="G170" s="13">
        <f t="shared" si="6"/>
        <v>1</v>
      </c>
      <c r="H170" s="13">
        <f>'Orbit Info'!C169*((C170*$O$2)+(D170*$O$3)+(E170*$O$4)+(F170*$O$5))</f>
        <v>0</v>
      </c>
      <c r="I170" s="13">
        <f t="shared" si="7"/>
        <v>5.74655</v>
      </c>
      <c r="J170" s="18">
        <f t="shared" si="8"/>
        <v>-0.09577583333</v>
      </c>
      <c r="K170" s="18">
        <f t="shared" si="10"/>
        <v>77.82281167</v>
      </c>
      <c r="L170" s="4"/>
      <c r="M170" s="4"/>
      <c r="N170" s="4"/>
      <c r="O170" s="4"/>
      <c r="P170" s="4"/>
      <c r="Q170" s="4"/>
      <c r="R170" s="4"/>
      <c r="S170" s="4"/>
      <c r="T170" s="4"/>
      <c r="U170" s="4"/>
      <c r="V170" s="4"/>
      <c r="W170" s="4"/>
    </row>
    <row r="171" ht="15.75" customHeight="1">
      <c r="A171" s="13">
        <f t="shared" si="9"/>
        <v>168</v>
      </c>
      <c r="B171" s="18">
        <f>A171/'Orbit Info'!$G$10</f>
        <v>1.77564562</v>
      </c>
      <c r="C171" s="13">
        <f t="shared" si="2"/>
        <v>0</v>
      </c>
      <c r="D171" s="13">
        <f t="shared" si="3"/>
        <v>0</v>
      </c>
      <c r="E171" s="13">
        <f t="shared" si="4"/>
        <v>0</v>
      </c>
      <c r="F171" s="13">
        <f t="shared" si="5"/>
        <v>1</v>
      </c>
      <c r="G171" s="13">
        <f t="shared" si="6"/>
        <v>1</v>
      </c>
      <c r="H171" s="13">
        <f>'Orbit Info'!C170*((C171*$O$2)+(D171*$O$3)+(E171*$O$4)+(F171*$O$5))</f>
        <v>0</v>
      </c>
      <c r="I171" s="13">
        <f t="shared" si="7"/>
        <v>5.74655</v>
      </c>
      <c r="J171" s="18">
        <f t="shared" si="8"/>
        <v>-0.09577583333</v>
      </c>
      <c r="K171" s="18">
        <f t="shared" si="10"/>
        <v>77.72703583</v>
      </c>
      <c r="L171" s="4"/>
      <c r="M171" s="4"/>
      <c r="N171" s="4"/>
      <c r="O171" s="4"/>
      <c r="P171" s="4"/>
      <c r="Q171" s="4"/>
      <c r="R171" s="4"/>
      <c r="S171" s="4"/>
      <c r="T171" s="4"/>
      <c r="U171" s="4"/>
      <c r="V171" s="4"/>
      <c r="W171" s="4"/>
    </row>
    <row r="172" ht="15.75" customHeight="1">
      <c r="A172" s="13">
        <f t="shared" si="9"/>
        <v>169</v>
      </c>
      <c r="B172" s="18">
        <f>A172/'Orbit Info'!$G$10</f>
        <v>1.786214939</v>
      </c>
      <c r="C172" s="13">
        <f t="shared" si="2"/>
        <v>0</v>
      </c>
      <c r="D172" s="13">
        <f t="shared" si="3"/>
        <v>0</v>
      </c>
      <c r="E172" s="13">
        <f t="shared" si="4"/>
        <v>0</v>
      </c>
      <c r="F172" s="13">
        <f t="shared" si="5"/>
        <v>1</v>
      </c>
      <c r="G172" s="13">
        <f t="shared" si="6"/>
        <v>1</v>
      </c>
      <c r="H172" s="13">
        <f>'Orbit Info'!C171*((C172*$O$2)+(D172*$O$3)+(E172*$O$4)+(F172*$O$5))</f>
        <v>0</v>
      </c>
      <c r="I172" s="13">
        <f t="shared" si="7"/>
        <v>5.74655</v>
      </c>
      <c r="J172" s="18">
        <f t="shared" si="8"/>
        <v>-0.09577583333</v>
      </c>
      <c r="K172" s="18">
        <f t="shared" si="10"/>
        <v>77.63126</v>
      </c>
      <c r="L172" s="4"/>
      <c r="M172" s="4"/>
      <c r="N172" s="4"/>
      <c r="O172" s="4"/>
      <c r="P172" s="4"/>
      <c r="Q172" s="4"/>
      <c r="R172" s="4"/>
      <c r="S172" s="4"/>
      <c r="T172" s="4"/>
      <c r="U172" s="4"/>
      <c r="V172" s="4"/>
      <c r="W172" s="4"/>
    </row>
    <row r="173" ht="15.75" customHeight="1">
      <c r="A173" s="13">
        <f t="shared" si="9"/>
        <v>170</v>
      </c>
      <c r="B173" s="18">
        <f>A173/'Orbit Info'!$G$10</f>
        <v>1.796784258</v>
      </c>
      <c r="C173" s="13">
        <f t="shared" si="2"/>
        <v>0</v>
      </c>
      <c r="D173" s="13">
        <f t="shared" si="3"/>
        <v>0</v>
      </c>
      <c r="E173" s="13">
        <f t="shared" si="4"/>
        <v>0</v>
      </c>
      <c r="F173" s="13">
        <f t="shared" si="5"/>
        <v>1</v>
      </c>
      <c r="G173" s="13">
        <f t="shared" si="6"/>
        <v>1</v>
      </c>
      <c r="H173" s="13">
        <f>'Orbit Info'!C172*((C173*$O$2)+(D173*$O$3)+(E173*$O$4)+(F173*$O$5))</f>
        <v>0</v>
      </c>
      <c r="I173" s="13">
        <f t="shared" si="7"/>
        <v>5.74655</v>
      </c>
      <c r="J173" s="18">
        <f t="shared" si="8"/>
        <v>-0.09577583333</v>
      </c>
      <c r="K173" s="18">
        <f t="shared" si="10"/>
        <v>77.53548417</v>
      </c>
      <c r="L173" s="4"/>
      <c r="M173" s="4"/>
      <c r="N173" s="4"/>
      <c r="O173" s="4"/>
      <c r="P173" s="4"/>
      <c r="Q173" s="4"/>
      <c r="R173" s="4"/>
      <c r="S173" s="4"/>
      <c r="T173" s="4"/>
      <c r="U173" s="4"/>
      <c r="V173" s="4"/>
      <c r="W173" s="4"/>
    </row>
    <row r="174" ht="15.75" customHeight="1">
      <c r="A174" s="13">
        <f t="shared" si="9"/>
        <v>171</v>
      </c>
      <c r="B174" s="18">
        <f>A174/'Orbit Info'!$G$10</f>
        <v>1.807353577</v>
      </c>
      <c r="C174" s="13">
        <f t="shared" si="2"/>
        <v>0</v>
      </c>
      <c r="D174" s="13">
        <f t="shared" si="3"/>
        <v>0</v>
      </c>
      <c r="E174" s="13">
        <f t="shared" si="4"/>
        <v>0</v>
      </c>
      <c r="F174" s="13">
        <f t="shared" si="5"/>
        <v>1</v>
      </c>
      <c r="G174" s="13">
        <f t="shared" si="6"/>
        <v>1</v>
      </c>
      <c r="H174" s="13">
        <f>'Orbit Info'!C173*((C174*$O$2)+(D174*$O$3)+(E174*$O$4)+(F174*$O$5))</f>
        <v>0</v>
      </c>
      <c r="I174" s="13">
        <f t="shared" si="7"/>
        <v>5.74655</v>
      </c>
      <c r="J174" s="18">
        <f t="shared" si="8"/>
        <v>-0.09577583333</v>
      </c>
      <c r="K174" s="18">
        <f t="shared" si="10"/>
        <v>77.43970833</v>
      </c>
      <c r="L174" s="4"/>
      <c r="M174" s="4"/>
      <c r="N174" s="4"/>
      <c r="O174" s="4"/>
      <c r="P174" s="4"/>
      <c r="Q174" s="4"/>
      <c r="R174" s="4"/>
      <c r="S174" s="4"/>
      <c r="T174" s="4"/>
      <c r="U174" s="4"/>
      <c r="V174" s="4"/>
      <c r="W174" s="4"/>
    </row>
    <row r="175" ht="15.75" customHeight="1">
      <c r="A175" s="13">
        <f t="shared" si="9"/>
        <v>172</v>
      </c>
      <c r="B175" s="18">
        <f>A175/'Orbit Info'!$G$10</f>
        <v>1.817922897</v>
      </c>
      <c r="C175" s="13">
        <f t="shared" si="2"/>
        <v>0</v>
      </c>
      <c r="D175" s="13">
        <f t="shared" si="3"/>
        <v>0</v>
      </c>
      <c r="E175" s="13">
        <f t="shared" si="4"/>
        <v>0</v>
      </c>
      <c r="F175" s="13">
        <f t="shared" si="5"/>
        <v>1</v>
      </c>
      <c r="G175" s="13">
        <f t="shared" si="6"/>
        <v>1</v>
      </c>
      <c r="H175" s="13">
        <f>'Orbit Info'!C174*((C175*$O$2)+(D175*$O$3)+(E175*$O$4)+(F175*$O$5))</f>
        <v>0</v>
      </c>
      <c r="I175" s="13">
        <f t="shared" si="7"/>
        <v>5.74655</v>
      </c>
      <c r="J175" s="18">
        <f t="shared" si="8"/>
        <v>-0.09577583333</v>
      </c>
      <c r="K175" s="18">
        <f t="shared" si="10"/>
        <v>77.3439325</v>
      </c>
      <c r="L175" s="4"/>
      <c r="M175" s="4"/>
      <c r="N175" s="4"/>
      <c r="O175" s="4"/>
      <c r="P175" s="4"/>
      <c r="Q175" s="4"/>
      <c r="R175" s="4"/>
      <c r="S175" s="4"/>
      <c r="T175" s="4"/>
      <c r="U175" s="4"/>
      <c r="V175" s="4"/>
      <c r="W175" s="4"/>
    </row>
    <row r="176" ht="15.75" customHeight="1">
      <c r="A176" s="13">
        <f t="shared" si="9"/>
        <v>173</v>
      </c>
      <c r="B176" s="18">
        <f>A176/'Orbit Info'!$G$10</f>
        <v>1.828492216</v>
      </c>
      <c r="C176" s="13">
        <f t="shared" si="2"/>
        <v>0</v>
      </c>
      <c r="D176" s="13">
        <f t="shared" si="3"/>
        <v>0</v>
      </c>
      <c r="E176" s="13">
        <f t="shared" si="4"/>
        <v>0</v>
      </c>
      <c r="F176" s="13">
        <f t="shared" si="5"/>
        <v>1</v>
      </c>
      <c r="G176" s="13">
        <f t="shared" si="6"/>
        <v>1</v>
      </c>
      <c r="H176" s="13">
        <f>'Orbit Info'!C175*((C176*$O$2)+(D176*$O$3)+(E176*$O$4)+(F176*$O$5))</f>
        <v>0</v>
      </c>
      <c r="I176" s="13">
        <f t="shared" si="7"/>
        <v>5.74655</v>
      </c>
      <c r="J176" s="18">
        <f t="shared" si="8"/>
        <v>-0.09577583333</v>
      </c>
      <c r="K176" s="18">
        <f t="shared" si="10"/>
        <v>77.24815667</v>
      </c>
      <c r="L176" s="4"/>
      <c r="M176" s="4"/>
      <c r="N176" s="4"/>
      <c r="O176" s="4"/>
      <c r="P176" s="4"/>
      <c r="Q176" s="4"/>
      <c r="R176" s="4"/>
      <c r="S176" s="4"/>
      <c r="T176" s="4"/>
      <c r="U176" s="4"/>
      <c r="V176" s="4"/>
      <c r="W176" s="4"/>
    </row>
    <row r="177" ht="15.75" customHeight="1">
      <c r="A177" s="13">
        <f t="shared" si="9"/>
        <v>174</v>
      </c>
      <c r="B177" s="18">
        <f>A177/'Orbit Info'!$G$10</f>
        <v>1.839061535</v>
      </c>
      <c r="C177" s="13">
        <f t="shared" si="2"/>
        <v>0</v>
      </c>
      <c r="D177" s="13">
        <f t="shared" si="3"/>
        <v>0</v>
      </c>
      <c r="E177" s="13">
        <f t="shared" si="4"/>
        <v>0</v>
      </c>
      <c r="F177" s="13">
        <f t="shared" si="5"/>
        <v>1</v>
      </c>
      <c r="G177" s="13">
        <f t="shared" si="6"/>
        <v>1</v>
      </c>
      <c r="H177" s="13">
        <f>'Orbit Info'!C176*((C177*$O$2)+(D177*$O$3)+(E177*$O$4)+(F177*$O$5))</f>
        <v>0</v>
      </c>
      <c r="I177" s="13">
        <f t="shared" si="7"/>
        <v>5.74655</v>
      </c>
      <c r="J177" s="18">
        <f t="shared" si="8"/>
        <v>-0.09577583333</v>
      </c>
      <c r="K177" s="18">
        <f t="shared" si="10"/>
        <v>77.15238083</v>
      </c>
      <c r="L177" s="4"/>
      <c r="M177" s="4"/>
      <c r="N177" s="4"/>
      <c r="O177" s="4"/>
      <c r="P177" s="4"/>
      <c r="Q177" s="4"/>
      <c r="R177" s="4"/>
      <c r="S177" s="4"/>
      <c r="T177" s="4"/>
      <c r="U177" s="4"/>
      <c r="V177" s="4"/>
      <c r="W177" s="4"/>
    </row>
    <row r="178" ht="15.75" customHeight="1">
      <c r="A178" s="13">
        <f t="shared" si="9"/>
        <v>175</v>
      </c>
      <c r="B178" s="18">
        <f>A178/'Orbit Info'!$G$10</f>
        <v>1.849630854</v>
      </c>
      <c r="C178" s="13">
        <f t="shared" si="2"/>
        <v>0</v>
      </c>
      <c r="D178" s="13">
        <f t="shared" si="3"/>
        <v>0</v>
      </c>
      <c r="E178" s="13">
        <f t="shared" si="4"/>
        <v>0</v>
      </c>
      <c r="F178" s="13">
        <f t="shared" si="5"/>
        <v>1</v>
      </c>
      <c r="G178" s="13">
        <f t="shared" si="6"/>
        <v>1</v>
      </c>
      <c r="H178" s="13">
        <f>'Orbit Info'!C177*((C178*$O$2)+(D178*$O$3)+(E178*$O$4)+(F178*$O$5))</f>
        <v>0</v>
      </c>
      <c r="I178" s="13">
        <f t="shared" si="7"/>
        <v>5.74655</v>
      </c>
      <c r="J178" s="18">
        <f t="shared" si="8"/>
        <v>-0.09577583333</v>
      </c>
      <c r="K178" s="18">
        <f t="shared" si="10"/>
        <v>77.056605</v>
      </c>
      <c r="L178" s="4"/>
      <c r="M178" s="4"/>
      <c r="N178" s="4"/>
      <c r="O178" s="4"/>
      <c r="P178" s="4"/>
      <c r="Q178" s="4"/>
      <c r="R178" s="4"/>
      <c r="S178" s="4"/>
      <c r="T178" s="4"/>
      <c r="U178" s="4"/>
      <c r="V178" s="4"/>
      <c r="W178" s="4"/>
    </row>
    <row r="179" ht="15.75" customHeight="1">
      <c r="A179" s="13">
        <f t="shared" si="9"/>
        <v>176</v>
      </c>
      <c r="B179" s="18">
        <f>A179/'Orbit Info'!$G$10</f>
        <v>1.860200173</v>
      </c>
      <c r="C179" s="13">
        <f t="shared" si="2"/>
        <v>0</v>
      </c>
      <c r="D179" s="13">
        <f t="shared" si="3"/>
        <v>0</v>
      </c>
      <c r="E179" s="13">
        <f t="shared" si="4"/>
        <v>0</v>
      </c>
      <c r="F179" s="13">
        <f t="shared" si="5"/>
        <v>1</v>
      </c>
      <c r="G179" s="13">
        <f t="shared" si="6"/>
        <v>1</v>
      </c>
      <c r="H179" s="13">
        <f>'Orbit Info'!C178*((C179*$O$2)+(D179*$O$3)+(E179*$O$4)+(F179*$O$5))</f>
        <v>0</v>
      </c>
      <c r="I179" s="13">
        <f t="shared" si="7"/>
        <v>5.74655</v>
      </c>
      <c r="J179" s="18">
        <f t="shared" si="8"/>
        <v>-0.09577583333</v>
      </c>
      <c r="K179" s="18">
        <f t="shared" si="10"/>
        <v>76.96082917</v>
      </c>
      <c r="L179" s="4"/>
      <c r="M179" s="4"/>
      <c r="N179" s="4"/>
      <c r="O179" s="4"/>
      <c r="P179" s="4"/>
      <c r="Q179" s="4"/>
      <c r="R179" s="4"/>
      <c r="S179" s="4"/>
      <c r="T179" s="4"/>
      <c r="U179" s="4"/>
      <c r="V179" s="4"/>
      <c r="W179" s="4"/>
    </row>
    <row r="180" ht="15.75" customHeight="1">
      <c r="A180" s="13">
        <f t="shared" si="9"/>
        <v>177</v>
      </c>
      <c r="B180" s="18">
        <f>A180/'Orbit Info'!$G$10</f>
        <v>1.870769492</v>
      </c>
      <c r="C180" s="13">
        <f t="shared" si="2"/>
        <v>0</v>
      </c>
      <c r="D180" s="13">
        <f t="shared" si="3"/>
        <v>0</v>
      </c>
      <c r="E180" s="13">
        <f t="shared" si="4"/>
        <v>0</v>
      </c>
      <c r="F180" s="13">
        <f t="shared" si="5"/>
        <v>1</v>
      </c>
      <c r="G180" s="13">
        <f t="shared" si="6"/>
        <v>1</v>
      </c>
      <c r="H180" s="13">
        <f>'Orbit Info'!C179*((C180*$O$2)+(D180*$O$3)+(E180*$O$4)+(F180*$O$5))</f>
        <v>0</v>
      </c>
      <c r="I180" s="13">
        <f t="shared" si="7"/>
        <v>5.74655</v>
      </c>
      <c r="J180" s="18">
        <f t="shared" si="8"/>
        <v>-0.09577583333</v>
      </c>
      <c r="K180" s="18">
        <f t="shared" si="10"/>
        <v>76.86505333</v>
      </c>
      <c r="L180" s="4"/>
      <c r="M180" s="4"/>
      <c r="N180" s="4"/>
      <c r="O180" s="4"/>
      <c r="P180" s="4"/>
      <c r="Q180" s="4"/>
      <c r="R180" s="4"/>
      <c r="S180" s="4"/>
      <c r="T180" s="4"/>
      <c r="U180" s="4"/>
      <c r="V180" s="4"/>
      <c r="W180" s="4"/>
    </row>
    <row r="181" ht="15.75" customHeight="1">
      <c r="A181" s="13">
        <f t="shared" si="9"/>
        <v>178</v>
      </c>
      <c r="B181" s="18">
        <f>A181/'Orbit Info'!$G$10</f>
        <v>1.881338812</v>
      </c>
      <c r="C181" s="13">
        <f t="shared" si="2"/>
        <v>0</v>
      </c>
      <c r="D181" s="13">
        <f t="shared" si="3"/>
        <v>0</v>
      </c>
      <c r="E181" s="13">
        <f t="shared" si="4"/>
        <v>0</v>
      </c>
      <c r="F181" s="13">
        <f t="shared" si="5"/>
        <v>1</v>
      </c>
      <c r="G181" s="13">
        <f t="shared" si="6"/>
        <v>1</v>
      </c>
      <c r="H181" s="13">
        <f>'Orbit Info'!C180*((C181*$O$2)+(D181*$O$3)+(E181*$O$4)+(F181*$O$5))</f>
        <v>0</v>
      </c>
      <c r="I181" s="13">
        <f t="shared" si="7"/>
        <v>5.74655</v>
      </c>
      <c r="J181" s="18">
        <f t="shared" si="8"/>
        <v>-0.09577583333</v>
      </c>
      <c r="K181" s="18">
        <f t="shared" si="10"/>
        <v>76.7692775</v>
      </c>
      <c r="L181" s="4"/>
      <c r="M181" s="4"/>
      <c r="N181" s="4"/>
      <c r="O181" s="4"/>
      <c r="P181" s="4"/>
      <c r="Q181" s="4"/>
      <c r="R181" s="4"/>
      <c r="S181" s="4"/>
      <c r="T181" s="4"/>
      <c r="U181" s="4"/>
      <c r="V181" s="4"/>
      <c r="W181" s="4"/>
    </row>
    <row r="182" ht="15.75" customHeight="1">
      <c r="A182" s="13">
        <f t="shared" si="9"/>
        <v>179</v>
      </c>
      <c r="B182" s="18">
        <f>A182/'Orbit Info'!$G$10</f>
        <v>1.891908131</v>
      </c>
      <c r="C182" s="13">
        <f t="shared" si="2"/>
        <v>0</v>
      </c>
      <c r="D182" s="13">
        <f t="shared" si="3"/>
        <v>0</v>
      </c>
      <c r="E182" s="13">
        <f t="shared" si="4"/>
        <v>0</v>
      </c>
      <c r="F182" s="13">
        <f t="shared" si="5"/>
        <v>1</v>
      </c>
      <c r="G182" s="13">
        <f t="shared" si="6"/>
        <v>1</v>
      </c>
      <c r="H182" s="13">
        <f>'Orbit Info'!C181*((C182*$O$2)+(D182*$O$3)+(E182*$O$4)+(F182*$O$5))</f>
        <v>0</v>
      </c>
      <c r="I182" s="13">
        <f t="shared" si="7"/>
        <v>5.74655</v>
      </c>
      <c r="J182" s="18">
        <f t="shared" si="8"/>
        <v>-0.09577583333</v>
      </c>
      <c r="K182" s="18">
        <f t="shared" si="10"/>
        <v>76.67350167</v>
      </c>
      <c r="L182" s="4"/>
      <c r="M182" s="4"/>
      <c r="N182" s="4"/>
      <c r="O182" s="4"/>
      <c r="P182" s="4"/>
      <c r="Q182" s="4"/>
      <c r="R182" s="4"/>
      <c r="S182" s="4"/>
      <c r="T182" s="4"/>
      <c r="U182" s="4"/>
      <c r="V182" s="4"/>
      <c r="W182" s="4"/>
    </row>
    <row r="183" ht="15.75" customHeight="1">
      <c r="A183" s="13">
        <f t="shared" si="9"/>
        <v>180</v>
      </c>
      <c r="B183" s="18">
        <f>A183/'Orbit Info'!$G$10</f>
        <v>1.90247745</v>
      </c>
      <c r="C183" s="13">
        <f t="shared" si="2"/>
        <v>0</v>
      </c>
      <c r="D183" s="13">
        <f t="shared" si="3"/>
        <v>0</v>
      </c>
      <c r="E183" s="13">
        <f t="shared" si="4"/>
        <v>0</v>
      </c>
      <c r="F183" s="13">
        <f t="shared" si="5"/>
        <v>1</v>
      </c>
      <c r="G183" s="13">
        <f t="shared" si="6"/>
        <v>1</v>
      </c>
      <c r="H183" s="13">
        <f>'Orbit Info'!C182*((C183*$O$2)+(D183*$O$3)+(E183*$O$4)+(F183*$O$5))</f>
        <v>0</v>
      </c>
      <c r="I183" s="13">
        <f t="shared" si="7"/>
        <v>5.74655</v>
      </c>
      <c r="J183" s="18">
        <f t="shared" si="8"/>
        <v>-0.09577583333</v>
      </c>
      <c r="K183" s="18">
        <f t="shared" si="10"/>
        <v>76.57772583</v>
      </c>
      <c r="L183" s="4"/>
      <c r="M183" s="4"/>
      <c r="N183" s="4"/>
      <c r="O183" s="4"/>
      <c r="P183" s="4"/>
      <c r="Q183" s="4"/>
      <c r="R183" s="4"/>
      <c r="S183" s="4"/>
      <c r="T183" s="4"/>
      <c r="U183" s="4"/>
      <c r="V183" s="4"/>
      <c r="W183" s="4"/>
    </row>
    <row r="184" ht="15.75" customHeight="1">
      <c r="A184" s="13">
        <f t="shared" si="9"/>
        <v>181</v>
      </c>
      <c r="B184" s="18">
        <f>A184/'Orbit Info'!$G$10</f>
        <v>1.913046769</v>
      </c>
      <c r="C184" s="13">
        <f t="shared" si="2"/>
        <v>0</v>
      </c>
      <c r="D184" s="13">
        <f t="shared" si="3"/>
        <v>0</v>
      </c>
      <c r="E184" s="13">
        <f t="shared" si="4"/>
        <v>0</v>
      </c>
      <c r="F184" s="13">
        <f t="shared" si="5"/>
        <v>1</v>
      </c>
      <c r="G184" s="13">
        <f t="shared" si="6"/>
        <v>1</v>
      </c>
      <c r="H184" s="13">
        <f>'Orbit Info'!C183*((C184*$O$2)+(D184*$O$3)+(E184*$O$4)+(F184*$O$5))</f>
        <v>0</v>
      </c>
      <c r="I184" s="13">
        <f t="shared" si="7"/>
        <v>5.74655</v>
      </c>
      <c r="J184" s="18">
        <f t="shared" si="8"/>
        <v>-0.09577583333</v>
      </c>
      <c r="K184" s="18">
        <f t="shared" si="10"/>
        <v>76.48195</v>
      </c>
      <c r="L184" s="4"/>
      <c r="M184" s="4"/>
      <c r="N184" s="4"/>
      <c r="O184" s="4"/>
      <c r="P184" s="4"/>
      <c r="Q184" s="4"/>
      <c r="R184" s="4"/>
      <c r="S184" s="4"/>
      <c r="T184" s="4"/>
      <c r="U184" s="4"/>
      <c r="V184" s="4"/>
      <c r="W184" s="4"/>
    </row>
    <row r="185" ht="15.75" customHeight="1">
      <c r="A185" s="13">
        <f t="shared" si="9"/>
        <v>182</v>
      </c>
      <c r="B185" s="18">
        <f>A185/'Orbit Info'!$G$10</f>
        <v>1.923616088</v>
      </c>
      <c r="C185" s="13">
        <f t="shared" si="2"/>
        <v>0</v>
      </c>
      <c r="D185" s="13">
        <f t="shared" si="3"/>
        <v>0</v>
      </c>
      <c r="E185" s="13">
        <f t="shared" si="4"/>
        <v>0</v>
      </c>
      <c r="F185" s="13">
        <f t="shared" si="5"/>
        <v>1</v>
      </c>
      <c r="G185" s="13">
        <f t="shared" si="6"/>
        <v>1</v>
      </c>
      <c r="H185" s="13">
        <f>'Orbit Info'!C184*((C185*$O$2)+(D185*$O$3)+(E185*$O$4)+(F185*$O$5))</f>
        <v>0</v>
      </c>
      <c r="I185" s="13">
        <f t="shared" si="7"/>
        <v>5.74655</v>
      </c>
      <c r="J185" s="18">
        <f t="shared" si="8"/>
        <v>-0.09577583333</v>
      </c>
      <c r="K185" s="18">
        <f t="shared" si="10"/>
        <v>76.38617417</v>
      </c>
      <c r="L185" s="4"/>
      <c r="M185" s="4"/>
      <c r="N185" s="4"/>
      <c r="O185" s="4"/>
      <c r="P185" s="4"/>
      <c r="Q185" s="4"/>
      <c r="R185" s="4"/>
      <c r="S185" s="4"/>
      <c r="T185" s="4"/>
      <c r="U185" s="4"/>
      <c r="V185" s="4"/>
      <c r="W185" s="4"/>
    </row>
    <row r="186" ht="15.75" customHeight="1">
      <c r="A186" s="13">
        <f t="shared" si="9"/>
        <v>183</v>
      </c>
      <c r="B186" s="18">
        <f>A186/'Orbit Info'!$G$10</f>
        <v>1.934185407</v>
      </c>
      <c r="C186" s="13">
        <f t="shared" si="2"/>
        <v>0</v>
      </c>
      <c r="D186" s="13">
        <f t="shared" si="3"/>
        <v>0</v>
      </c>
      <c r="E186" s="13">
        <f t="shared" si="4"/>
        <v>0</v>
      </c>
      <c r="F186" s="13">
        <f t="shared" si="5"/>
        <v>1</v>
      </c>
      <c r="G186" s="13">
        <f t="shared" si="6"/>
        <v>1</v>
      </c>
      <c r="H186" s="13">
        <f>'Orbit Info'!C185*((C186*$O$2)+(D186*$O$3)+(E186*$O$4)+(F186*$O$5))</f>
        <v>0</v>
      </c>
      <c r="I186" s="13">
        <f t="shared" si="7"/>
        <v>5.74655</v>
      </c>
      <c r="J186" s="18">
        <f t="shared" si="8"/>
        <v>-0.09577583333</v>
      </c>
      <c r="K186" s="18">
        <f t="shared" si="10"/>
        <v>76.29039833</v>
      </c>
      <c r="L186" s="4"/>
      <c r="M186" s="4"/>
      <c r="N186" s="4"/>
      <c r="O186" s="4"/>
      <c r="P186" s="4"/>
      <c r="Q186" s="4"/>
      <c r="R186" s="4"/>
      <c r="S186" s="4"/>
      <c r="T186" s="4"/>
      <c r="U186" s="4"/>
      <c r="V186" s="4"/>
      <c r="W186" s="4"/>
    </row>
    <row r="187" ht="15.75" customHeight="1">
      <c r="A187" s="13">
        <f t="shared" si="9"/>
        <v>184</v>
      </c>
      <c r="B187" s="18">
        <f>A187/'Orbit Info'!$G$10</f>
        <v>1.944754727</v>
      </c>
      <c r="C187" s="13">
        <f t="shared" si="2"/>
        <v>0</v>
      </c>
      <c r="D187" s="13">
        <f t="shared" si="3"/>
        <v>0</v>
      </c>
      <c r="E187" s="13">
        <f t="shared" si="4"/>
        <v>0</v>
      </c>
      <c r="F187" s="13">
        <f t="shared" si="5"/>
        <v>1</v>
      </c>
      <c r="G187" s="13">
        <f t="shared" si="6"/>
        <v>1</v>
      </c>
      <c r="H187" s="13">
        <f>'Orbit Info'!C186*((C187*$O$2)+(D187*$O$3)+(E187*$O$4)+(F187*$O$5))</f>
        <v>0</v>
      </c>
      <c r="I187" s="13">
        <f t="shared" si="7"/>
        <v>5.74655</v>
      </c>
      <c r="J187" s="18">
        <f t="shared" si="8"/>
        <v>-0.09577583333</v>
      </c>
      <c r="K187" s="18">
        <f t="shared" si="10"/>
        <v>76.1946225</v>
      </c>
      <c r="L187" s="4"/>
      <c r="M187" s="4"/>
      <c r="N187" s="4"/>
      <c r="O187" s="4"/>
      <c r="P187" s="4"/>
      <c r="Q187" s="4"/>
      <c r="R187" s="4"/>
      <c r="S187" s="4"/>
      <c r="T187" s="4"/>
      <c r="U187" s="4"/>
      <c r="V187" s="4"/>
      <c r="W187" s="4"/>
    </row>
    <row r="188" ht="15.75" customHeight="1">
      <c r="A188" s="13">
        <f t="shared" si="9"/>
        <v>185</v>
      </c>
      <c r="B188" s="18">
        <f>A188/'Orbit Info'!$G$10</f>
        <v>1.955324046</v>
      </c>
      <c r="C188" s="13">
        <f t="shared" si="2"/>
        <v>0</v>
      </c>
      <c r="D188" s="13">
        <f t="shared" si="3"/>
        <v>0</v>
      </c>
      <c r="E188" s="13">
        <f t="shared" si="4"/>
        <v>0</v>
      </c>
      <c r="F188" s="13">
        <f t="shared" si="5"/>
        <v>1</v>
      </c>
      <c r="G188" s="13">
        <f t="shared" si="6"/>
        <v>1</v>
      </c>
      <c r="H188" s="13">
        <f>'Orbit Info'!C187*((C188*$O$2)+(D188*$O$3)+(E188*$O$4)+(F188*$O$5))</f>
        <v>0</v>
      </c>
      <c r="I188" s="13">
        <f t="shared" si="7"/>
        <v>5.74655</v>
      </c>
      <c r="J188" s="18">
        <f t="shared" si="8"/>
        <v>-0.09577583333</v>
      </c>
      <c r="K188" s="18">
        <f t="shared" si="10"/>
        <v>76.09884667</v>
      </c>
      <c r="L188" s="4"/>
      <c r="M188" s="4"/>
      <c r="N188" s="4"/>
      <c r="O188" s="4"/>
      <c r="P188" s="4"/>
      <c r="Q188" s="4"/>
      <c r="R188" s="4"/>
      <c r="S188" s="4"/>
      <c r="T188" s="4"/>
      <c r="U188" s="4"/>
      <c r="V188" s="4"/>
      <c r="W188" s="4"/>
    </row>
    <row r="189" ht="15.75" customHeight="1">
      <c r="A189" s="13">
        <f t="shared" si="9"/>
        <v>186</v>
      </c>
      <c r="B189" s="18">
        <f>A189/'Orbit Info'!$G$10</f>
        <v>1.965893365</v>
      </c>
      <c r="C189" s="13">
        <f t="shared" si="2"/>
        <v>0</v>
      </c>
      <c r="D189" s="13">
        <f t="shared" si="3"/>
        <v>0</v>
      </c>
      <c r="E189" s="13">
        <f t="shared" si="4"/>
        <v>0</v>
      </c>
      <c r="F189" s="13">
        <f t="shared" si="5"/>
        <v>1</v>
      </c>
      <c r="G189" s="13">
        <f t="shared" si="6"/>
        <v>1</v>
      </c>
      <c r="H189" s="13">
        <f>'Orbit Info'!C188*((C189*$O$2)+(D189*$O$3)+(E189*$O$4)+(F189*$O$5))</f>
        <v>0</v>
      </c>
      <c r="I189" s="13">
        <f t="shared" si="7"/>
        <v>5.74655</v>
      </c>
      <c r="J189" s="18">
        <f t="shared" si="8"/>
        <v>-0.09577583333</v>
      </c>
      <c r="K189" s="18">
        <f t="shared" si="10"/>
        <v>76.00307083</v>
      </c>
      <c r="L189" s="4"/>
      <c r="M189" s="4"/>
      <c r="N189" s="4"/>
      <c r="O189" s="4"/>
      <c r="P189" s="4"/>
      <c r="Q189" s="4"/>
      <c r="R189" s="4"/>
      <c r="S189" s="4"/>
      <c r="T189" s="4"/>
      <c r="U189" s="4"/>
      <c r="V189" s="4"/>
      <c r="W189" s="4"/>
    </row>
    <row r="190" ht="15.75" customHeight="1">
      <c r="A190" s="13">
        <f t="shared" si="9"/>
        <v>187</v>
      </c>
      <c r="B190" s="18">
        <f>A190/'Orbit Info'!$G$10</f>
        <v>1.976462684</v>
      </c>
      <c r="C190" s="13">
        <f t="shared" si="2"/>
        <v>0</v>
      </c>
      <c r="D190" s="13">
        <f t="shared" si="3"/>
        <v>0</v>
      </c>
      <c r="E190" s="13">
        <f t="shared" si="4"/>
        <v>0</v>
      </c>
      <c r="F190" s="13">
        <f t="shared" si="5"/>
        <v>1</v>
      </c>
      <c r="G190" s="13">
        <f t="shared" si="6"/>
        <v>1</v>
      </c>
      <c r="H190" s="13">
        <f>'Orbit Info'!C189*((C190*$O$2)+(D190*$O$3)+(E190*$O$4)+(F190*$O$5))</f>
        <v>0</v>
      </c>
      <c r="I190" s="13">
        <f t="shared" si="7"/>
        <v>5.74655</v>
      </c>
      <c r="J190" s="18">
        <f t="shared" si="8"/>
        <v>-0.09577583333</v>
      </c>
      <c r="K190" s="18">
        <f t="shared" si="10"/>
        <v>75.907295</v>
      </c>
      <c r="L190" s="4"/>
      <c r="M190" s="4"/>
      <c r="N190" s="4"/>
      <c r="O190" s="4"/>
      <c r="P190" s="4"/>
      <c r="Q190" s="4"/>
      <c r="R190" s="4"/>
      <c r="S190" s="4"/>
      <c r="T190" s="4"/>
      <c r="U190" s="4"/>
      <c r="V190" s="4"/>
      <c r="W190" s="4"/>
    </row>
    <row r="191" ht="15.75" customHeight="1">
      <c r="A191" s="13">
        <f t="shared" si="9"/>
        <v>188</v>
      </c>
      <c r="B191" s="18">
        <f>A191/'Orbit Info'!$G$10</f>
        <v>1.987032003</v>
      </c>
      <c r="C191" s="13">
        <f t="shared" si="2"/>
        <v>0</v>
      </c>
      <c r="D191" s="13">
        <f t="shared" si="3"/>
        <v>0</v>
      </c>
      <c r="E191" s="13">
        <f t="shared" si="4"/>
        <v>0</v>
      </c>
      <c r="F191" s="13">
        <f t="shared" si="5"/>
        <v>1</v>
      </c>
      <c r="G191" s="13">
        <f t="shared" si="6"/>
        <v>1</v>
      </c>
      <c r="H191" s="13">
        <f>'Orbit Info'!C190*((C191*$O$2)+(D191*$O$3)+(E191*$O$4)+(F191*$O$5))</f>
        <v>0</v>
      </c>
      <c r="I191" s="13">
        <f t="shared" si="7"/>
        <v>5.74655</v>
      </c>
      <c r="J191" s="18">
        <f t="shared" si="8"/>
        <v>-0.09577583333</v>
      </c>
      <c r="K191" s="18">
        <f t="shared" si="10"/>
        <v>75.81151917</v>
      </c>
      <c r="L191" s="4"/>
      <c r="M191" s="4"/>
      <c r="N191" s="4"/>
      <c r="O191" s="4"/>
      <c r="P191" s="4"/>
      <c r="Q191" s="4"/>
      <c r="R191" s="4"/>
      <c r="S191" s="4"/>
      <c r="T191" s="4"/>
      <c r="U191" s="4"/>
      <c r="V191" s="4"/>
      <c r="W191" s="4"/>
    </row>
    <row r="192" ht="15.75" customHeight="1">
      <c r="A192" s="13">
        <f t="shared" si="9"/>
        <v>189</v>
      </c>
      <c r="B192" s="18">
        <f>A192/'Orbit Info'!$G$10</f>
        <v>1.997601322</v>
      </c>
      <c r="C192" s="13">
        <f t="shared" si="2"/>
        <v>0</v>
      </c>
      <c r="D192" s="13">
        <f t="shared" si="3"/>
        <v>0</v>
      </c>
      <c r="E192" s="13">
        <f t="shared" si="4"/>
        <v>0</v>
      </c>
      <c r="F192" s="13">
        <f t="shared" si="5"/>
        <v>1</v>
      </c>
      <c r="G192" s="13">
        <f t="shared" si="6"/>
        <v>1</v>
      </c>
      <c r="H192" s="13">
        <f>'Orbit Info'!C191*((C192*$O$2)+(D192*$O$3)+(E192*$O$4)+(F192*$O$5))</f>
        <v>0</v>
      </c>
      <c r="I192" s="13">
        <f t="shared" si="7"/>
        <v>5.74655</v>
      </c>
      <c r="J192" s="18">
        <f t="shared" si="8"/>
        <v>-0.09577583333</v>
      </c>
      <c r="K192" s="18">
        <f t="shared" si="10"/>
        <v>75.71574333</v>
      </c>
      <c r="L192" s="4"/>
      <c r="M192" s="4"/>
      <c r="N192" s="4"/>
      <c r="O192" s="4"/>
      <c r="P192" s="4"/>
      <c r="Q192" s="4"/>
      <c r="R192" s="4"/>
      <c r="S192" s="4"/>
      <c r="T192" s="4"/>
      <c r="U192" s="4"/>
      <c r="V192" s="4"/>
      <c r="W192" s="4"/>
    </row>
    <row r="193" ht="15.75" customHeight="1">
      <c r="A193" s="13">
        <f t="shared" si="9"/>
        <v>190</v>
      </c>
      <c r="B193" s="18">
        <f>A193/'Orbit Info'!$G$10</f>
        <v>2.008170642</v>
      </c>
      <c r="C193" s="13">
        <f t="shared" si="2"/>
        <v>0</v>
      </c>
      <c r="D193" s="13">
        <f t="shared" si="3"/>
        <v>0</v>
      </c>
      <c r="E193" s="13">
        <f t="shared" si="4"/>
        <v>0</v>
      </c>
      <c r="F193" s="13">
        <f t="shared" si="5"/>
        <v>1</v>
      </c>
      <c r="G193" s="13">
        <f t="shared" si="6"/>
        <v>1</v>
      </c>
      <c r="H193" s="13">
        <f>'Orbit Info'!C192*((C193*$O$2)+(D193*$O$3)+(E193*$O$4)+(F193*$O$5))</f>
        <v>2.856</v>
      </c>
      <c r="I193" s="13">
        <f t="shared" si="7"/>
        <v>5.74655</v>
      </c>
      <c r="J193" s="18">
        <f t="shared" si="8"/>
        <v>-0.04817583333</v>
      </c>
      <c r="K193" s="18">
        <f t="shared" si="10"/>
        <v>75.6675675</v>
      </c>
      <c r="L193" s="4"/>
      <c r="M193" s="4"/>
      <c r="N193" s="4"/>
      <c r="O193" s="4"/>
      <c r="P193" s="4"/>
      <c r="Q193" s="4"/>
      <c r="R193" s="4"/>
      <c r="S193" s="4"/>
      <c r="T193" s="4"/>
      <c r="U193" s="4"/>
      <c r="V193" s="4"/>
      <c r="W193" s="4"/>
    </row>
    <row r="194" ht="15.75" customHeight="1">
      <c r="A194" s="13">
        <f t="shared" si="9"/>
        <v>191</v>
      </c>
      <c r="B194" s="18">
        <f>A194/'Orbit Info'!$G$10</f>
        <v>2.018739961</v>
      </c>
      <c r="C194" s="13">
        <f t="shared" si="2"/>
        <v>0</v>
      </c>
      <c r="D194" s="13">
        <f t="shared" si="3"/>
        <v>0</v>
      </c>
      <c r="E194" s="13">
        <f t="shared" si="4"/>
        <v>0</v>
      </c>
      <c r="F194" s="13">
        <f t="shared" si="5"/>
        <v>1</v>
      </c>
      <c r="G194" s="13">
        <f t="shared" si="6"/>
        <v>1</v>
      </c>
      <c r="H194" s="13">
        <f>'Orbit Info'!C193*((C194*$O$2)+(D194*$O$3)+(E194*$O$4)+(F194*$O$5))</f>
        <v>2.856</v>
      </c>
      <c r="I194" s="13">
        <f t="shared" si="7"/>
        <v>5.74655</v>
      </c>
      <c r="J194" s="18">
        <f t="shared" si="8"/>
        <v>-0.04817583333</v>
      </c>
      <c r="K194" s="18">
        <f t="shared" si="10"/>
        <v>75.61939167</v>
      </c>
      <c r="L194" s="4"/>
      <c r="M194" s="4"/>
      <c r="N194" s="4"/>
      <c r="O194" s="4"/>
      <c r="P194" s="4"/>
      <c r="Q194" s="4"/>
      <c r="R194" s="4"/>
      <c r="S194" s="4"/>
      <c r="T194" s="4"/>
      <c r="U194" s="4"/>
      <c r="V194" s="4"/>
      <c r="W194" s="4"/>
    </row>
    <row r="195" ht="15.75" customHeight="1">
      <c r="A195" s="13">
        <f t="shared" si="9"/>
        <v>192</v>
      </c>
      <c r="B195" s="18">
        <f>A195/'Orbit Info'!$G$10</f>
        <v>2.02930928</v>
      </c>
      <c r="C195" s="13">
        <f t="shared" si="2"/>
        <v>0</v>
      </c>
      <c r="D195" s="13">
        <f t="shared" si="3"/>
        <v>0</v>
      </c>
      <c r="E195" s="13">
        <f t="shared" si="4"/>
        <v>0</v>
      </c>
      <c r="F195" s="13">
        <f t="shared" si="5"/>
        <v>1</v>
      </c>
      <c r="G195" s="13">
        <f t="shared" si="6"/>
        <v>1</v>
      </c>
      <c r="H195" s="13">
        <f>'Orbit Info'!C194*((C195*$O$2)+(D195*$O$3)+(E195*$O$4)+(F195*$O$5))</f>
        <v>2.856</v>
      </c>
      <c r="I195" s="13">
        <f t="shared" si="7"/>
        <v>5.74655</v>
      </c>
      <c r="J195" s="18">
        <f t="shared" si="8"/>
        <v>-0.04817583333</v>
      </c>
      <c r="K195" s="18">
        <f t="shared" si="10"/>
        <v>75.57121583</v>
      </c>
      <c r="L195" s="4"/>
      <c r="M195" s="4"/>
      <c r="N195" s="4"/>
      <c r="O195" s="4"/>
      <c r="P195" s="4"/>
      <c r="Q195" s="4"/>
      <c r="R195" s="4"/>
      <c r="S195" s="4"/>
      <c r="T195" s="4"/>
      <c r="U195" s="4"/>
      <c r="V195" s="4"/>
      <c r="W195" s="4"/>
    </row>
    <row r="196" ht="15.75" customHeight="1">
      <c r="A196" s="13">
        <f t="shared" si="9"/>
        <v>193</v>
      </c>
      <c r="B196" s="18">
        <f>A196/'Orbit Info'!$G$10</f>
        <v>2.039878599</v>
      </c>
      <c r="C196" s="13">
        <f t="shared" si="2"/>
        <v>0</v>
      </c>
      <c r="D196" s="13">
        <f t="shared" si="3"/>
        <v>0</v>
      </c>
      <c r="E196" s="13">
        <f t="shared" si="4"/>
        <v>0</v>
      </c>
      <c r="F196" s="13">
        <f t="shared" si="5"/>
        <v>1</v>
      </c>
      <c r="G196" s="13">
        <f t="shared" si="6"/>
        <v>1</v>
      </c>
      <c r="H196" s="13">
        <f>'Orbit Info'!C195*((C196*$O$2)+(D196*$O$3)+(E196*$O$4)+(F196*$O$5))</f>
        <v>2.856</v>
      </c>
      <c r="I196" s="13">
        <f t="shared" si="7"/>
        <v>5.74655</v>
      </c>
      <c r="J196" s="18">
        <f t="shared" si="8"/>
        <v>-0.04817583333</v>
      </c>
      <c r="K196" s="18">
        <f t="shared" si="10"/>
        <v>75.52304</v>
      </c>
      <c r="L196" s="4"/>
      <c r="M196" s="4"/>
      <c r="N196" s="4"/>
      <c r="O196" s="4"/>
      <c r="P196" s="4"/>
      <c r="Q196" s="4"/>
      <c r="R196" s="4"/>
      <c r="S196" s="4"/>
      <c r="T196" s="4"/>
      <c r="U196" s="4"/>
      <c r="V196" s="4"/>
      <c r="W196" s="4"/>
    </row>
    <row r="197" ht="15.75" customHeight="1">
      <c r="A197" s="13">
        <f t="shared" si="9"/>
        <v>194</v>
      </c>
      <c r="B197" s="18">
        <f>A197/'Orbit Info'!$G$10</f>
        <v>2.050447918</v>
      </c>
      <c r="C197" s="13">
        <f t="shared" si="2"/>
        <v>0</v>
      </c>
      <c r="D197" s="13">
        <f t="shared" si="3"/>
        <v>0</v>
      </c>
      <c r="E197" s="13">
        <f t="shared" si="4"/>
        <v>0</v>
      </c>
      <c r="F197" s="13">
        <f t="shared" si="5"/>
        <v>1</v>
      </c>
      <c r="G197" s="13">
        <f t="shared" si="6"/>
        <v>1</v>
      </c>
      <c r="H197" s="13">
        <f>'Orbit Info'!C196*((C197*$O$2)+(D197*$O$3)+(E197*$O$4)+(F197*$O$5))</f>
        <v>2.856</v>
      </c>
      <c r="I197" s="13">
        <f t="shared" si="7"/>
        <v>5.74655</v>
      </c>
      <c r="J197" s="18">
        <f t="shared" si="8"/>
        <v>-0.04817583333</v>
      </c>
      <c r="K197" s="18">
        <f t="shared" si="10"/>
        <v>75.47486417</v>
      </c>
      <c r="L197" s="4"/>
      <c r="M197" s="4"/>
      <c r="N197" s="4"/>
      <c r="O197" s="4"/>
      <c r="P197" s="4"/>
      <c r="Q197" s="4"/>
      <c r="R197" s="4"/>
      <c r="S197" s="4"/>
      <c r="T197" s="4"/>
      <c r="U197" s="4"/>
      <c r="V197" s="4"/>
      <c r="W197" s="4"/>
    </row>
    <row r="198" ht="15.75" customHeight="1">
      <c r="A198" s="13">
        <f t="shared" si="9"/>
        <v>195</v>
      </c>
      <c r="B198" s="18">
        <f>A198/'Orbit Info'!$G$10</f>
        <v>2.061017237</v>
      </c>
      <c r="C198" s="13">
        <f t="shared" si="2"/>
        <v>0</v>
      </c>
      <c r="D198" s="13">
        <f t="shared" si="3"/>
        <v>0</v>
      </c>
      <c r="E198" s="13">
        <f t="shared" si="4"/>
        <v>0</v>
      </c>
      <c r="F198" s="13">
        <f t="shared" si="5"/>
        <v>1</v>
      </c>
      <c r="G198" s="13">
        <f t="shared" si="6"/>
        <v>1</v>
      </c>
      <c r="H198" s="13">
        <f>'Orbit Info'!C197*((C198*$O$2)+(D198*$O$3)+(E198*$O$4)+(F198*$O$5))</f>
        <v>2.856</v>
      </c>
      <c r="I198" s="13">
        <f t="shared" si="7"/>
        <v>5.74655</v>
      </c>
      <c r="J198" s="18">
        <f t="shared" si="8"/>
        <v>-0.04817583333</v>
      </c>
      <c r="K198" s="18">
        <f t="shared" si="10"/>
        <v>75.42668833</v>
      </c>
      <c r="L198" s="4"/>
      <c r="M198" s="4"/>
      <c r="N198" s="4"/>
      <c r="O198" s="4"/>
      <c r="P198" s="4"/>
      <c r="Q198" s="4"/>
      <c r="R198" s="4"/>
      <c r="S198" s="4"/>
      <c r="T198" s="4"/>
      <c r="U198" s="4"/>
      <c r="V198" s="4"/>
      <c r="W198" s="4"/>
    </row>
    <row r="199" ht="15.75" customHeight="1">
      <c r="A199" s="13">
        <f t="shared" si="9"/>
        <v>196</v>
      </c>
      <c r="B199" s="18">
        <f>A199/'Orbit Info'!$G$10</f>
        <v>2.071586557</v>
      </c>
      <c r="C199" s="13">
        <f t="shared" si="2"/>
        <v>0</v>
      </c>
      <c r="D199" s="13">
        <f t="shared" si="3"/>
        <v>0</v>
      </c>
      <c r="E199" s="13">
        <f t="shared" si="4"/>
        <v>0</v>
      </c>
      <c r="F199" s="13">
        <f t="shared" si="5"/>
        <v>1</v>
      </c>
      <c r="G199" s="13">
        <f t="shared" si="6"/>
        <v>1</v>
      </c>
      <c r="H199" s="13">
        <f>'Orbit Info'!C198*((C199*$O$2)+(D199*$O$3)+(E199*$O$4)+(F199*$O$5))</f>
        <v>2.856</v>
      </c>
      <c r="I199" s="13">
        <f t="shared" si="7"/>
        <v>5.74655</v>
      </c>
      <c r="J199" s="18">
        <f t="shared" si="8"/>
        <v>-0.04817583333</v>
      </c>
      <c r="K199" s="18">
        <f t="shared" si="10"/>
        <v>75.3785125</v>
      </c>
      <c r="L199" s="4"/>
      <c r="M199" s="4"/>
      <c r="N199" s="4"/>
      <c r="O199" s="4"/>
      <c r="P199" s="4"/>
      <c r="Q199" s="4"/>
      <c r="R199" s="4"/>
      <c r="S199" s="4"/>
      <c r="T199" s="4"/>
      <c r="U199" s="4"/>
      <c r="V199" s="4"/>
      <c r="W199" s="4"/>
    </row>
    <row r="200" ht="15.75" customHeight="1">
      <c r="A200" s="13">
        <f t="shared" si="9"/>
        <v>197</v>
      </c>
      <c r="B200" s="18">
        <f>A200/'Orbit Info'!$G$10</f>
        <v>2.082155876</v>
      </c>
      <c r="C200" s="13">
        <f t="shared" si="2"/>
        <v>0</v>
      </c>
      <c r="D200" s="13">
        <f t="shared" si="3"/>
        <v>0</v>
      </c>
      <c r="E200" s="13">
        <f t="shared" si="4"/>
        <v>0</v>
      </c>
      <c r="F200" s="13">
        <f t="shared" si="5"/>
        <v>1</v>
      </c>
      <c r="G200" s="13">
        <f t="shared" si="6"/>
        <v>1</v>
      </c>
      <c r="H200" s="13">
        <f>'Orbit Info'!C199*((C200*$O$2)+(D200*$O$3)+(E200*$O$4)+(F200*$O$5))</f>
        <v>2.856</v>
      </c>
      <c r="I200" s="13">
        <f t="shared" si="7"/>
        <v>5.74655</v>
      </c>
      <c r="J200" s="18">
        <f t="shared" si="8"/>
        <v>-0.04817583333</v>
      </c>
      <c r="K200" s="18">
        <f t="shared" si="10"/>
        <v>75.33033667</v>
      </c>
      <c r="L200" s="4"/>
      <c r="M200" s="4"/>
      <c r="N200" s="4"/>
      <c r="O200" s="4"/>
      <c r="P200" s="4"/>
      <c r="Q200" s="4"/>
      <c r="R200" s="4"/>
      <c r="S200" s="4"/>
      <c r="T200" s="4"/>
      <c r="U200" s="4"/>
      <c r="V200" s="4"/>
      <c r="W200" s="4"/>
    </row>
    <row r="201" ht="15.75" customHeight="1">
      <c r="A201" s="13">
        <f t="shared" si="9"/>
        <v>198</v>
      </c>
      <c r="B201" s="18">
        <f>A201/'Orbit Info'!$G$10</f>
        <v>2.092725195</v>
      </c>
      <c r="C201" s="13">
        <f t="shared" si="2"/>
        <v>0</v>
      </c>
      <c r="D201" s="13">
        <f t="shared" si="3"/>
        <v>0</v>
      </c>
      <c r="E201" s="13">
        <f t="shared" si="4"/>
        <v>0</v>
      </c>
      <c r="F201" s="13">
        <f t="shared" si="5"/>
        <v>1</v>
      </c>
      <c r="G201" s="13">
        <f t="shared" si="6"/>
        <v>1</v>
      </c>
      <c r="H201" s="13">
        <f>'Orbit Info'!C200*((C201*$O$2)+(D201*$O$3)+(E201*$O$4)+(F201*$O$5))</f>
        <v>2.856</v>
      </c>
      <c r="I201" s="13">
        <f t="shared" si="7"/>
        <v>5.74655</v>
      </c>
      <c r="J201" s="18">
        <f t="shared" si="8"/>
        <v>-0.04817583333</v>
      </c>
      <c r="K201" s="18">
        <f t="shared" si="10"/>
        <v>75.28216083</v>
      </c>
      <c r="L201" s="4"/>
      <c r="M201" s="4"/>
      <c r="N201" s="4"/>
      <c r="O201" s="4"/>
      <c r="P201" s="4"/>
      <c r="Q201" s="4"/>
      <c r="R201" s="4"/>
      <c r="S201" s="4"/>
      <c r="T201" s="4"/>
      <c r="U201" s="4"/>
      <c r="V201" s="4"/>
      <c r="W201" s="4"/>
    </row>
    <row r="202" ht="15.75" customHeight="1">
      <c r="A202" s="13">
        <f t="shared" si="9"/>
        <v>199</v>
      </c>
      <c r="B202" s="18">
        <f>A202/'Orbit Info'!$G$10</f>
        <v>2.103294514</v>
      </c>
      <c r="C202" s="13">
        <f t="shared" si="2"/>
        <v>0</v>
      </c>
      <c r="D202" s="13">
        <f t="shared" si="3"/>
        <v>0</v>
      </c>
      <c r="E202" s="13">
        <f t="shared" si="4"/>
        <v>0</v>
      </c>
      <c r="F202" s="13">
        <f t="shared" si="5"/>
        <v>1</v>
      </c>
      <c r="G202" s="13">
        <f t="shared" si="6"/>
        <v>1</v>
      </c>
      <c r="H202" s="13">
        <f>'Orbit Info'!C201*((C202*$O$2)+(D202*$O$3)+(E202*$O$4)+(F202*$O$5))</f>
        <v>2.856</v>
      </c>
      <c r="I202" s="13">
        <f t="shared" si="7"/>
        <v>5.74655</v>
      </c>
      <c r="J202" s="18">
        <f t="shared" si="8"/>
        <v>-0.04817583333</v>
      </c>
      <c r="K202" s="18">
        <f t="shared" si="10"/>
        <v>75.233985</v>
      </c>
      <c r="L202" s="4"/>
      <c r="M202" s="4"/>
      <c r="N202" s="4"/>
      <c r="O202" s="4"/>
      <c r="P202" s="4"/>
      <c r="Q202" s="4"/>
      <c r="R202" s="4"/>
      <c r="S202" s="4"/>
      <c r="T202" s="4"/>
      <c r="U202" s="4"/>
      <c r="V202" s="4"/>
      <c r="W202" s="4"/>
    </row>
    <row r="203" ht="15.75" customHeight="1">
      <c r="A203" s="13">
        <f t="shared" si="9"/>
        <v>200</v>
      </c>
      <c r="B203" s="18">
        <f>A203/'Orbit Info'!$G$10</f>
        <v>2.113863833</v>
      </c>
      <c r="C203" s="13">
        <f t="shared" si="2"/>
        <v>0</v>
      </c>
      <c r="D203" s="13">
        <f t="shared" si="3"/>
        <v>0</v>
      </c>
      <c r="E203" s="13">
        <f t="shared" si="4"/>
        <v>0</v>
      </c>
      <c r="F203" s="13">
        <f t="shared" si="5"/>
        <v>1</v>
      </c>
      <c r="G203" s="13">
        <f t="shared" si="6"/>
        <v>1</v>
      </c>
      <c r="H203" s="13">
        <f>'Orbit Info'!C202*((C203*$O$2)+(D203*$O$3)+(E203*$O$4)+(F203*$O$5))</f>
        <v>2.856</v>
      </c>
      <c r="I203" s="13">
        <f t="shared" si="7"/>
        <v>5.74655</v>
      </c>
      <c r="J203" s="18">
        <f t="shared" si="8"/>
        <v>-0.04817583333</v>
      </c>
      <c r="K203" s="18">
        <f t="shared" si="10"/>
        <v>75.18580917</v>
      </c>
      <c r="L203" s="4"/>
      <c r="M203" s="4"/>
      <c r="N203" s="4"/>
      <c r="O203" s="4"/>
      <c r="P203" s="4"/>
      <c r="Q203" s="4"/>
      <c r="R203" s="4"/>
      <c r="S203" s="4"/>
      <c r="T203" s="4"/>
      <c r="U203" s="4"/>
      <c r="V203" s="4"/>
      <c r="W203" s="4"/>
    </row>
    <row r="204" ht="15.75" customHeight="1">
      <c r="A204" s="13">
        <f t="shared" si="9"/>
        <v>201</v>
      </c>
      <c r="B204" s="18">
        <f>A204/'Orbit Info'!$G$10</f>
        <v>2.124433152</v>
      </c>
      <c r="C204" s="13">
        <f t="shared" si="2"/>
        <v>0</v>
      </c>
      <c r="D204" s="13">
        <f t="shared" si="3"/>
        <v>0</v>
      </c>
      <c r="E204" s="13">
        <f t="shared" si="4"/>
        <v>0</v>
      </c>
      <c r="F204" s="13">
        <f t="shared" si="5"/>
        <v>1</v>
      </c>
      <c r="G204" s="13">
        <f t="shared" si="6"/>
        <v>1</v>
      </c>
      <c r="H204" s="13">
        <f>'Orbit Info'!C203*((C204*$O$2)+(D204*$O$3)+(E204*$O$4)+(F204*$O$5))</f>
        <v>2.856</v>
      </c>
      <c r="I204" s="13">
        <f t="shared" si="7"/>
        <v>5.74655</v>
      </c>
      <c r="J204" s="18">
        <f t="shared" si="8"/>
        <v>-0.04817583333</v>
      </c>
      <c r="K204" s="18">
        <f t="shared" si="10"/>
        <v>75.13763333</v>
      </c>
      <c r="L204" s="4"/>
      <c r="M204" s="4"/>
      <c r="N204" s="4"/>
      <c r="O204" s="4"/>
      <c r="P204" s="4"/>
      <c r="Q204" s="4"/>
      <c r="R204" s="4"/>
      <c r="S204" s="4"/>
      <c r="T204" s="4"/>
      <c r="U204" s="4"/>
      <c r="V204" s="4"/>
      <c r="W204" s="4"/>
    </row>
    <row r="205" ht="15.75" customHeight="1">
      <c r="A205" s="13">
        <f t="shared" si="9"/>
        <v>202</v>
      </c>
      <c r="B205" s="18">
        <f>A205/'Orbit Info'!$G$10</f>
        <v>2.135002472</v>
      </c>
      <c r="C205" s="13">
        <f t="shared" si="2"/>
        <v>0</v>
      </c>
      <c r="D205" s="13">
        <f t="shared" si="3"/>
        <v>0</v>
      </c>
      <c r="E205" s="13">
        <f t="shared" si="4"/>
        <v>0</v>
      </c>
      <c r="F205" s="13">
        <f t="shared" si="5"/>
        <v>1</v>
      </c>
      <c r="G205" s="13">
        <f t="shared" si="6"/>
        <v>1</v>
      </c>
      <c r="H205" s="13">
        <f>'Orbit Info'!C204*((C205*$O$2)+(D205*$O$3)+(E205*$O$4)+(F205*$O$5))</f>
        <v>2.856</v>
      </c>
      <c r="I205" s="13">
        <f t="shared" si="7"/>
        <v>5.74655</v>
      </c>
      <c r="J205" s="18">
        <f t="shared" si="8"/>
        <v>-0.04817583333</v>
      </c>
      <c r="K205" s="18">
        <f t="shared" si="10"/>
        <v>75.0894575</v>
      </c>
      <c r="L205" s="4"/>
      <c r="M205" s="4"/>
      <c r="N205" s="4"/>
      <c r="O205" s="4"/>
      <c r="P205" s="4"/>
      <c r="Q205" s="4"/>
      <c r="R205" s="4"/>
      <c r="S205" s="4"/>
      <c r="T205" s="4"/>
      <c r="U205" s="4"/>
      <c r="V205" s="4"/>
      <c r="W205" s="4"/>
    </row>
    <row r="206" ht="15.75" customHeight="1">
      <c r="A206" s="13">
        <f t="shared" si="9"/>
        <v>203</v>
      </c>
      <c r="B206" s="18">
        <f>A206/'Orbit Info'!$G$10</f>
        <v>2.145571791</v>
      </c>
      <c r="C206" s="13">
        <f t="shared" si="2"/>
        <v>0</v>
      </c>
      <c r="D206" s="13">
        <f t="shared" si="3"/>
        <v>0</v>
      </c>
      <c r="E206" s="13">
        <f t="shared" si="4"/>
        <v>0</v>
      </c>
      <c r="F206" s="13">
        <f t="shared" si="5"/>
        <v>1</v>
      </c>
      <c r="G206" s="13">
        <f t="shared" si="6"/>
        <v>1</v>
      </c>
      <c r="H206" s="13">
        <f>'Orbit Info'!C205*((C206*$O$2)+(D206*$O$3)+(E206*$O$4)+(F206*$O$5))</f>
        <v>2.856</v>
      </c>
      <c r="I206" s="13">
        <f t="shared" si="7"/>
        <v>5.74655</v>
      </c>
      <c r="J206" s="18">
        <f t="shared" si="8"/>
        <v>-0.04817583333</v>
      </c>
      <c r="K206" s="18">
        <f t="shared" si="10"/>
        <v>75.04128167</v>
      </c>
      <c r="L206" s="4"/>
      <c r="M206" s="4"/>
      <c r="N206" s="4"/>
      <c r="O206" s="4"/>
      <c r="P206" s="4"/>
      <c r="Q206" s="4"/>
      <c r="R206" s="4"/>
      <c r="S206" s="4"/>
      <c r="T206" s="4"/>
      <c r="U206" s="4"/>
      <c r="V206" s="4"/>
      <c r="W206" s="4"/>
    </row>
    <row r="207" ht="15.75" customHeight="1">
      <c r="A207" s="13">
        <f t="shared" si="9"/>
        <v>204</v>
      </c>
      <c r="B207" s="18">
        <f>A207/'Orbit Info'!$G$10</f>
        <v>2.15614111</v>
      </c>
      <c r="C207" s="13">
        <f t="shared" si="2"/>
        <v>0</v>
      </c>
      <c r="D207" s="13">
        <f t="shared" si="3"/>
        <v>0</v>
      </c>
      <c r="E207" s="13">
        <f t="shared" si="4"/>
        <v>0</v>
      </c>
      <c r="F207" s="13">
        <f t="shared" si="5"/>
        <v>1</v>
      </c>
      <c r="G207" s="13">
        <f t="shared" si="6"/>
        <v>1</v>
      </c>
      <c r="H207" s="13">
        <f>'Orbit Info'!C206*((C207*$O$2)+(D207*$O$3)+(E207*$O$4)+(F207*$O$5))</f>
        <v>2.856</v>
      </c>
      <c r="I207" s="13">
        <f t="shared" si="7"/>
        <v>5.74655</v>
      </c>
      <c r="J207" s="18">
        <f t="shared" si="8"/>
        <v>-0.04817583333</v>
      </c>
      <c r="K207" s="18">
        <f t="shared" si="10"/>
        <v>74.99310583</v>
      </c>
      <c r="L207" s="4"/>
      <c r="M207" s="4"/>
      <c r="N207" s="4"/>
      <c r="O207" s="4"/>
      <c r="P207" s="4"/>
      <c r="Q207" s="4"/>
      <c r="R207" s="4"/>
      <c r="S207" s="4"/>
      <c r="T207" s="4"/>
      <c r="U207" s="4"/>
      <c r="V207" s="4"/>
      <c r="W207" s="4"/>
    </row>
    <row r="208" ht="15.75" customHeight="1">
      <c r="A208" s="13">
        <f t="shared" si="9"/>
        <v>205</v>
      </c>
      <c r="B208" s="18">
        <f>A208/'Orbit Info'!$G$10</f>
        <v>2.166710429</v>
      </c>
      <c r="C208" s="13">
        <f t="shared" si="2"/>
        <v>0</v>
      </c>
      <c r="D208" s="13">
        <f t="shared" si="3"/>
        <v>0</v>
      </c>
      <c r="E208" s="13">
        <f t="shared" si="4"/>
        <v>0</v>
      </c>
      <c r="F208" s="13">
        <f t="shared" si="5"/>
        <v>1</v>
      </c>
      <c r="G208" s="13">
        <f t="shared" si="6"/>
        <v>1</v>
      </c>
      <c r="H208" s="13">
        <f>'Orbit Info'!C207*((C208*$O$2)+(D208*$O$3)+(E208*$O$4)+(F208*$O$5))</f>
        <v>2.856</v>
      </c>
      <c r="I208" s="13">
        <f t="shared" si="7"/>
        <v>5.74655</v>
      </c>
      <c r="J208" s="18">
        <f t="shared" si="8"/>
        <v>-0.04817583333</v>
      </c>
      <c r="K208" s="18">
        <f t="shared" si="10"/>
        <v>74.94493</v>
      </c>
      <c r="L208" s="4"/>
      <c r="M208" s="4"/>
      <c r="N208" s="4"/>
      <c r="O208" s="4"/>
      <c r="P208" s="4"/>
      <c r="Q208" s="4"/>
      <c r="R208" s="4"/>
      <c r="S208" s="4"/>
      <c r="T208" s="4"/>
      <c r="U208" s="4"/>
      <c r="V208" s="4"/>
      <c r="W208" s="4"/>
    </row>
    <row r="209" ht="15.75" customHeight="1">
      <c r="A209" s="13">
        <f t="shared" si="9"/>
        <v>206</v>
      </c>
      <c r="B209" s="18">
        <f>A209/'Orbit Info'!$G$10</f>
        <v>2.177279748</v>
      </c>
      <c r="C209" s="13">
        <f t="shared" si="2"/>
        <v>0</v>
      </c>
      <c r="D209" s="13">
        <f t="shared" si="3"/>
        <v>0</v>
      </c>
      <c r="E209" s="13">
        <f t="shared" si="4"/>
        <v>0</v>
      </c>
      <c r="F209" s="13">
        <f t="shared" si="5"/>
        <v>1</v>
      </c>
      <c r="G209" s="13">
        <f t="shared" si="6"/>
        <v>1</v>
      </c>
      <c r="H209" s="13">
        <f>'Orbit Info'!C208*((C209*$O$2)+(D209*$O$3)+(E209*$O$4)+(F209*$O$5))</f>
        <v>2.856</v>
      </c>
      <c r="I209" s="13">
        <f t="shared" si="7"/>
        <v>5.74655</v>
      </c>
      <c r="J209" s="18">
        <f t="shared" si="8"/>
        <v>-0.04817583333</v>
      </c>
      <c r="K209" s="18">
        <f t="shared" si="10"/>
        <v>74.89675417</v>
      </c>
      <c r="L209" s="4"/>
      <c r="M209" s="4"/>
      <c r="N209" s="4"/>
      <c r="O209" s="4"/>
      <c r="P209" s="4"/>
      <c r="Q209" s="4"/>
      <c r="R209" s="4"/>
      <c r="S209" s="4"/>
      <c r="T209" s="4"/>
      <c r="U209" s="4"/>
      <c r="V209" s="4"/>
      <c r="W209" s="4"/>
    </row>
    <row r="210" ht="15.75" customHeight="1">
      <c r="A210" s="13">
        <f t="shared" si="9"/>
        <v>207</v>
      </c>
      <c r="B210" s="18">
        <f>A210/'Orbit Info'!$G$10</f>
        <v>2.187849067</v>
      </c>
      <c r="C210" s="13">
        <f t="shared" si="2"/>
        <v>0</v>
      </c>
      <c r="D210" s="13">
        <f t="shared" si="3"/>
        <v>0</v>
      </c>
      <c r="E210" s="13">
        <f t="shared" si="4"/>
        <v>0</v>
      </c>
      <c r="F210" s="13">
        <f t="shared" si="5"/>
        <v>1</v>
      </c>
      <c r="G210" s="13">
        <f t="shared" si="6"/>
        <v>1</v>
      </c>
      <c r="H210" s="13">
        <f>'Orbit Info'!C209*((C210*$O$2)+(D210*$O$3)+(E210*$O$4)+(F210*$O$5))</f>
        <v>2.856</v>
      </c>
      <c r="I210" s="13">
        <f t="shared" si="7"/>
        <v>5.74655</v>
      </c>
      <c r="J210" s="18">
        <f t="shared" si="8"/>
        <v>-0.04817583333</v>
      </c>
      <c r="K210" s="18">
        <f t="shared" si="10"/>
        <v>74.84857833</v>
      </c>
      <c r="L210" s="4"/>
      <c r="M210" s="4"/>
      <c r="N210" s="4"/>
      <c r="O210" s="4"/>
      <c r="P210" s="4"/>
      <c r="Q210" s="4"/>
      <c r="R210" s="4"/>
      <c r="S210" s="4"/>
      <c r="T210" s="4"/>
      <c r="U210" s="4"/>
      <c r="V210" s="4"/>
      <c r="W210" s="4"/>
    </row>
    <row r="211" ht="15.75" customHeight="1">
      <c r="A211" s="13">
        <f t="shared" si="9"/>
        <v>208</v>
      </c>
      <c r="B211" s="18">
        <f>A211/'Orbit Info'!$G$10</f>
        <v>2.198418387</v>
      </c>
      <c r="C211" s="13">
        <f t="shared" si="2"/>
        <v>0</v>
      </c>
      <c r="D211" s="13">
        <f t="shared" si="3"/>
        <v>0</v>
      </c>
      <c r="E211" s="13">
        <f t="shared" si="4"/>
        <v>0</v>
      </c>
      <c r="F211" s="13">
        <f t="shared" si="5"/>
        <v>1</v>
      </c>
      <c r="G211" s="13">
        <f t="shared" si="6"/>
        <v>1</v>
      </c>
      <c r="H211" s="13">
        <f>'Orbit Info'!C210*((C211*$O$2)+(D211*$O$3)+(E211*$O$4)+(F211*$O$5))</f>
        <v>2.856</v>
      </c>
      <c r="I211" s="13">
        <f t="shared" si="7"/>
        <v>5.74655</v>
      </c>
      <c r="J211" s="18">
        <f t="shared" si="8"/>
        <v>-0.04817583333</v>
      </c>
      <c r="K211" s="18">
        <f t="shared" si="10"/>
        <v>74.8004025</v>
      </c>
      <c r="L211" s="4"/>
      <c r="M211" s="4"/>
      <c r="N211" s="4"/>
      <c r="O211" s="4"/>
      <c r="P211" s="4"/>
      <c r="Q211" s="4"/>
      <c r="R211" s="4"/>
      <c r="S211" s="4"/>
      <c r="T211" s="4"/>
      <c r="U211" s="4"/>
      <c r="V211" s="4"/>
      <c r="W211" s="4"/>
    </row>
    <row r="212" ht="15.75" customHeight="1">
      <c r="A212" s="13">
        <f t="shared" si="9"/>
        <v>209</v>
      </c>
      <c r="B212" s="18">
        <f>A212/'Orbit Info'!$G$10</f>
        <v>2.208987706</v>
      </c>
      <c r="C212" s="13">
        <f t="shared" si="2"/>
        <v>0</v>
      </c>
      <c r="D212" s="13">
        <f t="shared" si="3"/>
        <v>0</v>
      </c>
      <c r="E212" s="13">
        <f t="shared" si="4"/>
        <v>0</v>
      </c>
      <c r="F212" s="13">
        <f t="shared" si="5"/>
        <v>1</v>
      </c>
      <c r="G212" s="13">
        <f t="shared" si="6"/>
        <v>1</v>
      </c>
      <c r="H212" s="13">
        <f>'Orbit Info'!C211*((C212*$O$2)+(D212*$O$3)+(E212*$O$4)+(F212*$O$5))</f>
        <v>2.856</v>
      </c>
      <c r="I212" s="13">
        <f t="shared" si="7"/>
        <v>5.74655</v>
      </c>
      <c r="J212" s="18">
        <f t="shared" si="8"/>
        <v>-0.04817583333</v>
      </c>
      <c r="K212" s="18">
        <f t="shared" si="10"/>
        <v>74.75222667</v>
      </c>
      <c r="L212" s="4"/>
      <c r="M212" s="4"/>
      <c r="N212" s="4"/>
      <c r="O212" s="4"/>
      <c r="P212" s="4"/>
      <c r="Q212" s="4"/>
      <c r="R212" s="4"/>
      <c r="S212" s="4"/>
      <c r="T212" s="4"/>
      <c r="U212" s="4"/>
      <c r="V212" s="4"/>
      <c r="W212" s="4"/>
    </row>
    <row r="213" ht="15.75" customHeight="1">
      <c r="A213" s="13">
        <f t="shared" si="9"/>
        <v>210</v>
      </c>
      <c r="B213" s="18">
        <f>A213/'Orbit Info'!$G$10</f>
        <v>2.219557025</v>
      </c>
      <c r="C213" s="13">
        <f t="shared" si="2"/>
        <v>0</v>
      </c>
      <c r="D213" s="13">
        <f t="shared" si="3"/>
        <v>0</v>
      </c>
      <c r="E213" s="13">
        <f t="shared" si="4"/>
        <v>0</v>
      </c>
      <c r="F213" s="13">
        <f t="shared" si="5"/>
        <v>1</v>
      </c>
      <c r="G213" s="13">
        <f t="shared" si="6"/>
        <v>1</v>
      </c>
      <c r="H213" s="13">
        <f>'Orbit Info'!C212*((C213*$O$2)+(D213*$O$3)+(E213*$O$4)+(F213*$O$5))</f>
        <v>2.856</v>
      </c>
      <c r="I213" s="13">
        <f t="shared" si="7"/>
        <v>5.74655</v>
      </c>
      <c r="J213" s="18">
        <f t="shared" si="8"/>
        <v>-0.04817583333</v>
      </c>
      <c r="K213" s="18">
        <f t="shared" si="10"/>
        <v>74.70405083</v>
      </c>
      <c r="L213" s="4"/>
      <c r="M213" s="4"/>
      <c r="N213" s="4"/>
      <c r="O213" s="4"/>
      <c r="P213" s="4"/>
      <c r="Q213" s="4"/>
      <c r="R213" s="4"/>
      <c r="S213" s="4"/>
      <c r="T213" s="4"/>
      <c r="U213" s="4"/>
      <c r="V213" s="4"/>
      <c r="W213" s="4"/>
    </row>
    <row r="214" ht="15.75" customHeight="1">
      <c r="A214" s="13">
        <f t="shared" si="9"/>
        <v>211</v>
      </c>
      <c r="B214" s="18">
        <f>A214/'Orbit Info'!$G$10</f>
        <v>2.230126344</v>
      </c>
      <c r="C214" s="13">
        <f t="shared" si="2"/>
        <v>0</v>
      </c>
      <c r="D214" s="13">
        <f t="shared" si="3"/>
        <v>0</v>
      </c>
      <c r="E214" s="13">
        <f t="shared" si="4"/>
        <v>0</v>
      </c>
      <c r="F214" s="13">
        <f t="shared" si="5"/>
        <v>1</v>
      </c>
      <c r="G214" s="13">
        <f t="shared" si="6"/>
        <v>1</v>
      </c>
      <c r="H214" s="13">
        <f>'Orbit Info'!C213*((C214*$O$2)+(D214*$O$3)+(E214*$O$4)+(F214*$O$5))</f>
        <v>2.856</v>
      </c>
      <c r="I214" s="13">
        <f t="shared" si="7"/>
        <v>5.74655</v>
      </c>
      <c r="J214" s="18">
        <f t="shared" si="8"/>
        <v>-0.04817583333</v>
      </c>
      <c r="K214" s="18">
        <f t="shared" si="10"/>
        <v>74.655875</v>
      </c>
      <c r="L214" s="4"/>
      <c r="M214" s="4"/>
      <c r="N214" s="4"/>
      <c r="O214" s="4"/>
      <c r="P214" s="4"/>
      <c r="Q214" s="4"/>
      <c r="R214" s="4"/>
      <c r="S214" s="4"/>
      <c r="T214" s="4"/>
      <c r="U214" s="4"/>
      <c r="V214" s="4"/>
      <c r="W214" s="4"/>
    </row>
    <row r="215" ht="15.75" customHeight="1">
      <c r="A215" s="13">
        <f t="shared" si="9"/>
        <v>212</v>
      </c>
      <c r="B215" s="18">
        <f>A215/'Orbit Info'!$G$10</f>
        <v>2.240695663</v>
      </c>
      <c r="C215" s="13">
        <f t="shared" si="2"/>
        <v>0</v>
      </c>
      <c r="D215" s="13">
        <f t="shared" si="3"/>
        <v>0</v>
      </c>
      <c r="E215" s="13">
        <f t="shared" si="4"/>
        <v>0</v>
      </c>
      <c r="F215" s="13">
        <f t="shared" si="5"/>
        <v>1</v>
      </c>
      <c r="G215" s="13">
        <f t="shared" si="6"/>
        <v>1</v>
      </c>
      <c r="H215" s="13">
        <f>'Orbit Info'!C214*((C215*$O$2)+(D215*$O$3)+(E215*$O$4)+(F215*$O$5))</f>
        <v>2.856</v>
      </c>
      <c r="I215" s="13">
        <f t="shared" si="7"/>
        <v>5.74655</v>
      </c>
      <c r="J215" s="18">
        <f t="shared" si="8"/>
        <v>-0.04817583333</v>
      </c>
      <c r="K215" s="18">
        <f t="shared" si="10"/>
        <v>74.60769917</v>
      </c>
      <c r="L215" s="4"/>
      <c r="M215" s="4"/>
      <c r="N215" s="4"/>
      <c r="O215" s="4"/>
      <c r="P215" s="4"/>
      <c r="Q215" s="4"/>
      <c r="R215" s="4"/>
      <c r="S215" s="4"/>
      <c r="T215" s="4"/>
      <c r="U215" s="4"/>
      <c r="V215" s="4"/>
      <c r="W215" s="4"/>
    </row>
    <row r="216" ht="15.75" customHeight="1">
      <c r="A216" s="13">
        <f t="shared" si="9"/>
        <v>213</v>
      </c>
      <c r="B216" s="18">
        <f>A216/'Orbit Info'!$G$10</f>
        <v>2.251264982</v>
      </c>
      <c r="C216" s="13">
        <f t="shared" si="2"/>
        <v>0</v>
      </c>
      <c r="D216" s="13">
        <f t="shared" si="3"/>
        <v>0</v>
      </c>
      <c r="E216" s="13">
        <f t="shared" si="4"/>
        <v>0</v>
      </c>
      <c r="F216" s="13">
        <f t="shared" si="5"/>
        <v>1</v>
      </c>
      <c r="G216" s="13">
        <f t="shared" si="6"/>
        <v>1</v>
      </c>
      <c r="H216" s="13">
        <f>'Orbit Info'!C215*((C216*$O$2)+(D216*$O$3)+(E216*$O$4)+(F216*$O$5))</f>
        <v>2.856</v>
      </c>
      <c r="I216" s="13">
        <f t="shared" si="7"/>
        <v>5.74655</v>
      </c>
      <c r="J216" s="18">
        <f t="shared" si="8"/>
        <v>-0.04817583333</v>
      </c>
      <c r="K216" s="18">
        <f t="shared" si="10"/>
        <v>74.55952333</v>
      </c>
      <c r="L216" s="4"/>
      <c r="M216" s="4"/>
      <c r="N216" s="4"/>
      <c r="O216" s="4"/>
      <c r="P216" s="4"/>
      <c r="Q216" s="4"/>
      <c r="R216" s="4"/>
      <c r="S216" s="4"/>
      <c r="T216" s="4"/>
      <c r="U216" s="4"/>
      <c r="V216" s="4"/>
      <c r="W216" s="4"/>
    </row>
    <row r="217" ht="15.75" customHeight="1">
      <c r="A217" s="13">
        <f t="shared" si="9"/>
        <v>214</v>
      </c>
      <c r="B217" s="18">
        <f>A217/'Orbit Info'!$G$10</f>
        <v>2.261834301</v>
      </c>
      <c r="C217" s="13">
        <f t="shared" si="2"/>
        <v>0</v>
      </c>
      <c r="D217" s="13">
        <f t="shared" si="3"/>
        <v>0</v>
      </c>
      <c r="E217" s="13">
        <f t="shared" si="4"/>
        <v>0</v>
      </c>
      <c r="F217" s="13">
        <f t="shared" si="5"/>
        <v>1</v>
      </c>
      <c r="G217" s="13">
        <f t="shared" si="6"/>
        <v>1</v>
      </c>
      <c r="H217" s="13">
        <f>'Orbit Info'!C216*((C217*$O$2)+(D217*$O$3)+(E217*$O$4)+(F217*$O$5))</f>
        <v>2.856</v>
      </c>
      <c r="I217" s="13">
        <f t="shared" si="7"/>
        <v>5.74655</v>
      </c>
      <c r="J217" s="18">
        <f t="shared" si="8"/>
        <v>-0.04817583333</v>
      </c>
      <c r="K217" s="18">
        <f t="shared" si="10"/>
        <v>74.5113475</v>
      </c>
      <c r="L217" s="4"/>
      <c r="M217" s="4"/>
      <c r="N217" s="4"/>
      <c r="O217" s="4"/>
      <c r="P217" s="4"/>
      <c r="Q217" s="4"/>
      <c r="R217" s="4"/>
      <c r="S217" s="4"/>
      <c r="T217" s="4"/>
      <c r="U217" s="4"/>
      <c r="V217" s="4"/>
      <c r="W217" s="4"/>
    </row>
    <row r="218" ht="15.75" customHeight="1">
      <c r="A218" s="13">
        <f t="shared" si="9"/>
        <v>215</v>
      </c>
      <c r="B218" s="18">
        <f>A218/'Orbit Info'!$G$10</f>
        <v>2.272403621</v>
      </c>
      <c r="C218" s="13">
        <f t="shared" si="2"/>
        <v>0</v>
      </c>
      <c r="D218" s="13">
        <f t="shared" si="3"/>
        <v>0</v>
      </c>
      <c r="E218" s="13">
        <f t="shared" si="4"/>
        <v>0</v>
      </c>
      <c r="F218" s="13">
        <f t="shared" si="5"/>
        <v>1</v>
      </c>
      <c r="G218" s="13">
        <f t="shared" si="6"/>
        <v>1</v>
      </c>
      <c r="H218" s="13">
        <f>'Orbit Info'!C217*((C218*$O$2)+(D218*$O$3)+(E218*$O$4)+(F218*$O$5))</f>
        <v>2.856</v>
      </c>
      <c r="I218" s="13">
        <f t="shared" si="7"/>
        <v>5.74655</v>
      </c>
      <c r="J218" s="18">
        <f t="shared" si="8"/>
        <v>-0.04817583333</v>
      </c>
      <c r="K218" s="18">
        <f t="shared" si="10"/>
        <v>74.46317167</v>
      </c>
      <c r="L218" s="4"/>
      <c r="M218" s="4"/>
      <c r="N218" s="4"/>
      <c r="O218" s="4"/>
      <c r="P218" s="4"/>
      <c r="Q218" s="4"/>
      <c r="R218" s="4"/>
      <c r="S218" s="4"/>
      <c r="T218" s="4"/>
      <c r="U218" s="4"/>
      <c r="V218" s="4"/>
      <c r="W218" s="4"/>
    </row>
    <row r="219" ht="15.75" customHeight="1">
      <c r="A219" s="13">
        <f t="shared" si="9"/>
        <v>216</v>
      </c>
      <c r="B219" s="18">
        <f>A219/'Orbit Info'!$G$10</f>
        <v>2.28297294</v>
      </c>
      <c r="C219" s="13">
        <f t="shared" si="2"/>
        <v>0</v>
      </c>
      <c r="D219" s="13">
        <f t="shared" si="3"/>
        <v>0</v>
      </c>
      <c r="E219" s="13">
        <f t="shared" si="4"/>
        <v>0</v>
      </c>
      <c r="F219" s="13">
        <f t="shared" si="5"/>
        <v>1</v>
      </c>
      <c r="G219" s="13">
        <f t="shared" si="6"/>
        <v>1</v>
      </c>
      <c r="H219" s="13">
        <f>'Orbit Info'!C218*((C219*$O$2)+(D219*$O$3)+(E219*$O$4)+(F219*$O$5))</f>
        <v>2.856</v>
      </c>
      <c r="I219" s="13">
        <f t="shared" si="7"/>
        <v>5.74655</v>
      </c>
      <c r="J219" s="18">
        <f t="shared" si="8"/>
        <v>-0.04817583333</v>
      </c>
      <c r="K219" s="18">
        <f t="shared" si="10"/>
        <v>74.41499583</v>
      </c>
      <c r="L219" s="4"/>
      <c r="M219" s="4"/>
      <c r="N219" s="4"/>
      <c r="O219" s="4"/>
      <c r="P219" s="4"/>
      <c r="Q219" s="4"/>
      <c r="R219" s="4"/>
      <c r="S219" s="4"/>
      <c r="T219" s="4"/>
      <c r="U219" s="4"/>
      <c r="V219" s="4"/>
      <c r="W219" s="4"/>
    </row>
    <row r="220" ht="15.75" customHeight="1">
      <c r="A220" s="13">
        <f t="shared" si="9"/>
        <v>217</v>
      </c>
      <c r="B220" s="18">
        <f>A220/'Orbit Info'!$G$10</f>
        <v>2.293542259</v>
      </c>
      <c r="C220" s="13">
        <f t="shared" si="2"/>
        <v>0</v>
      </c>
      <c r="D220" s="13">
        <f t="shared" si="3"/>
        <v>0</v>
      </c>
      <c r="E220" s="13">
        <f t="shared" si="4"/>
        <v>0</v>
      </c>
      <c r="F220" s="13">
        <f t="shared" si="5"/>
        <v>1</v>
      </c>
      <c r="G220" s="13">
        <f t="shared" si="6"/>
        <v>1</v>
      </c>
      <c r="H220" s="13">
        <f>'Orbit Info'!C219*((C220*$O$2)+(D220*$O$3)+(E220*$O$4)+(F220*$O$5))</f>
        <v>2.856</v>
      </c>
      <c r="I220" s="13">
        <f t="shared" si="7"/>
        <v>5.74655</v>
      </c>
      <c r="J220" s="18">
        <f t="shared" si="8"/>
        <v>-0.04817583333</v>
      </c>
      <c r="K220" s="18">
        <f t="shared" si="10"/>
        <v>74.36682</v>
      </c>
      <c r="L220" s="4"/>
      <c r="M220" s="4"/>
      <c r="N220" s="4"/>
      <c r="O220" s="4"/>
      <c r="P220" s="4"/>
      <c r="Q220" s="4"/>
      <c r="R220" s="4"/>
      <c r="S220" s="4"/>
      <c r="T220" s="4"/>
      <c r="U220" s="4"/>
      <c r="V220" s="4"/>
      <c r="W220" s="4"/>
    </row>
    <row r="221" ht="15.75" customHeight="1">
      <c r="A221" s="13">
        <f t="shared" si="9"/>
        <v>218</v>
      </c>
      <c r="B221" s="18">
        <f>A221/'Orbit Info'!$G$10</f>
        <v>2.304111578</v>
      </c>
      <c r="C221" s="13">
        <f t="shared" si="2"/>
        <v>0</v>
      </c>
      <c r="D221" s="13">
        <f t="shared" si="3"/>
        <v>0</v>
      </c>
      <c r="E221" s="13">
        <f t="shared" si="4"/>
        <v>0</v>
      </c>
      <c r="F221" s="13">
        <f t="shared" si="5"/>
        <v>1</v>
      </c>
      <c r="G221" s="13">
        <f t="shared" si="6"/>
        <v>1</v>
      </c>
      <c r="H221" s="13">
        <f>'Orbit Info'!C220*((C221*$O$2)+(D221*$O$3)+(E221*$O$4)+(F221*$O$5))</f>
        <v>2.856</v>
      </c>
      <c r="I221" s="13">
        <f t="shared" si="7"/>
        <v>5.74655</v>
      </c>
      <c r="J221" s="18">
        <f t="shared" si="8"/>
        <v>-0.04817583333</v>
      </c>
      <c r="K221" s="18">
        <f t="shared" si="10"/>
        <v>74.31864417</v>
      </c>
      <c r="L221" s="4"/>
      <c r="M221" s="4"/>
      <c r="N221" s="4"/>
      <c r="O221" s="4"/>
      <c r="P221" s="4"/>
      <c r="Q221" s="4"/>
      <c r="R221" s="4"/>
      <c r="S221" s="4"/>
      <c r="T221" s="4"/>
      <c r="U221" s="4"/>
      <c r="V221" s="4"/>
      <c r="W221" s="4"/>
    </row>
    <row r="222" ht="15.75" customHeight="1">
      <c r="A222" s="13">
        <f t="shared" si="9"/>
        <v>219</v>
      </c>
      <c r="B222" s="18">
        <f>A222/'Orbit Info'!$G$10</f>
        <v>2.314680897</v>
      </c>
      <c r="C222" s="13">
        <f t="shared" si="2"/>
        <v>0</v>
      </c>
      <c r="D222" s="13">
        <f t="shared" si="3"/>
        <v>0</v>
      </c>
      <c r="E222" s="13">
        <f t="shared" si="4"/>
        <v>0</v>
      </c>
      <c r="F222" s="13">
        <f t="shared" si="5"/>
        <v>1</v>
      </c>
      <c r="G222" s="13">
        <f t="shared" si="6"/>
        <v>1</v>
      </c>
      <c r="H222" s="13">
        <f>'Orbit Info'!C221*((C222*$O$2)+(D222*$O$3)+(E222*$O$4)+(F222*$O$5))</f>
        <v>2.856</v>
      </c>
      <c r="I222" s="13">
        <f t="shared" si="7"/>
        <v>5.74655</v>
      </c>
      <c r="J222" s="18">
        <f t="shared" si="8"/>
        <v>-0.04817583333</v>
      </c>
      <c r="K222" s="18">
        <f t="shared" si="10"/>
        <v>74.27046833</v>
      </c>
      <c r="L222" s="4"/>
      <c r="M222" s="4"/>
      <c r="N222" s="4"/>
      <c r="O222" s="4"/>
      <c r="P222" s="4"/>
      <c r="Q222" s="4"/>
      <c r="R222" s="4"/>
      <c r="S222" s="4"/>
      <c r="T222" s="4"/>
      <c r="U222" s="4"/>
      <c r="V222" s="4"/>
      <c r="W222" s="4"/>
    </row>
    <row r="223" ht="15.75" customHeight="1">
      <c r="A223" s="13">
        <f t="shared" si="9"/>
        <v>220</v>
      </c>
      <c r="B223" s="18">
        <f>A223/'Orbit Info'!$G$10</f>
        <v>2.325250216</v>
      </c>
      <c r="C223" s="13">
        <f t="shared" si="2"/>
        <v>0</v>
      </c>
      <c r="D223" s="13">
        <f t="shared" si="3"/>
        <v>0</v>
      </c>
      <c r="E223" s="13">
        <f t="shared" si="4"/>
        <v>0</v>
      </c>
      <c r="F223" s="13">
        <f t="shared" si="5"/>
        <v>1</v>
      </c>
      <c r="G223" s="13">
        <f t="shared" si="6"/>
        <v>1</v>
      </c>
      <c r="H223" s="13">
        <f>'Orbit Info'!C222*((C223*$O$2)+(D223*$O$3)+(E223*$O$4)+(F223*$O$5))</f>
        <v>2.856</v>
      </c>
      <c r="I223" s="13">
        <f t="shared" si="7"/>
        <v>5.74655</v>
      </c>
      <c r="J223" s="18">
        <f t="shared" si="8"/>
        <v>-0.04817583333</v>
      </c>
      <c r="K223" s="18">
        <f t="shared" si="10"/>
        <v>74.2222925</v>
      </c>
      <c r="L223" s="4"/>
      <c r="M223" s="4"/>
      <c r="N223" s="4"/>
      <c r="O223" s="4"/>
      <c r="P223" s="4"/>
      <c r="Q223" s="4"/>
      <c r="R223" s="4"/>
      <c r="S223" s="4"/>
      <c r="T223" s="4"/>
      <c r="U223" s="4"/>
      <c r="V223" s="4"/>
      <c r="W223" s="4"/>
    </row>
    <row r="224" ht="15.75" customHeight="1">
      <c r="A224" s="13">
        <f t="shared" si="9"/>
        <v>221</v>
      </c>
      <c r="B224" s="18">
        <f>A224/'Orbit Info'!$G$10</f>
        <v>2.335819536</v>
      </c>
      <c r="C224" s="13">
        <f t="shared" si="2"/>
        <v>0</v>
      </c>
      <c r="D224" s="13">
        <f t="shared" si="3"/>
        <v>0</v>
      </c>
      <c r="E224" s="13">
        <f t="shared" si="4"/>
        <v>0</v>
      </c>
      <c r="F224" s="13">
        <f t="shared" si="5"/>
        <v>1</v>
      </c>
      <c r="G224" s="13">
        <f t="shared" si="6"/>
        <v>1</v>
      </c>
      <c r="H224" s="13">
        <f>'Orbit Info'!C223*((C224*$O$2)+(D224*$O$3)+(E224*$O$4)+(F224*$O$5))</f>
        <v>2.856</v>
      </c>
      <c r="I224" s="13">
        <f t="shared" si="7"/>
        <v>5.74655</v>
      </c>
      <c r="J224" s="18">
        <f t="shared" si="8"/>
        <v>-0.04817583333</v>
      </c>
      <c r="K224" s="18">
        <f t="shared" si="10"/>
        <v>74.17411667</v>
      </c>
      <c r="L224" s="4"/>
      <c r="M224" s="4"/>
      <c r="N224" s="4"/>
      <c r="O224" s="4"/>
      <c r="P224" s="4"/>
      <c r="Q224" s="4"/>
      <c r="R224" s="4"/>
      <c r="S224" s="4"/>
      <c r="T224" s="4"/>
      <c r="U224" s="4"/>
      <c r="V224" s="4"/>
      <c r="W224" s="4"/>
    </row>
    <row r="225" ht="15.75" customHeight="1">
      <c r="A225" s="13">
        <f t="shared" si="9"/>
        <v>222</v>
      </c>
      <c r="B225" s="18">
        <f>A225/'Orbit Info'!$G$10</f>
        <v>2.346388855</v>
      </c>
      <c r="C225" s="13">
        <f t="shared" si="2"/>
        <v>0</v>
      </c>
      <c r="D225" s="13">
        <f t="shared" si="3"/>
        <v>0</v>
      </c>
      <c r="E225" s="13">
        <f t="shared" si="4"/>
        <v>0</v>
      </c>
      <c r="F225" s="13">
        <f t="shared" si="5"/>
        <v>1</v>
      </c>
      <c r="G225" s="13">
        <f t="shared" si="6"/>
        <v>1</v>
      </c>
      <c r="H225" s="13">
        <f>'Orbit Info'!C224*((C225*$O$2)+(D225*$O$3)+(E225*$O$4)+(F225*$O$5))</f>
        <v>2.856</v>
      </c>
      <c r="I225" s="13">
        <f t="shared" si="7"/>
        <v>5.74655</v>
      </c>
      <c r="J225" s="18">
        <f t="shared" si="8"/>
        <v>-0.04817583333</v>
      </c>
      <c r="K225" s="18">
        <f t="shared" si="10"/>
        <v>74.12594083</v>
      </c>
      <c r="L225" s="4"/>
      <c r="M225" s="4"/>
      <c r="N225" s="4"/>
      <c r="O225" s="4"/>
      <c r="P225" s="4"/>
      <c r="Q225" s="4"/>
      <c r="R225" s="4"/>
      <c r="S225" s="4"/>
      <c r="T225" s="4"/>
      <c r="U225" s="4"/>
      <c r="V225" s="4"/>
      <c r="W225" s="4"/>
    </row>
    <row r="226" ht="15.75" customHeight="1">
      <c r="A226" s="13">
        <f t="shared" si="9"/>
        <v>223</v>
      </c>
      <c r="B226" s="18">
        <f>A226/'Orbit Info'!$G$10</f>
        <v>2.356958174</v>
      </c>
      <c r="C226" s="13">
        <f t="shared" si="2"/>
        <v>0</v>
      </c>
      <c r="D226" s="13">
        <f t="shared" si="3"/>
        <v>0</v>
      </c>
      <c r="E226" s="13">
        <f t="shared" si="4"/>
        <v>0</v>
      </c>
      <c r="F226" s="13">
        <f t="shared" si="5"/>
        <v>1</v>
      </c>
      <c r="G226" s="13">
        <f t="shared" si="6"/>
        <v>1</v>
      </c>
      <c r="H226" s="13">
        <f>'Orbit Info'!C225*((C226*$O$2)+(D226*$O$3)+(E226*$O$4)+(F226*$O$5))</f>
        <v>2.856</v>
      </c>
      <c r="I226" s="13">
        <f t="shared" si="7"/>
        <v>5.74655</v>
      </c>
      <c r="J226" s="18">
        <f t="shared" si="8"/>
        <v>-0.04817583333</v>
      </c>
      <c r="K226" s="18">
        <f t="shared" si="10"/>
        <v>74.077765</v>
      </c>
      <c r="L226" s="4"/>
      <c r="M226" s="4"/>
      <c r="N226" s="4"/>
      <c r="O226" s="4"/>
      <c r="P226" s="4"/>
      <c r="Q226" s="4"/>
      <c r="R226" s="4"/>
      <c r="S226" s="4"/>
      <c r="T226" s="4"/>
      <c r="U226" s="4"/>
      <c r="V226" s="4"/>
      <c r="W226" s="4"/>
    </row>
    <row r="227" ht="15.75" customHeight="1">
      <c r="A227" s="13">
        <f t="shared" si="9"/>
        <v>224</v>
      </c>
      <c r="B227" s="18">
        <f>A227/'Orbit Info'!$G$10</f>
        <v>2.367527493</v>
      </c>
      <c r="C227" s="13">
        <f t="shared" si="2"/>
        <v>0</v>
      </c>
      <c r="D227" s="13">
        <f t="shared" si="3"/>
        <v>0</v>
      </c>
      <c r="E227" s="13">
        <f t="shared" si="4"/>
        <v>0</v>
      </c>
      <c r="F227" s="13">
        <f t="shared" si="5"/>
        <v>1</v>
      </c>
      <c r="G227" s="13">
        <f t="shared" si="6"/>
        <v>1</v>
      </c>
      <c r="H227" s="13">
        <f>'Orbit Info'!C226*((C227*$O$2)+(D227*$O$3)+(E227*$O$4)+(F227*$O$5))</f>
        <v>2.856</v>
      </c>
      <c r="I227" s="13">
        <f t="shared" si="7"/>
        <v>5.74655</v>
      </c>
      <c r="J227" s="18">
        <f t="shared" si="8"/>
        <v>-0.04817583333</v>
      </c>
      <c r="K227" s="18">
        <f t="shared" si="10"/>
        <v>74.02958917</v>
      </c>
      <c r="L227" s="4"/>
      <c r="M227" s="4"/>
      <c r="N227" s="4"/>
      <c r="O227" s="4"/>
      <c r="P227" s="4"/>
      <c r="Q227" s="4"/>
      <c r="R227" s="4"/>
      <c r="S227" s="4"/>
      <c r="T227" s="4"/>
      <c r="U227" s="4"/>
      <c r="V227" s="4"/>
      <c r="W227" s="4"/>
    </row>
    <row r="228" ht="15.75" customHeight="1">
      <c r="A228" s="13">
        <f t="shared" si="9"/>
        <v>225</v>
      </c>
      <c r="B228" s="18">
        <f>A228/'Orbit Info'!$G$10</f>
        <v>2.378096812</v>
      </c>
      <c r="C228" s="13">
        <f t="shared" si="2"/>
        <v>0</v>
      </c>
      <c r="D228" s="13">
        <f t="shared" si="3"/>
        <v>0</v>
      </c>
      <c r="E228" s="13">
        <f t="shared" si="4"/>
        <v>0</v>
      </c>
      <c r="F228" s="13">
        <f t="shared" si="5"/>
        <v>1</v>
      </c>
      <c r="G228" s="13">
        <f t="shared" si="6"/>
        <v>1</v>
      </c>
      <c r="H228" s="13">
        <f>'Orbit Info'!C227*((C228*$O$2)+(D228*$O$3)+(E228*$O$4)+(F228*$O$5))</f>
        <v>2.856</v>
      </c>
      <c r="I228" s="13">
        <f t="shared" si="7"/>
        <v>5.74655</v>
      </c>
      <c r="J228" s="18">
        <f t="shared" si="8"/>
        <v>-0.04817583333</v>
      </c>
      <c r="K228" s="18">
        <f t="shared" si="10"/>
        <v>73.98141333</v>
      </c>
      <c r="L228" s="4"/>
      <c r="M228" s="4"/>
      <c r="N228" s="4"/>
      <c r="O228" s="4"/>
      <c r="P228" s="4"/>
      <c r="Q228" s="4"/>
      <c r="R228" s="4"/>
      <c r="S228" s="4"/>
      <c r="T228" s="4"/>
      <c r="U228" s="4"/>
      <c r="V228" s="4"/>
      <c r="W228" s="4"/>
    </row>
    <row r="229" ht="15.75" customHeight="1">
      <c r="A229" s="13">
        <f t="shared" si="9"/>
        <v>226</v>
      </c>
      <c r="B229" s="18">
        <f>A229/'Orbit Info'!$G$10</f>
        <v>2.388666131</v>
      </c>
      <c r="C229" s="13">
        <f t="shared" si="2"/>
        <v>0</v>
      </c>
      <c r="D229" s="13">
        <f t="shared" si="3"/>
        <v>0</v>
      </c>
      <c r="E229" s="13">
        <f t="shared" si="4"/>
        <v>0</v>
      </c>
      <c r="F229" s="13">
        <f t="shared" si="5"/>
        <v>1</v>
      </c>
      <c r="G229" s="13">
        <f t="shared" si="6"/>
        <v>1</v>
      </c>
      <c r="H229" s="13">
        <f>'Orbit Info'!C228*((C229*$O$2)+(D229*$O$3)+(E229*$O$4)+(F229*$O$5))</f>
        <v>2.856</v>
      </c>
      <c r="I229" s="13">
        <f t="shared" si="7"/>
        <v>5.74655</v>
      </c>
      <c r="J229" s="18">
        <f t="shared" si="8"/>
        <v>-0.04817583333</v>
      </c>
      <c r="K229" s="18">
        <f t="shared" si="10"/>
        <v>73.9332375</v>
      </c>
      <c r="L229" s="4"/>
      <c r="M229" s="4"/>
      <c r="N229" s="4"/>
      <c r="O229" s="4"/>
      <c r="P229" s="4"/>
      <c r="Q229" s="4"/>
      <c r="R229" s="4"/>
      <c r="S229" s="4"/>
      <c r="T229" s="4"/>
      <c r="U229" s="4"/>
      <c r="V229" s="4"/>
      <c r="W229" s="4"/>
    </row>
    <row r="230" ht="15.75" customHeight="1">
      <c r="A230" s="13">
        <f t="shared" si="9"/>
        <v>227</v>
      </c>
      <c r="B230" s="18">
        <f>A230/'Orbit Info'!$G$10</f>
        <v>2.399235451</v>
      </c>
      <c r="C230" s="13">
        <f t="shared" si="2"/>
        <v>0</v>
      </c>
      <c r="D230" s="13">
        <f t="shared" si="3"/>
        <v>0</v>
      </c>
      <c r="E230" s="13">
        <f t="shared" si="4"/>
        <v>0</v>
      </c>
      <c r="F230" s="13">
        <f t="shared" si="5"/>
        <v>1</v>
      </c>
      <c r="G230" s="13">
        <f t="shared" si="6"/>
        <v>1</v>
      </c>
      <c r="H230" s="13">
        <f>'Orbit Info'!C229*((C230*$O$2)+(D230*$O$3)+(E230*$O$4)+(F230*$O$5))</f>
        <v>2.856</v>
      </c>
      <c r="I230" s="13">
        <f t="shared" si="7"/>
        <v>5.74655</v>
      </c>
      <c r="J230" s="18">
        <f t="shared" si="8"/>
        <v>-0.04817583333</v>
      </c>
      <c r="K230" s="18">
        <f t="shared" si="10"/>
        <v>73.88506167</v>
      </c>
      <c r="L230" s="4"/>
      <c r="M230" s="4"/>
      <c r="N230" s="4"/>
      <c r="O230" s="4"/>
      <c r="P230" s="4"/>
      <c r="Q230" s="4"/>
      <c r="R230" s="4"/>
      <c r="S230" s="4"/>
      <c r="T230" s="4"/>
      <c r="U230" s="4"/>
      <c r="V230" s="4"/>
      <c r="W230" s="4"/>
    </row>
    <row r="231" ht="15.75" customHeight="1">
      <c r="A231" s="13">
        <f t="shared" si="9"/>
        <v>228</v>
      </c>
      <c r="B231" s="18">
        <f>A231/'Orbit Info'!$G$10</f>
        <v>2.40980477</v>
      </c>
      <c r="C231" s="13">
        <f t="shared" si="2"/>
        <v>0</v>
      </c>
      <c r="D231" s="13">
        <f t="shared" si="3"/>
        <v>0</v>
      </c>
      <c r="E231" s="13">
        <f t="shared" si="4"/>
        <v>0</v>
      </c>
      <c r="F231" s="13">
        <f t="shared" si="5"/>
        <v>1</v>
      </c>
      <c r="G231" s="13">
        <f t="shared" si="6"/>
        <v>1</v>
      </c>
      <c r="H231" s="13">
        <f>'Orbit Info'!C230*((C231*$O$2)+(D231*$O$3)+(E231*$O$4)+(F231*$O$5))</f>
        <v>2.856</v>
      </c>
      <c r="I231" s="13">
        <f t="shared" si="7"/>
        <v>5.74655</v>
      </c>
      <c r="J231" s="18">
        <f t="shared" si="8"/>
        <v>-0.04817583333</v>
      </c>
      <c r="K231" s="18">
        <f t="shared" si="10"/>
        <v>73.83688583</v>
      </c>
      <c r="L231" s="4"/>
      <c r="M231" s="4"/>
      <c r="N231" s="4"/>
      <c r="O231" s="4"/>
      <c r="P231" s="4"/>
      <c r="Q231" s="4"/>
      <c r="R231" s="4"/>
      <c r="S231" s="4"/>
      <c r="T231" s="4"/>
      <c r="U231" s="4"/>
      <c r="V231" s="4"/>
      <c r="W231" s="4"/>
    </row>
    <row r="232" ht="15.75" customHeight="1">
      <c r="A232" s="13">
        <f t="shared" si="9"/>
        <v>229</v>
      </c>
      <c r="B232" s="18">
        <f>A232/'Orbit Info'!$G$10</f>
        <v>2.420374089</v>
      </c>
      <c r="C232" s="13">
        <f t="shared" si="2"/>
        <v>0</v>
      </c>
      <c r="D232" s="13">
        <f t="shared" si="3"/>
        <v>0</v>
      </c>
      <c r="E232" s="13">
        <f t="shared" si="4"/>
        <v>0</v>
      </c>
      <c r="F232" s="13">
        <f t="shared" si="5"/>
        <v>1</v>
      </c>
      <c r="G232" s="13">
        <f t="shared" si="6"/>
        <v>1</v>
      </c>
      <c r="H232" s="13">
        <f>'Orbit Info'!C231*((C232*$O$2)+(D232*$O$3)+(E232*$O$4)+(F232*$O$5))</f>
        <v>2.856</v>
      </c>
      <c r="I232" s="13">
        <f t="shared" si="7"/>
        <v>5.74655</v>
      </c>
      <c r="J232" s="18">
        <f t="shared" si="8"/>
        <v>-0.04817583333</v>
      </c>
      <c r="K232" s="18">
        <f t="shared" si="10"/>
        <v>73.78871</v>
      </c>
      <c r="L232" s="4"/>
      <c r="M232" s="4"/>
      <c r="N232" s="4"/>
      <c r="O232" s="4"/>
      <c r="P232" s="4"/>
      <c r="Q232" s="4"/>
      <c r="R232" s="4"/>
      <c r="S232" s="4"/>
      <c r="T232" s="4"/>
      <c r="U232" s="4"/>
      <c r="V232" s="4"/>
      <c r="W232" s="4"/>
    </row>
    <row r="233" ht="15.75" customHeight="1">
      <c r="A233" s="13">
        <f t="shared" si="9"/>
        <v>230</v>
      </c>
      <c r="B233" s="18">
        <f>A233/'Orbit Info'!$G$10</f>
        <v>2.430943408</v>
      </c>
      <c r="C233" s="13">
        <f t="shared" si="2"/>
        <v>0</v>
      </c>
      <c r="D233" s="13">
        <f t="shared" si="3"/>
        <v>0</v>
      </c>
      <c r="E233" s="13">
        <f t="shared" si="4"/>
        <v>0</v>
      </c>
      <c r="F233" s="13">
        <f t="shared" si="5"/>
        <v>1</v>
      </c>
      <c r="G233" s="13">
        <f t="shared" si="6"/>
        <v>1</v>
      </c>
      <c r="H233" s="13">
        <f>'Orbit Info'!C232*((C233*$O$2)+(D233*$O$3)+(E233*$O$4)+(F233*$O$5))</f>
        <v>2.856</v>
      </c>
      <c r="I233" s="13">
        <f t="shared" si="7"/>
        <v>5.74655</v>
      </c>
      <c r="J233" s="18">
        <f t="shared" si="8"/>
        <v>-0.04817583333</v>
      </c>
      <c r="K233" s="18">
        <f t="shared" si="10"/>
        <v>73.74053417</v>
      </c>
      <c r="L233" s="4"/>
      <c r="M233" s="4"/>
      <c r="N233" s="4"/>
      <c r="O233" s="4"/>
      <c r="P233" s="4"/>
      <c r="Q233" s="4"/>
      <c r="R233" s="4"/>
      <c r="S233" s="4"/>
      <c r="T233" s="4"/>
      <c r="U233" s="4"/>
      <c r="V233" s="4"/>
      <c r="W233" s="4"/>
    </row>
    <row r="234" ht="15.75" customHeight="1">
      <c r="A234" s="13">
        <f t="shared" si="9"/>
        <v>231</v>
      </c>
      <c r="B234" s="18">
        <f>A234/'Orbit Info'!$G$10</f>
        <v>2.441512727</v>
      </c>
      <c r="C234" s="13">
        <f t="shared" si="2"/>
        <v>0</v>
      </c>
      <c r="D234" s="13">
        <f t="shared" si="3"/>
        <v>0</v>
      </c>
      <c r="E234" s="13">
        <f t="shared" si="4"/>
        <v>0</v>
      </c>
      <c r="F234" s="13">
        <f t="shared" si="5"/>
        <v>1</v>
      </c>
      <c r="G234" s="13">
        <f t="shared" si="6"/>
        <v>1</v>
      </c>
      <c r="H234" s="13">
        <f>'Orbit Info'!C233*((C234*$O$2)+(D234*$O$3)+(E234*$O$4)+(F234*$O$5))</f>
        <v>2.856</v>
      </c>
      <c r="I234" s="13">
        <f t="shared" si="7"/>
        <v>5.74655</v>
      </c>
      <c r="J234" s="18">
        <f t="shared" si="8"/>
        <v>-0.04817583333</v>
      </c>
      <c r="K234" s="18">
        <f t="shared" si="10"/>
        <v>73.69235833</v>
      </c>
      <c r="L234" s="4"/>
      <c r="M234" s="4"/>
      <c r="N234" s="4"/>
      <c r="O234" s="4"/>
      <c r="P234" s="4"/>
      <c r="Q234" s="4"/>
      <c r="R234" s="4"/>
      <c r="S234" s="4"/>
      <c r="T234" s="4"/>
      <c r="U234" s="4"/>
      <c r="V234" s="4"/>
      <c r="W234" s="4"/>
    </row>
    <row r="235" ht="15.75" customHeight="1">
      <c r="A235" s="13">
        <f t="shared" si="9"/>
        <v>232</v>
      </c>
      <c r="B235" s="18">
        <f>A235/'Orbit Info'!$G$10</f>
        <v>2.452082046</v>
      </c>
      <c r="C235" s="13">
        <f t="shared" si="2"/>
        <v>0</v>
      </c>
      <c r="D235" s="13">
        <f t="shared" si="3"/>
        <v>0</v>
      </c>
      <c r="E235" s="13">
        <f t="shared" si="4"/>
        <v>0</v>
      </c>
      <c r="F235" s="13">
        <f t="shared" si="5"/>
        <v>1</v>
      </c>
      <c r="G235" s="13">
        <f t="shared" si="6"/>
        <v>1</v>
      </c>
      <c r="H235" s="13">
        <f>'Orbit Info'!C234*((C235*$O$2)+(D235*$O$3)+(E235*$O$4)+(F235*$O$5))</f>
        <v>2.856</v>
      </c>
      <c r="I235" s="13">
        <f t="shared" si="7"/>
        <v>5.74655</v>
      </c>
      <c r="J235" s="18">
        <f t="shared" si="8"/>
        <v>-0.04817583333</v>
      </c>
      <c r="K235" s="18">
        <f t="shared" si="10"/>
        <v>73.6441825</v>
      </c>
      <c r="L235" s="4"/>
      <c r="M235" s="4"/>
      <c r="N235" s="4"/>
      <c r="O235" s="4"/>
      <c r="P235" s="4"/>
      <c r="Q235" s="4"/>
      <c r="R235" s="4"/>
      <c r="S235" s="4"/>
      <c r="T235" s="4"/>
      <c r="U235" s="4"/>
      <c r="V235" s="4"/>
      <c r="W235" s="4"/>
    </row>
    <row r="236" ht="15.75" customHeight="1">
      <c r="A236" s="13">
        <f t="shared" si="9"/>
        <v>233</v>
      </c>
      <c r="B236" s="18">
        <f>A236/'Orbit Info'!$G$10</f>
        <v>2.462651366</v>
      </c>
      <c r="C236" s="13">
        <f t="shared" si="2"/>
        <v>0</v>
      </c>
      <c r="D236" s="13">
        <f t="shared" si="3"/>
        <v>0</v>
      </c>
      <c r="E236" s="13">
        <f t="shared" si="4"/>
        <v>0</v>
      </c>
      <c r="F236" s="13">
        <f t="shared" si="5"/>
        <v>1</v>
      </c>
      <c r="G236" s="13">
        <f t="shared" si="6"/>
        <v>1</v>
      </c>
      <c r="H236" s="13">
        <f>'Orbit Info'!C235*((C236*$O$2)+(D236*$O$3)+(E236*$O$4)+(F236*$O$5))</f>
        <v>2.856</v>
      </c>
      <c r="I236" s="13">
        <f t="shared" si="7"/>
        <v>5.74655</v>
      </c>
      <c r="J236" s="18">
        <f t="shared" si="8"/>
        <v>-0.04817583333</v>
      </c>
      <c r="K236" s="18">
        <f t="shared" si="10"/>
        <v>73.59600667</v>
      </c>
      <c r="L236" s="4"/>
      <c r="M236" s="4"/>
      <c r="N236" s="4"/>
      <c r="O236" s="4"/>
      <c r="P236" s="4"/>
      <c r="Q236" s="4"/>
      <c r="R236" s="4"/>
      <c r="S236" s="4"/>
      <c r="T236" s="4"/>
      <c r="U236" s="4"/>
      <c r="V236" s="4"/>
      <c r="W236" s="4"/>
    </row>
    <row r="237" ht="15.75" customHeight="1">
      <c r="A237" s="13">
        <f t="shared" si="9"/>
        <v>234</v>
      </c>
      <c r="B237" s="18">
        <f>A237/'Orbit Info'!$G$10</f>
        <v>2.473220685</v>
      </c>
      <c r="C237" s="13">
        <f t="shared" si="2"/>
        <v>0</v>
      </c>
      <c r="D237" s="13">
        <f t="shared" si="3"/>
        <v>0</v>
      </c>
      <c r="E237" s="13">
        <f t="shared" si="4"/>
        <v>0</v>
      </c>
      <c r="F237" s="13">
        <f t="shared" si="5"/>
        <v>1</v>
      </c>
      <c r="G237" s="13">
        <f t="shared" si="6"/>
        <v>1</v>
      </c>
      <c r="H237" s="13">
        <f>'Orbit Info'!C236*((C237*$O$2)+(D237*$O$3)+(E237*$O$4)+(F237*$O$5))</f>
        <v>2.856</v>
      </c>
      <c r="I237" s="13">
        <f t="shared" si="7"/>
        <v>5.74655</v>
      </c>
      <c r="J237" s="18">
        <f t="shared" si="8"/>
        <v>-0.04817583333</v>
      </c>
      <c r="K237" s="18">
        <f t="shared" si="10"/>
        <v>73.54783083</v>
      </c>
      <c r="L237" s="4"/>
      <c r="M237" s="4"/>
      <c r="N237" s="4"/>
      <c r="O237" s="4"/>
      <c r="P237" s="4"/>
      <c r="Q237" s="4"/>
      <c r="R237" s="4"/>
      <c r="S237" s="4"/>
      <c r="T237" s="4"/>
      <c r="U237" s="4"/>
      <c r="V237" s="4"/>
      <c r="W237" s="4"/>
    </row>
    <row r="238" ht="15.75" customHeight="1">
      <c r="A238" s="13">
        <f t="shared" si="9"/>
        <v>235</v>
      </c>
      <c r="B238" s="18">
        <f>A238/'Orbit Info'!$G$10</f>
        <v>2.483790004</v>
      </c>
      <c r="C238" s="13">
        <f t="shared" si="2"/>
        <v>0</v>
      </c>
      <c r="D238" s="13">
        <f t="shared" si="3"/>
        <v>0</v>
      </c>
      <c r="E238" s="13">
        <f t="shared" si="4"/>
        <v>0</v>
      </c>
      <c r="F238" s="13">
        <f t="shared" si="5"/>
        <v>1</v>
      </c>
      <c r="G238" s="13">
        <f t="shared" si="6"/>
        <v>1</v>
      </c>
      <c r="H238" s="13">
        <f>'Orbit Info'!C237*((C238*$O$2)+(D238*$O$3)+(E238*$O$4)+(F238*$O$5))</f>
        <v>2.856</v>
      </c>
      <c r="I238" s="13">
        <f t="shared" si="7"/>
        <v>5.74655</v>
      </c>
      <c r="J238" s="18">
        <f t="shared" si="8"/>
        <v>-0.04817583333</v>
      </c>
      <c r="K238" s="18">
        <f t="shared" si="10"/>
        <v>73.499655</v>
      </c>
      <c r="L238" s="4"/>
      <c r="M238" s="4"/>
      <c r="N238" s="4"/>
      <c r="O238" s="4"/>
      <c r="P238" s="4"/>
      <c r="Q238" s="4"/>
      <c r="R238" s="4"/>
      <c r="S238" s="4"/>
      <c r="T238" s="4"/>
      <c r="U238" s="4"/>
      <c r="V238" s="4"/>
      <c r="W238" s="4"/>
    </row>
    <row r="239" ht="15.75" customHeight="1">
      <c r="A239" s="13">
        <f t="shared" si="9"/>
        <v>236</v>
      </c>
      <c r="B239" s="18">
        <f>A239/'Orbit Info'!$G$10</f>
        <v>2.494359323</v>
      </c>
      <c r="C239" s="13">
        <f t="shared" si="2"/>
        <v>0</v>
      </c>
      <c r="D239" s="13">
        <f t="shared" si="3"/>
        <v>0</v>
      </c>
      <c r="E239" s="13">
        <f t="shared" si="4"/>
        <v>0</v>
      </c>
      <c r="F239" s="13">
        <f t="shared" si="5"/>
        <v>1</v>
      </c>
      <c r="G239" s="13">
        <f t="shared" si="6"/>
        <v>1</v>
      </c>
      <c r="H239" s="13">
        <f>'Orbit Info'!C238*((C239*$O$2)+(D239*$O$3)+(E239*$O$4)+(F239*$O$5))</f>
        <v>2.856</v>
      </c>
      <c r="I239" s="13">
        <f t="shared" si="7"/>
        <v>5.74655</v>
      </c>
      <c r="J239" s="18">
        <f t="shared" si="8"/>
        <v>-0.04817583333</v>
      </c>
      <c r="K239" s="18">
        <f t="shared" si="10"/>
        <v>73.45147917</v>
      </c>
      <c r="L239" s="4"/>
      <c r="M239" s="4"/>
      <c r="N239" s="4"/>
      <c r="O239" s="4"/>
      <c r="P239" s="4"/>
      <c r="Q239" s="4"/>
      <c r="R239" s="4"/>
      <c r="S239" s="4"/>
      <c r="T239" s="4"/>
      <c r="U239" s="4"/>
      <c r="V239" s="4"/>
      <c r="W239" s="4"/>
    </row>
    <row r="240" ht="15.75" customHeight="1">
      <c r="A240" s="13">
        <f t="shared" si="9"/>
        <v>237</v>
      </c>
      <c r="B240" s="18">
        <f>A240/'Orbit Info'!$G$10</f>
        <v>2.504928642</v>
      </c>
      <c r="C240" s="13">
        <f t="shared" si="2"/>
        <v>0</v>
      </c>
      <c r="D240" s="13">
        <f t="shared" si="3"/>
        <v>0</v>
      </c>
      <c r="E240" s="13">
        <f t="shared" si="4"/>
        <v>0</v>
      </c>
      <c r="F240" s="13">
        <f t="shared" si="5"/>
        <v>1</v>
      </c>
      <c r="G240" s="13">
        <f t="shared" si="6"/>
        <v>1</v>
      </c>
      <c r="H240" s="13">
        <f>'Orbit Info'!C239*((C240*$O$2)+(D240*$O$3)+(E240*$O$4)+(F240*$O$5))</f>
        <v>2.856</v>
      </c>
      <c r="I240" s="13">
        <f t="shared" si="7"/>
        <v>5.74655</v>
      </c>
      <c r="J240" s="18">
        <f t="shared" si="8"/>
        <v>-0.04817583333</v>
      </c>
      <c r="K240" s="18">
        <f t="shared" si="10"/>
        <v>73.40330333</v>
      </c>
      <c r="L240" s="4"/>
      <c r="M240" s="4"/>
      <c r="N240" s="4"/>
      <c r="O240" s="4"/>
      <c r="P240" s="4"/>
      <c r="Q240" s="4"/>
      <c r="R240" s="4"/>
      <c r="S240" s="4"/>
      <c r="T240" s="4"/>
      <c r="U240" s="4"/>
      <c r="V240" s="4"/>
      <c r="W240" s="4"/>
    </row>
    <row r="241" ht="15.75" customHeight="1">
      <c r="A241" s="13">
        <f t="shared" si="9"/>
        <v>238</v>
      </c>
      <c r="B241" s="18">
        <f>A241/'Orbit Info'!$G$10</f>
        <v>2.515497961</v>
      </c>
      <c r="C241" s="13">
        <f t="shared" si="2"/>
        <v>0</v>
      </c>
      <c r="D241" s="13">
        <f t="shared" si="3"/>
        <v>0</v>
      </c>
      <c r="E241" s="13">
        <f t="shared" si="4"/>
        <v>0</v>
      </c>
      <c r="F241" s="13">
        <f t="shared" si="5"/>
        <v>1</v>
      </c>
      <c r="G241" s="13">
        <f t="shared" si="6"/>
        <v>1</v>
      </c>
      <c r="H241" s="13">
        <f>'Orbit Info'!C240*((C241*$O$2)+(D241*$O$3)+(E241*$O$4)+(F241*$O$5))</f>
        <v>2.856</v>
      </c>
      <c r="I241" s="13">
        <f t="shared" si="7"/>
        <v>5.74655</v>
      </c>
      <c r="J241" s="18">
        <f t="shared" si="8"/>
        <v>-0.04817583333</v>
      </c>
      <c r="K241" s="18">
        <f t="shared" si="10"/>
        <v>73.3551275</v>
      </c>
      <c r="L241" s="4"/>
      <c r="M241" s="4"/>
      <c r="N241" s="4"/>
      <c r="O241" s="4"/>
      <c r="P241" s="4"/>
      <c r="Q241" s="4"/>
      <c r="R241" s="4"/>
      <c r="S241" s="4"/>
      <c r="T241" s="4"/>
      <c r="U241" s="4"/>
      <c r="V241" s="4"/>
      <c r="W241" s="4"/>
    </row>
    <row r="242" ht="15.75" customHeight="1">
      <c r="A242" s="13">
        <f t="shared" si="9"/>
        <v>239</v>
      </c>
      <c r="B242" s="18">
        <f>A242/'Orbit Info'!$G$10</f>
        <v>2.526067281</v>
      </c>
      <c r="C242" s="13">
        <f t="shared" si="2"/>
        <v>0</v>
      </c>
      <c r="D242" s="13">
        <f t="shared" si="3"/>
        <v>0</v>
      </c>
      <c r="E242" s="13">
        <f t="shared" si="4"/>
        <v>0</v>
      </c>
      <c r="F242" s="13">
        <f t="shared" si="5"/>
        <v>1</v>
      </c>
      <c r="G242" s="13">
        <f t="shared" si="6"/>
        <v>1</v>
      </c>
      <c r="H242" s="13">
        <f>'Orbit Info'!C241*((C242*$O$2)+(D242*$O$3)+(E242*$O$4)+(F242*$O$5))</f>
        <v>2.856</v>
      </c>
      <c r="I242" s="13">
        <f t="shared" si="7"/>
        <v>5.74655</v>
      </c>
      <c r="J242" s="18">
        <f t="shared" si="8"/>
        <v>-0.04817583333</v>
      </c>
      <c r="K242" s="18">
        <f t="shared" si="10"/>
        <v>73.30695167</v>
      </c>
      <c r="L242" s="4"/>
      <c r="M242" s="4"/>
      <c r="N242" s="4"/>
      <c r="O242" s="4"/>
      <c r="P242" s="4"/>
      <c r="Q242" s="4"/>
      <c r="R242" s="4"/>
      <c r="S242" s="4"/>
      <c r="T242" s="4"/>
      <c r="U242" s="4"/>
      <c r="V242" s="4"/>
      <c r="W242" s="4"/>
    </row>
    <row r="243" ht="15.75" customHeight="1">
      <c r="A243" s="13">
        <f t="shared" si="9"/>
        <v>240</v>
      </c>
      <c r="B243" s="18">
        <f>A243/'Orbit Info'!$G$10</f>
        <v>2.5366366</v>
      </c>
      <c r="C243" s="13">
        <f t="shared" si="2"/>
        <v>0</v>
      </c>
      <c r="D243" s="13">
        <f t="shared" si="3"/>
        <v>0</v>
      </c>
      <c r="E243" s="13">
        <f t="shared" si="4"/>
        <v>0</v>
      </c>
      <c r="F243" s="13">
        <f t="shared" si="5"/>
        <v>1</v>
      </c>
      <c r="G243" s="13">
        <f t="shared" si="6"/>
        <v>1</v>
      </c>
      <c r="H243" s="13">
        <f>'Orbit Info'!C242*((C243*$O$2)+(D243*$O$3)+(E243*$O$4)+(F243*$O$5))</f>
        <v>2.856</v>
      </c>
      <c r="I243" s="13">
        <f t="shared" si="7"/>
        <v>5.74655</v>
      </c>
      <c r="J243" s="18">
        <f t="shared" si="8"/>
        <v>-0.04817583333</v>
      </c>
      <c r="K243" s="18">
        <f t="shared" si="10"/>
        <v>73.25877583</v>
      </c>
      <c r="L243" s="4"/>
      <c r="M243" s="4"/>
      <c r="N243" s="4"/>
      <c r="O243" s="4"/>
      <c r="P243" s="4"/>
      <c r="Q243" s="4"/>
      <c r="R243" s="4"/>
      <c r="S243" s="4"/>
      <c r="T243" s="4"/>
      <c r="U243" s="4"/>
      <c r="V243" s="4"/>
      <c r="W243" s="4"/>
    </row>
    <row r="244" ht="15.75" customHeight="1">
      <c r="A244" s="13">
        <f t="shared" si="9"/>
        <v>241</v>
      </c>
      <c r="B244" s="18">
        <f>A244/'Orbit Info'!$G$10</f>
        <v>2.547205919</v>
      </c>
      <c r="C244" s="13">
        <f t="shared" si="2"/>
        <v>0</v>
      </c>
      <c r="D244" s="13">
        <f t="shared" si="3"/>
        <v>0</v>
      </c>
      <c r="E244" s="13">
        <f t="shared" si="4"/>
        <v>0</v>
      </c>
      <c r="F244" s="13">
        <f t="shared" si="5"/>
        <v>1</v>
      </c>
      <c r="G244" s="13">
        <f t="shared" si="6"/>
        <v>1</v>
      </c>
      <c r="H244" s="13">
        <f>'Orbit Info'!C243*((C244*$O$2)+(D244*$O$3)+(E244*$O$4)+(F244*$O$5))</f>
        <v>2.856</v>
      </c>
      <c r="I244" s="13">
        <f t="shared" si="7"/>
        <v>5.74655</v>
      </c>
      <c r="J244" s="18">
        <f t="shared" si="8"/>
        <v>-0.04817583333</v>
      </c>
      <c r="K244" s="18">
        <f t="shared" si="10"/>
        <v>73.2106</v>
      </c>
      <c r="L244" s="4"/>
      <c r="M244" s="4"/>
      <c r="N244" s="4"/>
      <c r="O244" s="4"/>
      <c r="P244" s="4"/>
      <c r="Q244" s="4"/>
      <c r="R244" s="4"/>
      <c r="S244" s="4"/>
      <c r="T244" s="4"/>
      <c r="U244" s="4"/>
      <c r="V244" s="4"/>
      <c r="W244" s="4"/>
    </row>
    <row r="245" ht="15.75" customHeight="1">
      <c r="A245" s="13">
        <f t="shared" si="9"/>
        <v>242</v>
      </c>
      <c r="B245" s="18">
        <f>A245/'Orbit Info'!$G$10</f>
        <v>2.557775238</v>
      </c>
      <c r="C245" s="13">
        <f t="shared" si="2"/>
        <v>0</v>
      </c>
      <c r="D245" s="13">
        <f t="shared" si="3"/>
        <v>0</v>
      </c>
      <c r="E245" s="13">
        <f t="shared" si="4"/>
        <v>0</v>
      </c>
      <c r="F245" s="13">
        <f t="shared" si="5"/>
        <v>1</v>
      </c>
      <c r="G245" s="13">
        <f t="shared" si="6"/>
        <v>1</v>
      </c>
      <c r="H245" s="13">
        <f>'Orbit Info'!C244*((C245*$O$2)+(D245*$O$3)+(E245*$O$4)+(F245*$O$5))</f>
        <v>2.856</v>
      </c>
      <c r="I245" s="13">
        <f t="shared" si="7"/>
        <v>5.74655</v>
      </c>
      <c r="J245" s="18">
        <f t="shared" si="8"/>
        <v>-0.04817583333</v>
      </c>
      <c r="K245" s="18">
        <f t="shared" si="10"/>
        <v>73.16242417</v>
      </c>
      <c r="L245" s="4"/>
      <c r="M245" s="4"/>
      <c r="N245" s="4"/>
      <c r="O245" s="4"/>
      <c r="P245" s="4"/>
      <c r="Q245" s="4"/>
      <c r="R245" s="4"/>
      <c r="S245" s="4"/>
      <c r="T245" s="4"/>
      <c r="U245" s="4"/>
      <c r="V245" s="4"/>
      <c r="W245" s="4"/>
    </row>
    <row r="246" ht="15.75" customHeight="1">
      <c r="A246" s="13">
        <f t="shared" si="9"/>
        <v>243</v>
      </c>
      <c r="B246" s="18">
        <f>A246/'Orbit Info'!$G$10</f>
        <v>2.568344557</v>
      </c>
      <c r="C246" s="13">
        <f t="shared" si="2"/>
        <v>0</v>
      </c>
      <c r="D246" s="13">
        <f t="shared" si="3"/>
        <v>0</v>
      </c>
      <c r="E246" s="13">
        <f t="shared" si="4"/>
        <v>0</v>
      </c>
      <c r="F246" s="13">
        <f t="shared" si="5"/>
        <v>1</v>
      </c>
      <c r="G246" s="13">
        <f t="shared" si="6"/>
        <v>1</v>
      </c>
      <c r="H246" s="13">
        <f>'Orbit Info'!C245*((C246*$O$2)+(D246*$O$3)+(E246*$O$4)+(F246*$O$5))</f>
        <v>2.856</v>
      </c>
      <c r="I246" s="13">
        <f t="shared" si="7"/>
        <v>5.74655</v>
      </c>
      <c r="J246" s="18">
        <f t="shared" si="8"/>
        <v>-0.04817583333</v>
      </c>
      <c r="K246" s="18">
        <f t="shared" si="10"/>
        <v>73.11424833</v>
      </c>
      <c r="L246" s="4"/>
      <c r="M246" s="4"/>
      <c r="N246" s="4"/>
      <c r="O246" s="4"/>
      <c r="P246" s="4"/>
      <c r="Q246" s="4"/>
      <c r="R246" s="4"/>
      <c r="S246" s="4"/>
      <c r="T246" s="4"/>
      <c r="U246" s="4"/>
      <c r="V246" s="4"/>
      <c r="W246" s="4"/>
    </row>
    <row r="247" ht="15.75" customHeight="1">
      <c r="A247" s="13">
        <f t="shared" si="9"/>
        <v>244</v>
      </c>
      <c r="B247" s="18">
        <f>A247/'Orbit Info'!$G$10</f>
        <v>2.578913876</v>
      </c>
      <c r="C247" s="13">
        <f t="shared" si="2"/>
        <v>0</v>
      </c>
      <c r="D247" s="13">
        <f t="shared" si="3"/>
        <v>0</v>
      </c>
      <c r="E247" s="13">
        <f t="shared" si="4"/>
        <v>0</v>
      </c>
      <c r="F247" s="13">
        <f t="shared" si="5"/>
        <v>1</v>
      </c>
      <c r="G247" s="13">
        <f t="shared" si="6"/>
        <v>1</v>
      </c>
      <c r="H247" s="13">
        <f>'Orbit Info'!C246*((C247*$O$2)+(D247*$O$3)+(E247*$O$4)+(F247*$O$5))</f>
        <v>2.856</v>
      </c>
      <c r="I247" s="13">
        <f t="shared" si="7"/>
        <v>5.74655</v>
      </c>
      <c r="J247" s="18">
        <f t="shared" si="8"/>
        <v>-0.04817583333</v>
      </c>
      <c r="K247" s="18">
        <f t="shared" si="10"/>
        <v>73.0660725</v>
      </c>
      <c r="L247" s="4"/>
      <c r="M247" s="4"/>
      <c r="N247" s="4"/>
      <c r="O247" s="4"/>
      <c r="P247" s="4"/>
      <c r="Q247" s="4"/>
      <c r="R247" s="4"/>
      <c r="S247" s="4"/>
      <c r="T247" s="4"/>
      <c r="U247" s="4"/>
      <c r="V247" s="4"/>
      <c r="W247" s="4"/>
    </row>
    <row r="248" ht="15.75" customHeight="1">
      <c r="A248" s="13">
        <f t="shared" si="9"/>
        <v>245</v>
      </c>
      <c r="B248" s="18">
        <f>A248/'Orbit Info'!$G$10</f>
        <v>2.589483196</v>
      </c>
      <c r="C248" s="13">
        <f t="shared" si="2"/>
        <v>0</v>
      </c>
      <c r="D248" s="13">
        <f t="shared" si="3"/>
        <v>0</v>
      </c>
      <c r="E248" s="13">
        <f t="shared" si="4"/>
        <v>0</v>
      </c>
      <c r="F248" s="13">
        <f t="shared" si="5"/>
        <v>1</v>
      </c>
      <c r="G248" s="13">
        <f t="shared" si="6"/>
        <v>1</v>
      </c>
      <c r="H248" s="13">
        <f>'Orbit Info'!C247*((C248*$O$2)+(D248*$O$3)+(E248*$O$4)+(F248*$O$5))</f>
        <v>2.856</v>
      </c>
      <c r="I248" s="13">
        <f t="shared" si="7"/>
        <v>5.74655</v>
      </c>
      <c r="J248" s="18">
        <f t="shared" si="8"/>
        <v>-0.04817583333</v>
      </c>
      <c r="K248" s="18">
        <f t="shared" si="10"/>
        <v>73.01789667</v>
      </c>
      <c r="L248" s="4"/>
      <c r="M248" s="4"/>
      <c r="N248" s="4"/>
      <c r="O248" s="4"/>
      <c r="P248" s="4"/>
      <c r="Q248" s="4"/>
      <c r="R248" s="4"/>
      <c r="S248" s="4"/>
      <c r="T248" s="4"/>
      <c r="U248" s="4"/>
      <c r="V248" s="4"/>
      <c r="W248" s="4"/>
    </row>
    <row r="249" ht="15.75" customHeight="1">
      <c r="A249" s="13">
        <f t="shared" si="9"/>
        <v>246</v>
      </c>
      <c r="B249" s="18">
        <f>A249/'Orbit Info'!$G$10</f>
        <v>2.600052515</v>
      </c>
      <c r="C249" s="13">
        <f t="shared" si="2"/>
        <v>0</v>
      </c>
      <c r="D249" s="13">
        <f t="shared" si="3"/>
        <v>0</v>
      </c>
      <c r="E249" s="13">
        <f t="shared" si="4"/>
        <v>0</v>
      </c>
      <c r="F249" s="13">
        <f t="shared" si="5"/>
        <v>1</v>
      </c>
      <c r="G249" s="13">
        <f t="shared" si="6"/>
        <v>1</v>
      </c>
      <c r="H249" s="13">
        <f>'Orbit Info'!C248*((C249*$O$2)+(D249*$O$3)+(E249*$O$4)+(F249*$O$5))</f>
        <v>2.856</v>
      </c>
      <c r="I249" s="13">
        <f t="shared" si="7"/>
        <v>5.74655</v>
      </c>
      <c r="J249" s="18">
        <f t="shared" si="8"/>
        <v>-0.04817583333</v>
      </c>
      <c r="K249" s="18">
        <f t="shared" si="10"/>
        <v>72.96972083</v>
      </c>
      <c r="L249" s="4"/>
      <c r="M249" s="4"/>
      <c r="N249" s="4"/>
      <c r="O249" s="4"/>
      <c r="P249" s="4"/>
      <c r="Q249" s="4"/>
      <c r="R249" s="4"/>
      <c r="S249" s="4"/>
      <c r="T249" s="4"/>
      <c r="U249" s="4"/>
      <c r="V249" s="4"/>
      <c r="W249" s="4"/>
    </row>
    <row r="250" ht="15.75" customHeight="1">
      <c r="A250" s="13">
        <f t="shared" si="9"/>
        <v>247</v>
      </c>
      <c r="B250" s="18">
        <f>A250/'Orbit Info'!$G$10</f>
        <v>2.610621834</v>
      </c>
      <c r="C250" s="13">
        <f t="shared" si="2"/>
        <v>0</v>
      </c>
      <c r="D250" s="13">
        <f t="shared" si="3"/>
        <v>0</v>
      </c>
      <c r="E250" s="13">
        <f t="shared" si="4"/>
        <v>0</v>
      </c>
      <c r="F250" s="13">
        <f t="shared" si="5"/>
        <v>1</v>
      </c>
      <c r="G250" s="13">
        <f t="shared" si="6"/>
        <v>1</v>
      </c>
      <c r="H250" s="13">
        <f>'Orbit Info'!C249*((C250*$O$2)+(D250*$O$3)+(E250*$O$4)+(F250*$O$5))</f>
        <v>2.856</v>
      </c>
      <c r="I250" s="13">
        <f t="shared" si="7"/>
        <v>5.74655</v>
      </c>
      <c r="J250" s="18">
        <f t="shared" si="8"/>
        <v>-0.04817583333</v>
      </c>
      <c r="K250" s="18">
        <f t="shared" si="10"/>
        <v>72.921545</v>
      </c>
      <c r="L250" s="4"/>
      <c r="M250" s="4"/>
      <c r="N250" s="4"/>
      <c r="O250" s="4"/>
      <c r="P250" s="4"/>
      <c r="Q250" s="4"/>
      <c r="R250" s="4"/>
      <c r="S250" s="4"/>
      <c r="T250" s="4"/>
      <c r="U250" s="4"/>
      <c r="V250" s="4"/>
      <c r="W250" s="4"/>
    </row>
    <row r="251" ht="15.75" customHeight="1">
      <c r="A251" s="13">
        <f t="shared" si="9"/>
        <v>248</v>
      </c>
      <c r="B251" s="18">
        <f>A251/'Orbit Info'!$G$10</f>
        <v>2.621191153</v>
      </c>
      <c r="C251" s="13">
        <f t="shared" si="2"/>
        <v>0</v>
      </c>
      <c r="D251" s="13">
        <f t="shared" si="3"/>
        <v>0</v>
      </c>
      <c r="E251" s="13">
        <f t="shared" si="4"/>
        <v>0</v>
      </c>
      <c r="F251" s="13">
        <f t="shared" si="5"/>
        <v>1</v>
      </c>
      <c r="G251" s="13">
        <f t="shared" si="6"/>
        <v>1</v>
      </c>
      <c r="H251" s="13">
        <f>'Orbit Info'!C250*((C251*$O$2)+(D251*$O$3)+(E251*$O$4)+(F251*$O$5))</f>
        <v>2.856</v>
      </c>
      <c r="I251" s="13">
        <f t="shared" si="7"/>
        <v>5.74655</v>
      </c>
      <c r="J251" s="18">
        <f t="shared" si="8"/>
        <v>-0.04817583333</v>
      </c>
      <c r="K251" s="18">
        <f t="shared" si="10"/>
        <v>72.87336917</v>
      </c>
      <c r="L251" s="4"/>
      <c r="M251" s="4"/>
      <c r="N251" s="4"/>
      <c r="O251" s="4"/>
      <c r="P251" s="4"/>
      <c r="Q251" s="4"/>
      <c r="R251" s="4"/>
      <c r="S251" s="4"/>
      <c r="T251" s="4"/>
      <c r="U251" s="4"/>
      <c r="V251" s="4"/>
      <c r="W251" s="4"/>
    </row>
    <row r="252" ht="15.75" customHeight="1">
      <c r="A252" s="13">
        <f t="shared" si="9"/>
        <v>249</v>
      </c>
      <c r="B252" s="18">
        <f>A252/'Orbit Info'!$G$10</f>
        <v>2.631760472</v>
      </c>
      <c r="C252" s="13">
        <f t="shared" si="2"/>
        <v>0</v>
      </c>
      <c r="D252" s="13">
        <f t="shared" si="3"/>
        <v>0</v>
      </c>
      <c r="E252" s="13">
        <f t="shared" si="4"/>
        <v>0</v>
      </c>
      <c r="F252" s="13">
        <f t="shared" si="5"/>
        <v>1</v>
      </c>
      <c r="G252" s="13">
        <f t="shared" si="6"/>
        <v>1</v>
      </c>
      <c r="H252" s="13">
        <f>'Orbit Info'!C251*((C252*$O$2)+(D252*$O$3)+(E252*$O$4)+(F252*$O$5))</f>
        <v>0</v>
      </c>
      <c r="I252" s="13">
        <f t="shared" si="7"/>
        <v>5.74655</v>
      </c>
      <c r="J252" s="18">
        <f t="shared" si="8"/>
        <v>-0.09577583333</v>
      </c>
      <c r="K252" s="18">
        <f t="shared" si="10"/>
        <v>72.77759333</v>
      </c>
      <c r="L252" s="4"/>
      <c r="M252" s="4"/>
      <c r="N252" s="4"/>
      <c r="O252" s="4"/>
      <c r="P252" s="4"/>
      <c r="Q252" s="4"/>
      <c r="R252" s="4"/>
      <c r="S252" s="4"/>
      <c r="T252" s="4"/>
      <c r="U252" s="4"/>
      <c r="V252" s="4"/>
      <c r="W252" s="4"/>
    </row>
    <row r="253" ht="15.75" customHeight="1">
      <c r="A253" s="13">
        <f t="shared" si="9"/>
        <v>250</v>
      </c>
      <c r="B253" s="18">
        <f>A253/'Orbit Info'!$G$10</f>
        <v>2.642329791</v>
      </c>
      <c r="C253" s="13">
        <f t="shared" si="2"/>
        <v>0</v>
      </c>
      <c r="D253" s="13">
        <f t="shared" si="3"/>
        <v>0</v>
      </c>
      <c r="E253" s="13">
        <f t="shared" si="4"/>
        <v>0</v>
      </c>
      <c r="F253" s="13">
        <f t="shared" si="5"/>
        <v>1</v>
      </c>
      <c r="G253" s="13">
        <f t="shared" si="6"/>
        <v>1</v>
      </c>
      <c r="H253" s="13">
        <f>'Orbit Info'!C252*((C253*$O$2)+(D253*$O$3)+(E253*$O$4)+(F253*$O$5))</f>
        <v>0</v>
      </c>
      <c r="I253" s="13">
        <f t="shared" si="7"/>
        <v>5.74655</v>
      </c>
      <c r="J253" s="18">
        <f t="shared" si="8"/>
        <v>-0.09577583333</v>
      </c>
      <c r="K253" s="18">
        <f t="shared" si="10"/>
        <v>72.6818175</v>
      </c>
      <c r="L253" s="4"/>
      <c r="M253" s="4"/>
      <c r="N253" s="4"/>
      <c r="O253" s="4"/>
      <c r="P253" s="4"/>
      <c r="Q253" s="4"/>
      <c r="R253" s="4"/>
      <c r="S253" s="4"/>
      <c r="T253" s="4"/>
      <c r="U253" s="4"/>
      <c r="V253" s="4"/>
      <c r="W253" s="4"/>
    </row>
    <row r="254" ht="15.75" customHeight="1">
      <c r="A254" s="13">
        <f t="shared" si="9"/>
        <v>251</v>
      </c>
      <c r="B254" s="18">
        <f>A254/'Orbit Info'!$G$10</f>
        <v>2.652899111</v>
      </c>
      <c r="C254" s="13">
        <f t="shared" si="2"/>
        <v>0</v>
      </c>
      <c r="D254" s="13">
        <f t="shared" si="3"/>
        <v>0</v>
      </c>
      <c r="E254" s="13">
        <f t="shared" si="4"/>
        <v>0</v>
      </c>
      <c r="F254" s="13">
        <f t="shared" si="5"/>
        <v>1</v>
      </c>
      <c r="G254" s="13">
        <f t="shared" si="6"/>
        <v>1</v>
      </c>
      <c r="H254" s="13">
        <f>'Orbit Info'!C253*((C254*$O$2)+(D254*$O$3)+(E254*$O$4)+(F254*$O$5))</f>
        <v>0</v>
      </c>
      <c r="I254" s="13">
        <f t="shared" si="7"/>
        <v>5.74655</v>
      </c>
      <c r="J254" s="18">
        <f t="shared" si="8"/>
        <v>-0.09577583333</v>
      </c>
      <c r="K254" s="18">
        <f t="shared" si="10"/>
        <v>72.58604167</v>
      </c>
      <c r="L254" s="4"/>
      <c r="M254" s="4"/>
      <c r="N254" s="4"/>
      <c r="O254" s="4"/>
      <c r="P254" s="4"/>
      <c r="Q254" s="4"/>
      <c r="R254" s="4"/>
      <c r="S254" s="4"/>
      <c r="T254" s="4"/>
      <c r="U254" s="4"/>
      <c r="V254" s="4"/>
      <c r="W254" s="4"/>
    </row>
    <row r="255" ht="15.75" customHeight="1">
      <c r="A255" s="13">
        <f t="shared" si="9"/>
        <v>252</v>
      </c>
      <c r="B255" s="18">
        <f>A255/'Orbit Info'!$G$10</f>
        <v>2.66346843</v>
      </c>
      <c r="C255" s="13">
        <f t="shared" si="2"/>
        <v>0</v>
      </c>
      <c r="D255" s="13">
        <f t="shared" si="3"/>
        <v>0</v>
      </c>
      <c r="E255" s="13">
        <f t="shared" si="4"/>
        <v>0</v>
      </c>
      <c r="F255" s="13">
        <f t="shared" si="5"/>
        <v>1</v>
      </c>
      <c r="G255" s="13">
        <f t="shared" si="6"/>
        <v>1</v>
      </c>
      <c r="H255" s="13">
        <f>'Orbit Info'!C254*((C255*$O$2)+(D255*$O$3)+(E255*$O$4)+(F255*$O$5))</f>
        <v>0</v>
      </c>
      <c r="I255" s="13">
        <f t="shared" si="7"/>
        <v>5.74655</v>
      </c>
      <c r="J255" s="18">
        <f t="shared" si="8"/>
        <v>-0.09577583333</v>
      </c>
      <c r="K255" s="18">
        <f t="shared" si="10"/>
        <v>72.49026583</v>
      </c>
      <c r="L255" s="4"/>
      <c r="M255" s="4"/>
      <c r="N255" s="4"/>
      <c r="O255" s="4"/>
      <c r="P255" s="4"/>
      <c r="Q255" s="4"/>
      <c r="R255" s="4"/>
      <c r="S255" s="4"/>
      <c r="T255" s="4"/>
      <c r="U255" s="4"/>
      <c r="V255" s="4"/>
      <c r="W255" s="4"/>
    </row>
    <row r="256" ht="15.75" customHeight="1">
      <c r="A256" s="13">
        <f t="shared" si="9"/>
        <v>253</v>
      </c>
      <c r="B256" s="18">
        <f>A256/'Orbit Info'!$G$10</f>
        <v>2.674037749</v>
      </c>
      <c r="C256" s="13">
        <f t="shared" si="2"/>
        <v>0</v>
      </c>
      <c r="D256" s="13">
        <f t="shared" si="3"/>
        <v>0</v>
      </c>
      <c r="E256" s="13">
        <f t="shared" si="4"/>
        <v>0</v>
      </c>
      <c r="F256" s="13">
        <f t="shared" si="5"/>
        <v>1</v>
      </c>
      <c r="G256" s="13">
        <f t="shared" si="6"/>
        <v>1</v>
      </c>
      <c r="H256" s="13">
        <f>'Orbit Info'!C255*((C256*$O$2)+(D256*$O$3)+(E256*$O$4)+(F256*$O$5))</f>
        <v>0</v>
      </c>
      <c r="I256" s="13">
        <f t="shared" si="7"/>
        <v>5.74655</v>
      </c>
      <c r="J256" s="18">
        <f t="shared" si="8"/>
        <v>-0.09577583333</v>
      </c>
      <c r="K256" s="18">
        <f t="shared" si="10"/>
        <v>72.39449</v>
      </c>
      <c r="L256" s="4"/>
      <c r="M256" s="4"/>
      <c r="N256" s="4"/>
      <c r="O256" s="4"/>
      <c r="P256" s="4"/>
      <c r="Q256" s="4"/>
      <c r="R256" s="4"/>
      <c r="S256" s="4"/>
      <c r="T256" s="4"/>
      <c r="U256" s="4"/>
      <c r="V256" s="4"/>
      <c r="W256" s="4"/>
    </row>
    <row r="257" ht="15.75" customHeight="1">
      <c r="A257" s="13">
        <f t="shared" si="9"/>
        <v>254</v>
      </c>
      <c r="B257" s="18">
        <f>A257/'Orbit Info'!$G$10</f>
        <v>2.684607068</v>
      </c>
      <c r="C257" s="13">
        <f t="shared" si="2"/>
        <v>0</v>
      </c>
      <c r="D257" s="13">
        <f t="shared" si="3"/>
        <v>0</v>
      </c>
      <c r="E257" s="13">
        <f t="shared" si="4"/>
        <v>0</v>
      </c>
      <c r="F257" s="13">
        <f t="shared" si="5"/>
        <v>1</v>
      </c>
      <c r="G257" s="13">
        <f t="shared" si="6"/>
        <v>1</v>
      </c>
      <c r="H257" s="13">
        <f>'Orbit Info'!C256*((C257*$O$2)+(D257*$O$3)+(E257*$O$4)+(F257*$O$5))</f>
        <v>0</v>
      </c>
      <c r="I257" s="13">
        <f t="shared" si="7"/>
        <v>5.74655</v>
      </c>
      <c r="J257" s="18">
        <f t="shared" si="8"/>
        <v>-0.09577583333</v>
      </c>
      <c r="K257" s="18">
        <f t="shared" si="10"/>
        <v>72.29871417</v>
      </c>
      <c r="L257" s="4"/>
      <c r="M257" s="4"/>
      <c r="N257" s="4"/>
      <c r="O257" s="4"/>
      <c r="P257" s="4"/>
      <c r="Q257" s="4"/>
      <c r="R257" s="4"/>
      <c r="S257" s="4"/>
      <c r="T257" s="4"/>
      <c r="U257" s="4"/>
      <c r="V257" s="4"/>
      <c r="W257" s="4"/>
    </row>
    <row r="258" ht="15.75" customHeight="1">
      <c r="A258" s="13">
        <f t="shared" si="9"/>
        <v>255</v>
      </c>
      <c r="B258" s="18">
        <f>A258/'Orbit Info'!$G$10</f>
        <v>2.695176387</v>
      </c>
      <c r="C258" s="13">
        <f t="shared" si="2"/>
        <v>0</v>
      </c>
      <c r="D258" s="13">
        <f t="shared" si="3"/>
        <v>0</v>
      </c>
      <c r="E258" s="13">
        <f t="shared" si="4"/>
        <v>0</v>
      </c>
      <c r="F258" s="13">
        <f t="shared" si="5"/>
        <v>1</v>
      </c>
      <c r="G258" s="13">
        <f t="shared" si="6"/>
        <v>1</v>
      </c>
      <c r="H258" s="13">
        <f>'Orbit Info'!C257*((C258*$O$2)+(D258*$O$3)+(E258*$O$4)+(F258*$O$5))</f>
        <v>0</v>
      </c>
      <c r="I258" s="13">
        <f t="shared" si="7"/>
        <v>5.74655</v>
      </c>
      <c r="J258" s="18">
        <f t="shared" si="8"/>
        <v>-0.09577583333</v>
      </c>
      <c r="K258" s="18">
        <f t="shared" si="10"/>
        <v>72.20293833</v>
      </c>
      <c r="L258" s="4"/>
      <c r="M258" s="4"/>
      <c r="N258" s="4"/>
      <c r="O258" s="4"/>
      <c r="P258" s="4"/>
      <c r="Q258" s="4"/>
      <c r="R258" s="4"/>
      <c r="S258" s="4"/>
      <c r="T258" s="4"/>
      <c r="U258" s="4"/>
      <c r="V258" s="4"/>
      <c r="W258" s="4"/>
    </row>
    <row r="259" ht="15.75" customHeight="1">
      <c r="A259" s="13">
        <f t="shared" si="9"/>
        <v>256</v>
      </c>
      <c r="B259" s="18">
        <f>A259/'Orbit Info'!$G$10</f>
        <v>2.705745706</v>
      </c>
      <c r="C259" s="13">
        <f t="shared" si="2"/>
        <v>0</v>
      </c>
      <c r="D259" s="13">
        <f t="shared" si="3"/>
        <v>0</v>
      </c>
      <c r="E259" s="13">
        <f t="shared" si="4"/>
        <v>0</v>
      </c>
      <c r="F259" s="13">
        <f t="shared" si="5"/>
        <v>1</v>
      </c>
      <c r="G259" s="13">
        <f t="shared" si="6"/>
        <v>1</v>
      </c>
      <c r="H259" s="13">
        <f>'Orbit Info'!C258*((C259*$O$2)+(D259*$O$3)+(E259*$O$4)+(F259*$O$5))</f>
        <v>0</v>
      </c>
      <c r="I259" s="13">
        <f t="shared" si="7"/>
        <v>5.74655</v>
      </c>
      <c r="J259" s="18">
        <f t="shared" si="8"/>
        <v>-0.09577583333</v>
      </c>
      <c r="K259" s="18">
        <f t="shared" si="10"/>
        <v>72.1071625</v>
      </c>
      <c r="L259" s="4"/>
      <c r="M259" s="4"/>
      <c r="N259" s="4"/>
      <c r="O259" s="4"/>
      <c r="P259" s="4"/>
      <c r="Q259" s="4"/>
      <c r="R259" s="4"/>
      <c r="S259" s="4"/>
      <c r="T259" s="4"/>
      <c r="U259" s="4"/>
      <c r="V259" s="4"/>
      <c r="W259" s="4"/>
    </row>
    <row r="260" ht="15.75" customHeight="1">
      <c r="A260" s="13">
        <f t="shared" si="9"/>
        <v>257</v>
      </c>
      <c r="B260" s="18">
        <f>A260/'Orbit Info'!$G$10</f>
        <v>2.716315026</v>
      </c>
      <c r="C260" s="13">
        <f t="shared" si="2"/>
        <v>0</v>
      </c>
      <c r="D260" s="13">
        <f t="shared" si="3"/>
        <v>0</v>
      </c>
      <c r="E260" s="13">
        <f t="shared" si="4"/>
        <v>0</v>
      </c>
      <c r="F260" s="13">
        <f t="shared" si="5"/>
        <v>1</v>
      </c>
      <c r="G260" s="13">
        <f t="shared" si="6"/>
        <v>1</v>
      </c>
      <c r="H260" s="13">
        <f>'Orbit Info'!C259*((C260*$O$2)+(D260*$O$3)+(E260*$O$4)+(F260*$O$5))</f>
        <v>0</v>
      </c>
      <c r="I260" s="13">
        <f t="shared" si="7"/>
        <v>5.74655</v>
      </c>
      <c r="J260" s="18">
        <f t="shared" si="8"/>
        <v>-0.09577583333</v>
      </c>
      <c r="K260" s="18">
        <f t="shared" si="10"/>
        <v>72.01138667</v>
      </c>
      <c r="L260" s="4"/>
      <c r="M260" s="4"/>
      <c r="N260" s="4"/>
      <c r="O260" s="4"/>
      <c r="P260" s="4"/>
      <c r="Q260" s="4"/>
      <c r="R260" s="4"/>
      <c r="S260" s="4"/>
      <c r="T260" s="4"/>
      <c r="U260" s="4"/>
      <c r="V260" s="4"/>
      <c r="W260" s="4"/>
    </row>
    <row r="261" ht="15.75" customHeight="1">
      <c r="A261" s="13">
        <f t="shared" si="9"/>
        <v>258</v>
      </c>
      <c r="B261" s="18">
        <f>A261/'Orbit Info'!$G$10</f>
        <v>2.726884345</v>
      </c>
      <c r="C261" s="13">
        <f t="shared" si="2"/>
        <v>0</v>
      </c>
      <c r="D261" s="13">
        <f t="shared" si="3"/>
        <v>0</v>
      </c>
      <c r="E261" s="13">
        <f t="shared" si="4"/>
        <v>0</v>
      </c>
      <c r="F261" s="13">
        <f t="shared" si="5"/>
        <v>1</v>
      </c>
      <c r="G261" s="13">
        <f t="shared" si="6"/>
        <v>1</v>
      </c>
      <c r="H261" s="13">
        <f>'Orbit Info'!C260*((C261*$O$2)+(D261*$O$3)+(E261*$O$4)+(F261*$O$5))</f>
        <v>0</v>
      </c>
      <c r="I261" s="13">
        <f t="shared" si="7"/>
        <v>5.74655</v>
      </c>
      <c r="J261" s="18">
        <f t="shared" si="8"/>
        <v>-0.09577583333</v>
      </c>
      <c r="K261" s="18">
        <f t="shared" si="10"/>
        <v>71.91561083</v>
      </c>
      <c r="L261" s="4"/>
      <c r="M261" s="4"/>
      <c r="N261" s="4"/>
      <c r="O261" s="4"/>
      <c r="P261" s="4"/>
      <c r="Q261" s="4"/>
      <c r="R261" s="4"/>
      <c r="S261" s="4"/>
      <c r="T261" s="4"/>
      <c r="U261" s="4"/>
      <c r="V261" s="4"/>
      <c r="W261" s="4"/>
    </row>
    <row r="262" ht="15.75" customHeight="1">
      <c r="A262" s="13">
        <f t="shared" si="9"/>
        <v>259</v>
      </c>
      <c r="B262" s="18">
        <f>A262/'Orbit Info'!$G$10</f>
        <v>2.737453664</v>
      </c>
      <c r="C262" s="13">
        <f t="shared" si="2"/>
        <v>0</v>
      </c>
      <c r="D262" s="13">
        <f t="shared" si="3"/>
        <v>0</v>
      </c>
      <c r="E262" s="13">
        <f t="shared" si="4"/>
        <v>0</v>
      </c>
      <c r="F262" s="13">
        <f t="shared" si="5"/>
        <v>1</v>
      </c>
      <c r="G262" s="13">
        <f t="shared" si="6"/>
        <v>1</v>
      </c>
      <c r="H262" s="13">
        <f>'Orbit Info'!C261*((C262*$O$2)+(D262*$O$3)+(E262*$O$4)+(F262*$O$5))</f>
        <v>0</v>
      </c>
      <c r="I262" s="13">
        <f t="shared" si="7"/>
        <v>5.74655</v>
      </c>
      <c r="J262" s="18">
        <f t="shared" si="8"/>
        <v>-0.09577583333</v>
      </c>
      <c r="K262" s="18">
        <f t="shared" si="10"/>
        <v>71.819835</v>
      </c>
      <c r="L262" s="4"/>
      <c r="M262" s="4"/>
      <c r="N262" s="4"/>
      <c r="O262" s="4"/>
      <c r="P262" s="4"/>
      <c r="Q262" s="4"/>
      <c r="R262" s="4"/>
      <c r="S262" s="4"/>
      <c r="T262" s="4"/>
      <c r="U262" s="4"/>
      <c r="V262" s="4"/>
      <c r="W262" s="4"/>
    </row>
    <row r="263" ht="15.75" customHeight="1">
      <c r="A263" s="13">
        <f t="shared" si="9"/>
        <v>260</v>
      </c>
      <c r="B263" s="18">
        <f>A263/'Orbit Info'!$G$10</f>
        <v>2.748022983</v>
      </c>
      <c r="C263" s="13">
        <f t="shared" si="2"/>
        <v>0</v>
      </c>
      <c r="D263" s="13">
        <f t="shared" si="3"/>
        <v>0</v>
      </c>
      <c r="E263" s="13">
        <f t="shared" si="4"/>
        <v>0</v>
      </c>
      <c r="F263" s="13">
        <f t="shared" si="5"/>
        <v>1</v>
      </c>
      <c r="G263" s="13">
        <f t="shared" si="6"/>
        <v>1</v>
      </c>
      <c r="H263" s="13">
        <f>'Orbit Info'!C262*((C263*$O$2)+(D263*$O$3)+(E263*$O$4)+(F263*$O$5))</f>
        <v>0</v>
      </c>
      <c r="I263" s="13">
        <f t="shared" si="7"/>
        <v>5.74655</v>
      </c>
      <c r="J263" s="18">
        <f t="shared" si="8"/>
        <v>-0.09577583333</v>
      </c>
      <c r="K263" s="18">
        <f t="shared" si="10"/>
        <v>71.72405917</v>
      </c>
      <c r="L263" s="4"/>
      <c r="M263" s="4"/>
      <c r="N263" s="4"/>
      <c r="O263" s="4"/>
      <c r="P263" s="4"/>
      <c r="Q263" s="4"/>
      <c r="R263" s="4"/>
      <c r="S263" s="4"/>
      <c r="T263" s="4"/>
      <c r="U263" s="4"/>
      <c r="V263" s="4"/>
      <c r="W263" s="4"/>
    </row>
    <row r="264" ht="15.75" customHeight="1">
      <c r="A264" s="13">
        <f t="shared" si="9"/>
        <v>261</v>
      </c>
      <c r="B264" s="18">
        <f>A264/'Orbit Info'!$G$10</f>
        <v>2.758592302</v>
      </c>
      <c r="C264" s="13">
        <f t="shared" si="2"/>
        <v>0</v>
      </c>
      <c r="D264" s="13">
        <f t="shared" si="3"/>
        <v>0</v>
      </c>
      <c r="E264" s="13">
        <f t="shared" si="4"/>
        <v>0</v>
      </c>
      <c r="F264" s="13">
        <f t="shared" si="5"/>
        <v>1</v>
      </c>
      <c r="G264" s="13">
        <f t="shared" si="6"/>
        <v>1</v>
      </c>
      <c r="H264" s="13">
        <f>'Orbit Info'!C263*((C264*$O$2)+(D264*$O$3)+(E264*$O$4)+(F264*$O$5))</f>
        <v>0</v>
      </c>
      <c r="I264" s="13">
        <f t="shared" si="7"/>
        <v>5.74655</v>
      </c>
      <c r="J264" s="18">
        <f t="shared" si="8"/>
        <v>-0.09577583333</v>
      </c>
      <c r="K264" s="18">
        <f t="shared" si="10"/>
        <v>71.62828333</v>
      </c>
      <c r="L264" s="4"/>
      <c r="M264" s="4"/>
      <c r="N264" s="4"/>
      <c r="O264" s="4"/>
      <c r="P264" s="4"/>
      <c r="Q264" s="4"/>
      <c r="R264" s="4"/>
      <c r="S264" s="4"/>
      <c r="T264" s="4"/>
      <c r="U264" s="4"/>
      <c r="V264" s="4"/>
      <c r="W264" s="4"/>
    </row>
    <row r="265" ht="15.75" customHeight="1">
      <c r="A265" s="13">
        <f t="shared" si="9"/>
        <v>262</v>
      </c>
      <c r="B265" s="18">
        <f>A265/'Orbit Info'!$G$10</f>
        <v>2.769161621</v>
      </c>
      <c r="C265" s="13">
        <f t="shared" si="2"/>
        <v>0</v>
      </c>
      <c r="D265" s="13">
        <f t="shared" si="3"/>
        <v>0</v>
      </c>
      <c r="E265" s="13">
        <f t="shared" si="4"/>
        <v>0</v>
      </c>
      <c r="F265" s="13">
        <f t="shared" si="5"/>
        <v>1</v>
      </c>
      <c r="G265" s="13">
        <f t="shared" si="6"/>
        <v>1</v>
      </c>
      <c r="H265" s="13">
        <f>'Orbit Info'!C264*((C265*$O$2)+(D265*$O$3)+(E265*$O$4)+(F265*$O$5))</f>
        <v>0</v>
      </c>
      <c r="I265" s="13">
        <f t="shared" si="7"/>
        <v>5.74655</v>
      </c>
      <c r="J265" s="18">
        <f t="shared" si="8"/>
        <v>-0.09577583333</v>
      </c>
      <c r="K265" s="18">
        <f t="shared" si="10"/>
        <v>71.5325075</v>
      </c>
      <c r="L265" s="4"/>
      <c r="M265" s="4"/>
      <c r="N265" s="4"/>
      <c r="O265" s="4"/>
      <c r="P265" s="4"/>
      <c r="Q265" s="4"/>
      <c r="R265" s="4"/>
      <c r="S265" s="4"/>
      <c r="T265" s="4"/>
      <c r="U265" s="4"/>
      <c r="V265" s="4"/>
      <c r="W265" s="4"/>
    </row>
    <row r="266" ht="15.75" customHeight="1">
      <c r="A266" s="13">
        <f t="shared" si="9"/>
        <v>263</v>
      </c>
      <c r="B266" s="18">
        <f>A266/'Orbit Info'!$G$10</f>
        <v>2.779730941</v>
      </c>
      <c r="C266" s="13">
        <f t="shared" si="2"/>
        <v>0</v>
      </c>
      <c r="D266" s="13">
        <f t="shared" si="3"/>
        <v>0</v>
      </c>
      <c r="E266" s="13">
        <f t="shared" si="4"/>
        <v>0</v>
      </c>
      <c r="F266" s="13">
        <f t="shared" si="5"/>
        <v>1</v>
      </c>
      <c r="G266" s="13">
        <f t="shared" si="6"/>
        <v>1</v>
      </c>
      <c r="H266" s="13">
        <f>'Orbit Info'!C265*((C266*$O$2)+(D266*$O$3)+(E266*$O$4)+(F266*$O$5))</f>
        <v>0</v>
      </c>
      <c r="I266" s="13">
        <f t="shared" si="7"/>
        <v>5.74655</v>
      </c>
      <c r="J266" s="18">
        <f t="shared" si="8"/>
        <v>-0.09577583333</v>
      </c>
      <c r="K266" s="18">
        <f t="shared" si="10"/>
        <v>71.43673167</v>
      </c>
      <c r="L266" s="4"/>
      <c r="M266" s="4"/>
      <c r="N266" s="4"/>
      <c r="O266" s="4"/>
      <c r="P266" s="4"/>
      <c r="Q266" s="4"/>
      <c r="R266" s="4"/>
      <c r="S266" s="4"/>
      <c r="T266" s="4"/>
      <c r="U266" s="4"/>
      <c r="V266" s="4"/>
      <c r="W266" s="4"/>
    </row>
    <row r="267" ht="15.75" customHeight="1">
      <c r="A267" s="13">
        <f t="shared" si="9"/>
        <v>264</v>
      </c>
      <c r="B267" s="18">
        <f>A267/'Orbit Info'!$G$10</f>
        <v>2.79030026</v>
      </c>
      <c r="C267" s="13">
        <f t="shared" si="2"/>
        <v>0</v>
      </c>
      <c r="D267" s="13">
        <f t="shared" si="3"/>
        <v>0</v>
      </c>
      <c r="E267" s="13">
        <f t="shared" si="4"/>
        <v>0</v>
      </c>
      <c r="F267" s="13">
        <f t="shared" si="5"/>
        <v>1</v>
      </c>
      <c r="G267" s="13">
        <f t="shared" si="6"/>
        <v>1</v>
      </c>
      <c r="H267" s="13">
        <f>'Orbit Info'!C266*((C267*$O$2)+(D267*$O$3)+(E267*$O$4)+(F267*$O$5))</f>
        <v>0</v>
      </c>
      <c r="I267" s="13">
        <f t="shared" si="7"/>
        <v>5.74655</v>
      </c>
      <c r="J267" s="18">
        <f t="shared" si="8"/>
        <v>-0.09577583333</v>
      </c>
      <c r="K267" s="18">
        <f t="shared" si="10"/>
        <v>71.34095583</v>
      </c>
      <c r="L267" s="4"/>
      <c r="M267" s="4"/>
      <c r="N267" s="4"/>
      <c r="O267" s="4"/>
      <c r="P267" s="4"/>
      <c r="Q267" s="4"/>
      <c r="R267" s="4"/>
      <c r="S267" s="4"/>
      <c r="T267" s="4"/>
      <c r="U267" s="4"/>
      <c r="V267" s="4"/>
      <c r="W267" s="4"/>
    </row>
    <row r="268" ht="15.75" customHeight="1">
      <c r="A268" s="13">
        <f t="shared" si="9"/>
        <v>265</v>
      </c>
      <c r="B268" s="18">
        <f>A268/'Orbit Info'!$G$10</f>
        <v>2.800869579</v>
      </c>
      <c r="C268" s="13">
        <f t="shared" si="2"/>
        <v>0</v>
      </c>
      <c r="D268" s="13">
        <f t="shared" si="3"/>
        <v>0</v>
      </c>
      <c r="E268" s="13">
        <f t="shared" si="4"/>
        <v>0</v>
      </c>
      <c r="F268" s="13">
        <f t="shared" si="5"/>
        <v>1</v>
      </c>
      <c r="G268" s="13">
        <f t="shared" si="6"/>
        <v>1</v>
      </c>
      <c r="H268" s="13">
        <f>'Orbit Info'!C267*((C268*$O$2)+(D268*$O$3)+(E268*$O$4)+(F268*$O$5))</f>
        <v>0</v>
      </c>
      <c r="I268" s="13">
        <f t="shared" si="7"/>
        <v>5.74655</v>
      </c>
      <c r="J268" s="18">
        <f t="shared" si="8"/>
        <v>-0.09577583333</v>
      </c>
      <c r="K268" s="18">
        <f t="shared" si="10"/>
        <v>71.24518</v>
      </c>
      <c r="L268" s="4"/>
      <c r="M268" s="4"/>
      <c r="N268" s="4"/>
      <c r="O268" s="4"/>
      <c r="P268" s="4"/>
      <c r="Q268" s="4"/>
      <c r="R268" s="4"/>
      <c r="S268" s="4"/>
      <c r="T268" s="4"/>
      <c r="U268" s="4"/>
      <c r="V268" s="4"/>
      <c r="W268" s="4"/>
    </row>
    <row r="269" ht="15.75" customHeight="1">
      <c r="A269" s="13">
        <f t="shared" si="9"/>
        <v>266</v>
      </c>
      <c r="B269" s="18">
        <f>A269/'Orbit Info'!$G$10</f>
        <v>2.811438898</v>
      </c>
      <c r="C269" s="13">
        <f t="shared" si="2"/>
        <v>0</v>
      </c>
      <c r="D269" s="13">
        <f t="shared" si="3"/>
        <v>0</v>
      </c>
      <c r="E269" s="13">
        <f t="shared" si="4"/>
        <v>0</v>
      </c>
      <c r="F269" s="13">
        <f t="shared" si="5"/>
        <v>1</v>
      </c>
      <c r="G269" s="13">
        <f t="shared" si="6"/>
        <v>1</v>
      </c>
      <c r="H269" s="13">
        <f>'Orbit Info'!C268*((C269*$O$2)+(D269*$O$3)+(E269*$O$4)+(F269*$O$5))</f>
        <v>0</v>
      </c>
      <c r="I269" s="13">
        <f t="shared" si="7"/>
        <v>5.74655</v>
      </c>
      <c r="J269" s="18">
        <f t="shared" si="8"/>
        <v>-0.09577583333</v>
      </c>
      <c r="K269" s="18">
        <f t="shared" si="10"/>
        <v>71.14940417</v>
      </c>
      <c r="L269" s="4"/>
      <c r="M269" s="4"/>
      <c r="N269" s="4"/>
      <c r="O269" s="4"/>
      <c r="P269" s="4"/>
      <c r="Q269" s="4"/>
      <c r="R269" s="4"/>
      <c r="S269" s="4"/>
      <c r="T269" s="4"/>
      <c r="U269" s="4"/>
      <c r="V269" s="4"/>
      <c r="W269" s="4"/>
    </row>
    <row r="270" ht="15.75" customHeight="1">
      <c r="A270" s="13">
        <f t="shared" si="9"/>
        <v>267</v>
      </c>
      <c r="B270" s="18">
        <f>A270/'Orbit Info'!$G$10</f>
        <v>2.822008217</v>
      </c>
      <c r="C270" s="13">
        <f t="shared" si="2"/>
        <v>0</v>
      </c>
      <c r="D270" s="13">
        <f t="shared" si="3"/>
        <v>0</v>
      </c>
      <c r="E270" s="13">
        <f t="shared" si="4"/>
        <v>0</v>
      </c>
      <c r="F270" s="13">
        <f t="shared" si="5"/>
        <v>1</v>
      </c>
      <c r="G270" s="13">
        <f t="shared" si="6"/>
        <v>1</v>
      </c>
      <c r="H270" s="13">
        <f>'Orbit Info'!C269*((C270*$O$2)+(D270*$O$3)+(E270*$O$4)+(F270*$O$5))</f>
        <v>0</v>
      </c>
      <c r="I270" s="13">
        <f t="shared" si="7"/>
        <v>5.74655</v>
      </c>
      <c r="J270" s="18">
        <f t="shared" si="8"/>
        <v>-0.09577583333</v>
      </c>
      <c r="K270" s="18">
        <f t="shared" si="10"/>
        <v>71.05362833</v>
      </c>
      <c r="L270" s="4"/>
      <c r="M270" s="4"/>
      <c r="N270" s="4"/>
      <c r="O270" s="4"/>
      <c r="P270" s="4"/>
      <c r="Q270" s="4"/>
      <c r="R270" s="4"/>
      <c r="S270" s="4"/>
      <c r="T270" s="4"/>
      <c r="U270" s="4"/>
      <c r="V270" s="4"/>
      <c r="W270" s="4"/>
    </row>
    <row r="271" ht="15.75" customHeight="1">
      <c r="A271" s="13">
        <f t="shared" si="9"/>
        <v>268</v>
      </c>
      <c r="B271" s="18">
        <f>A271/'Orbit Info'!$G$10</f>
        <v>2.832577536</v>
      </c>
      <c r="C271" s="13">
        <f t="shared" si="2"/>
        <v>0</v>
      </c>
      <c r="D271" s="13">
        <f t="shared" si="3"/>
        <v>0</v>
      </c>
      <c r="E271" s="13">
        <f t="shared" si="4"/>
        <v>0</v>
      </c>
      <c r="F271" s="13">
        <f t="shared" si="5"/>
        <v>1</v>
      </c>
      <c r="G271" s="13">
        <f t="shared" si="6"/>
        <v>1</v>
      </c>
      <c r="H271" s="13">
        <f>'Orbit Info'!C270*((C271*$O$2)+(D271*$O$3)+(E271*$O$4)+(F271*$O$5))</f>
        <v>0</v>
      </c>
      <c r="I271" s="13">
        <f t="shared" si="7"/>
        <v>5.74655</v>
      </c>
      <c r="J271" s="18">
        <f t="shared" si="8"/>
        <v>-0.09577583333</v>
      </c>
      <c r="K271" s="18">
        <f t="shared" si="10"/>
        <v>70.9578525</v>
      </c>
      <c r="L271" s="4"/>
      <c r="M271" s="4"/>
      <c r="N271" s="4"/>
      <c r="O271" s="4"/>
      <c r="P271" s="4"/>
      <c r="Q271" s="4"/>
      <c r="R271" s="4"/>
      <c r="S271" s="4"/>
      <c r="T271" s="4"/>
      <c r="U271" s="4"/>
      <c r="V271" s="4"/>
      <c r="W271" s="4"/>
    </row>
    <row r="272" ht="15.75" customHeight="1">
      <c r="A272" s="13">
        <f t="shared" si="9"/>
        <v>269</v>
      </c>
      <c r="B272" s="18">
        <f>A272/'Orbit Info'!$G$10</f>
        <v>2.843146856</v>
      </c>
      <c r="C272" s="13">
        <f t="shared" si="2"/>
        <v>0</v>
      </c>
      <c r="D272" s="13">
        <f t="shared" si="3"/>
        <v>0</v>
      </c>
      <c r="E272" s="13">
        <f t="shared" si="4"/>
        <v>0</v>
      </c>
      <c r="F272" s="13">
        <f t="shared" si="5"/>
        <v>1</v>
      </c>
      <c r="G272" s="13">
        <f t="shared" si="6"/>
        <v>1</v>
      </c>
      <c r="H272" s="13">
        <f>'Orbit Info'!C271*((C272*$O$2)+(D272*$O$3)+(E272*$O$4)+(F272*$O$5))</f>
        <v>0</v>
      </c>
      <c r="I272" s="13">
        <f t="shared" si="7"/>
        <v>5.74655</v>
      </c>
      <c r="J272" s="18">
        <f t="shared" si="8"/>
        <v>-0.09577583333</v>
      </c>
      <c r="K272" s="18">
        <f t="shared" si="10"/>
        <v>70.86207667</v>
      </c>
      <c r="L272" s="4"/>
      <c r="M272" s="4"/>
      <c r="N272" s="4"/>
      <c r="O272" s="4"/>
      <c r="P272" s="4"/>
      <c r="Q272" s="4"/>
      <c r="R272" s="4"/>
      <c r="S272" s="4"/>
      <c r="T272" s="4"/>
      <c r="U272" s="4"/>
      <c r="V272" s="4"/>
      <c r="W272" s="4"/>
    </row>
    <row r="273" ht="15.75" customHeight="1">
      <c r="A273" s="13">
        <f t="shared" si="9"/>
        <v>270</v>
      </c>
      <c r="B273" s="18">
        <f>A273/'Orbit Info'!$G$10</f>
        <v>2.853716175</v>
      </c>
      <c r="C273" s="13">
        <f t="shared" si="2"/>
        <v>0</v>
      </c>
      <c r="D273" s="13">
        <f t="shared" si="3"/>
        <v>0</v>
      </c>
      <c r="E273" s="13">
        <f t="shared" si="4"/>
        <v>0</v>
      </c>
      <c r="F273" s="13">
        <f t="shared" si="5"/>
        <v>1</v>
      </c>
      <c r="G273" s="13">
        <f t="shared" si="6"/>
        <v>1</v>
      </c>
      <c r="H273" s="13">
        <f>'Orbit Info'!C272*((C273*$O$2)+(D273*$O$3)+(E273*$O$4)+(F273*$O$5))</f>
        <v>0</v>
      </c>
      <c r="I273" s="13">
        <f t="shared" si="7"/>
        <v>5.74655</v>
      </c>
      <c r="J273" s="18">
        <f t="shared" si="8"/>
        <v>-0.09577583333</v>
      </c>
      <c r="K273" s="18">
        <f t="shared" si="10"/>
        <v>70.76630083</v>
      </c>
      <c r="L273" s="4"/>
      <c r="M273" s="4"/>
      <c r="N273" s="4"/>
      <c r="O273" s="4"/>
      <c r="P273" s="4"/>
      <c r="Q273" s="4"/>
      <c r="R273" s="4"/>
      <c r="S273" s="4"/>
      <c r="T273" s="4"/>
      <c r="U273" s="4"/>
      <c r="V273" s="4"/>
      <c r="W273" s="4"/>
    </row>
    <row r="274" ht="15.75" customHeight="1">
      <c r="A274" s="13">
        <f t="shared" si="9"/>
        <v>271</v>
      </c>
      <c r="B274" s="18">
        <f>A274/'Orbit Info'!$G$10</f>
        <v>2.864285494</v>
      </c>
      <c r="C274" s="13">
        <f t="shared" si="2"/>
        <v>1</v>
      </c>
      <c r="D274" s="13">
        <f t="shared" si="3"/>
        <v>0</v>
      </c>
      <c r="E274" s="13">
        <f t="shared" si="4"/>
        <v>0</v>
      </c>
      <c r="F274" s="13">
        <f t="shared" si="5"/>
        <v>0</v>
      </c>
      <c r="G274" s="13">
        <f t="shared" si="6"/>
        <v>1</v>
      </c>
      <c r="H274" s="13">
        <f>'Orbit Info'!C273*((C274*$O$2)+(D274*$O$3)+(E274*$O$4)+(F274*$O$5))</f>
        <v>0</v>
      </c>
      <c r="I274" s="13">
        <f t="shared" si="7"/>
        <v>7.17578</v>
      </c>
      <c r="J274" s="18">
        <f t="shared" si="8"/>
        <v>-0.1195963333</v>
      </c>
      <c r="K274" s="18">
        <f t="shared" si="10"/>
        <v>70.6467045</v>
      </c>
      <c r="L274" s="4"/>
      <c r="M274" s="4"/>
      <c r="N274" s="4"/>
      <c r="O274" s="4"/>
      <c r="P274" s="4"/>
      <c r="Q274" s="4"/>
      <c r="R274" s="4"/>
      <c r="S274" s="4"/>
      <c r="T274" s="4"/>
      <c r="U274" s="4"/>
      <c r="V274" s="4"/>
      <c r="W274" s="4"/>
    </row>
    <row r="275" ht="15.75" customHeight="1">
      <c r="A275" s="13">
        <f t="shared" si="9"/>
        <v>272</v>
      </c>
      <c r="B275" s="18">
        <f>A275/'Orbit Info'!$G$10</f>
        <v>2.874854813</v>
      </c>
      <c r="C275" s="13">
        <f t="shared" si="2"/>
        <v>1</v>
      </c>
      <c r="D275" s="13">
        <f t="shared" si="3"/>
        <v>0</v>
      </c>
      <c r="E275" s="13">
        <f t="shared" si="4"/>
        <v>0</v>
      </c>
      <c r="F275" s="13">
        <f t="shared" si="5"/>
        <v>0</v>
      </c>
      <c r="G275" s="13">
        <f t="shared" si="6"/>
        <v>1</v>
      </c>
      <c r="H275" s="13">
        <f>'Orbit Info'!C274*((C275*$O$2)+(D275*$O$3)+(E275*$O$4)+(F275*$O$5))</f>
        <v>0</v>
      </c>
      <c r="I275" s="13">
        <f t="shared" si="7"/>
        <v>7.17578</v>
      </c>
      <c r="J275" s="18">
        <f t="shared" si="8"/>
        <v>-0.1195963333</v>
      </c>
      <c r="K275" s="18">
        <f t="shared" si="10"/>
        <v>70.52710817</v>
      </c>
      <c r="L275" s="4"/>
      <c r="M275" s="4"/>
      <c r="N275" s="4"/>
      <c r="O275" s="4"/>
      <c r="P275" s="4"/>
      <c r="Q275" s="4"/>
      <c r="R275" s="4"/>
      <c r="S275" s="4"/>
      <c r="T275" s="4"/>
      <c r="U275" s="4"/>
      <c r="V275" s="4"/>
      <c r="W275" s="4"/>
    </row>
    <row r="276" ht="15.75" customHeight="1">
      <c r="A276" s="13">
        <f t="shared" si="9"/>
        <v>273</v>
      </c>
      <c r="B276" s="18">
        <f>A276/'Orbit Info'!$G$10</f>
        <v>2.885424132</v>
      </c>
      <c r="C276" s="13">
        <f t="shared" si="2"/>
        <v>1</v>
      </c>
      <c r="D276" s="13">
        <f t="shared" si="3"/>
        <v>0</v>
      </c>
      <c r="E276" s="13">
        <f t="shared" si="4"/>
        <v>0</v>
      </c>
      <c r="F276" s="13">
        <f t="shared" si="5"/>
        <v>0</v>
      </c>
      <c r="G276" s="13">
        <f t="shared" si="6"/>
        <v>1</v>
      </c>
      <c r="H276" s="13">
        <f>'Orbit Info'!C275*((C276*$O$2)+(D276*$O$3)+(E276*$O$4)+(F276*$O$5))</f>
        <v>0</v>
      </c>
      <c r="I276" s="13">
        <f t="shared" si="7"/>
        <v>7.17578</v>
      </c>
      <c r="J276" s="18">
        <f t="shared" si="8"/>
        <v>-0.1195963333</v>
      </c>
      <c r="K276" s="18">
        <f t="shared" si="10"/>
        <v>70.40751183</v>
      </c>
      <c r="L276" s="4"/>
      <c r="M276" s="4"/>
      <c r="N276" s="4"/>
      <c r="O276" s="4"/>
      <c r="P276" s="4"/>
      <c r="Q276" s="4"/>
      <c r="R276" s="4"/>
      <c r="S276" s="4"/>
      <c r="T276" s="4"/>
      <c r="U276" s="4"/>
      <c r="V276" s="4"/>
      <c r="W276" s="4"/>
    </row>
    <row r="277" ht="15.75" customHeight="1">
      <c r="A277" s="13">
        <f t="shared" si="9"/>
        <v>274</v>
      </c>
      <c r="B277" s="18">
        <f>A277/'Orbit Info'!$G$10</f>
        <v>2.895993451</v>
      </c>
      <c r="C277" s="13">
        <f t="shared" si="2"/>
        <v>1</v>
      </c>
      <c r="D277" s="13">
        <f t="shared" si="3"/>
        <v>0</v>
      </c>
      <c r="E277" s="13">
        <f t="shared" si="4"/>
        <v>0</v>
      </c>
      <c r="F277" s="13">
        <f t="shared" si="5"/>
        <v>0</v>
      </c>
      <c r="G277" s="13">
        <f t="shared" si="6"/>
        <v>1</v>
      </c>
      <c r="H277" s="13">
        <f>'Orbit Info'!C276*((C277*$O$2)+(D277*$O$3)+(E277*$O$4)+(F277*$O$5))</f>
        <v>0</v>
      </c>
      <c r="I277" s="13">
        <f t="shared" si="7"/>
        <v>7.17578</v>
      </c>
      <c r="J277" s="18">
        <f t="shared" si="8"/>
        <v>-0.1195963333</v>
      </c>
      <c r="K277" s="18">
        <f t="shared" si="10"/>
        <v>70.2879155</v>
      </c>
      <c r="L277" s="4"/>
      <c r="M277" s="4"/>
      <c r="N277" s="4"/>
      <c r="O277" s="4"/>
      <c r="P277" s="4"/>
      <c r="Q277" s="4"/>
      <c r="R277" s="4"/>
      <c r="S277" s="4"/>
      <c r="T277" s="4"/>
      <c r="U277" s="4"/>
      <c r="V277" s="4"/>
      <c r="W277" s="4"/>
    </row>
    <row r="278" ht="15.75" customHeight="1">
      <c r="A278" s="13">
        <f t="shared" si="9"/>
        <v>275</v>
      </c>
      <c r="B278" s="18">
        <f>A278/'Orbit Info'!$G$10</f>
        <v>2.906562771</v>
      </c>
      <c r="C278" s="13">
        <f t="shared" si="2"/>
        <v>1</v>
      </c>
      <c r="D278" s="13">
        <f t="shared" si="3"/>
        <v>0</v>
      </c>
      <c r="E278" s="13">
        <f t="shared" si="4"/>
        <v>0</v>
      </c>
      <c r="F278" s="13">
        <f t="shared" si="5"/>
        <v>0</v>
      </c>
      <c r="G278" s="13">
        <f t="shared" si="6"/>
        <v>1</v>
      </c>
      <c r="H278" s="13">
        <f>'Orbit Info'!C277*((C278*$O$2)+(D278*$O$3)+(E278*$O$4)+(F278*$O$5))</f>
        <v>0</v>
      </c>
      <c r="I278" s="13">
        <f t="shared" si="7"/>
        <v>7.17578</v>
      </c>
      <c r="J278" s="18">
        <f t="shared" si="8"/>
        <v>-0.1195963333</v>
      </c>
      <c r="K278" s="18">
        <f t="shared" si="10"/>
        <v>70.16831917</v>
      </c>
      <c r="L278" s="4"/>
      <c r="M278" s="4"/>
      <c r="N278" s="4"/>
      <c r="O278" s="4"/>
      <c r="P278" s="4"/>
      <c r="Q278" s="4"/>
      <c r="R278" s="4"/>
      <c r="S278" s="4"/>
      <c r="T278" s="4"/>
      <c r="U278" s="4"/>
      <c r="V278" s="4"/>
      <c r="W278" s="4"/>
    </row>
    <row r="279" ht="15.75" customHeight="1">
      <c r="A279" s="13">
        <f t="shared" si="9"/>
        <v>276</v>
      </c>
      <c r="B279" s="18">
        <f>A279/'Orbit Info'!$G$10</f>
        <v>2.91713209</v>
      </c>
      <c r="C279" s="13">
        <f t="shared" si="2"/>
        <v>1</v>
      </c>
      <c r="D279" s="13">
        <f t="shared" si="3"/>
        <v>0</v>
      </c>
      <c r="E279" s="13">
        <f t="shared" si="4"/>
        <v>0</v>
      </c>
      <c r="F279" s="13">
        <f t="shared" si="5"/>
        <v>0</v>
      </c>
      <c r="G279" s="13">
        <f t="shared" si="6"/>
        <v>1</v>
      </c>
      <c r="H279" s="13">
        <f>'Orbit Info'!C278*((C279*$O$2)+(D279*$O$3)+(E279*$O$4)+(F279*$O$5))</f>
        <v>0</v>
      </c>
      <c r="I279" s="13">
        <f t="shared" si="7"/>
        <v>7.17578</v>
      </c>
      <c r="J279" s="18">
        <f t="shared" si="8"/>
        <v>-0.1195963333</v>
      </c>
      <c r="K279" s="18">
        <f t="shared" si="10"/>
        <v>70.04872283</v>
      </c>
      <c r="L279" s="4"/>
      <c r="M279" s="4"/>
      <c r="N279" s="4"/>
      <c r="O279" s="4"/>
      <c r="P279" s="4"/>
      <c r="Q279" s="4"/>
      <c r="R279" s="4"/>
      <c r="S279" s="4"/>
      <c r="T279" s="4"/>
      <c r="U279" s="4"/>
      <c r="V279" s="4"/>
      <c r="W279" s="4"/>
    </row>
    <row r="280" ht="15.75" customHeight="1">
      <c r="A280" s="13">
        <f t="shared" si="9"/>
        <v>277</v>
      </c>
      <c r="B280" s="18">
        <f>A280/'Orbit Info'!$G$10</f>
        <v>2.927701409</v>
      </c>
      <c r="C280" s="13">
        <f t="shared" si="2"/>
        <v>1</v>
      </c>
      <c r="D280" s="13">
        <f t="shared" si="3"/>
        <v>0</v>
      </c>
      <c r="E280" s="13">
        <f t="shared" si="4"/>
        <v>0</v>
      </c>
      <c r="F280" s="13">
        <f t="shared" si="5"/>
        <v>0</v>
      </c>
      <c r="G280" s="13">
        <f t="shared" si="6"/>
        <v>1</v>
      </c>
      <c r="H280" s="13">
        <f>'Orbit Info'!C279*((C280*$O$2)+(D280*$O$3)+(E280*$O$4)+(F280*$O$5))</f>
        <v>0</v>
      </c>
      <c r="I280" s="13">
        <f t="shared" si="7"/>
        <v>7.17578</v>
      </c>
      <c r="J280" s="18">
        <f t="shared" si="8"/>
        <v>-0.1195963333</v>
      </c>
      <c r="K280" s="18">
        <f t="shared" si="10"/>
        <v>69.9291265</v>
      </c>
      <c r="L280" s="4"/>
      <c r="M280" s="4"/>
      <c r="N280" s="4"/>
      <c r="O280" s="4"/>
      <c r="P280" s="4"/>
      <c r="Q280" s="4"/>
      <c r="R280" s="4"/>
      <c r="S280" s="4"/>
      <c r="T280" s="4"/>
      <c r="U280" s="4"/>
      <c r="V280" s="4"/>
      <c r="W280" s="4"/>
    </row>
    <row r="281" ht="15.75" customHeight="1">
      <c r="A281" s="13">
        <f t="shared" si="9"/>
        <v>278</v>
      </c>
      <c r="B281" s="18">
        <f>A281/'Orbit Info'!$G$10</f>
        <v>2.938270728</v>
      </c>
      <c r="C281" s="13">
        <f t="shared" si="2"/>
        <v>1</v>
      </c>
      <c r="D281" s="13">
        <f t="shared" si="3"/>
        <v>0</v>
      </c>
      <c r="E281" s="13">
        <f t="shared" si="4"/>
        <v>0</v>
      </c>
      <c r="F281" s="13">
        <f t="shared" si="5"/>
        <v>0</v>
      </c>
      <c r="G281" s="13">
        <f t="shared" si="6"/>
        <v>1</v>
      </c>
      <c r="H281" s="13">
        <f>'Orbit Info'!C280*((C281*$O$2)+(D281*$O$3)+(E281*$O$4)+(F281*$O$5))</f>
        <v>0</v>
      </c>
      <c r="I281" s="13">
        <f t="shared" si="7"/>
        <v>7.17578</v>
      </c>
      <c r="J281" s="18">
        <f t="shared" si="8"/>
        <v>-0.1195963333</v>
      </c>
      <c r="K281" s="18">
        <f t="shared" si="10"/>
        <v>69.80953017</v>
      </c>
      <c r="L281" s="4"/>
      <c r="M281" s="4"/>
      <c r="N281" s="4"/>
      <c r="O281" s="4"/>
      <c r="P281" s="4"/>
      <c r="Q281" s="4"/>
      <c r="R281" s="4"/>
      <c r="S281" s="4"/>
      <c r="T281" s="4"/>
      <c r="U281" s="4"/>
      <c r="V281" s="4"/>
      <c r="W281" s="4"/>
    </row>
    <row r="282" ht="15.75" customHeight="1">
      <c r="A282" s="13">
        <f t="shared" si="9"/>
        <v>279</v>
      </c>
      <c r="B282" s="18">
        <f>A282/'Orbit Info'!$G$10</f>
        <v>2.948840047</v>
      </c>
      <c r="C282" s="13">
        <f t="shared" si="2"/>
        <v>1</v>
      </c>
      <c r="D282" s="13">
        <f t="shared" si="3"/>
        <v>0</v>
      </c>
      <c r="E282" s="13">
        <f t="shared" si="4"/>
        <v>0</v>
      </c>
      <c r="F282" s="13">
        <f t="shared" si="5"/>
        <v>0</v>
      </c>
      <c r="G282" s="13">
        <f t="shared" si="6"/>
        <v>1</v>
      </c>
      <c r="H282" s="13">
        <f>'Orbit Info'!C281*((C282*$O$2)+(D282*$O$3)+(E282*$O$4)+(F282*$O$5))</f>
        <v>0</v>
      </c>
      <c r="I282" s="13">
        <f t="shared" si="7"/>
        <v>7.17578</v>
      </c>
      <c r="J282" s="18">
        <f t="shared" si="8"/>
        <v>-0.1195963333</v>
      </c>
      <c r="K282" s="18">
        <f t="shared" si="10"/>
        <v>69.68993383</v>
      </c>
      <c r="L282" s="4"/>
      <c r="M282" s="4"/>
      <c r="N282" s="4"/>
      <c r="O282" s="4"/>
      <c r="P282" s="4"/>
      <c r="Q282" s="4"/>
      <c r="R282" s="4"/>
      <c r="S282" s="4"/>
      <c r="T282" s="4"/>
      <c r="U282" s="4"/>
      <c r="V282" s="4"/>
      <c r="W282" s="4"/>
    </row>
    <row r="283" ht="15.75" customHeight="1">
      <c r="A283" s="13">
        <f t="shared" si="9"/>
        <v>280</v>
      </c>
      <c r="B283" s="18">
        <f>A283/'Orbit Info'!$G$10</f>
        <v>2.959409366</v>
      </c>
      <c r="C283" s="13">
        <f t="shared" si="2"/>
        <v>1</v>
      </c>
      <c r="D283" s="13">
        <f t="shared" si="3"/>
        <v>0</v>
      </c>
      <c r="E283" s="13">
        <f t="shared" si="4"/>
        <v>0</v>
      </c>
      <c r="F283" s="13">
        <f t="shared" si="5"/>
        <v>0</v>
      </c>
      <c r="G283" s="13">
        <f t="shared" si="6"/>
        <v>1</v>
      </c>
      <c r="H283" s="13">
        <f>'Orbit Info'!C282*((C283*$O$2)+(D283*$O$3)+(E283*$O$4)+(F283*$O$5))</f>
        <v>0</v>
      </c>
      <c r="I283" s="13">
        <f t="shared" si="7"/>
        <v>7.17578</v>
      </c>
      <c r="J283" s="18">
        <f t="shared" si="8"/>
        <v>-0.1195963333</v>
      </c>
      <c r="K283" s="18">
        <f t="shared" si="10"/>
        <v>69.5703375</v>
      </c>
      <c r="L283" s="4"/>
      <c r="M283" s="4"/>
      <c r="N283" s="4"/>
      <c r="O283" s="4"/>
      <c r="P283" s="4"/>
      <c r="Q283" s="4"/>
      <c r="R283" s="4"/>
      <c r="S283" s="4"/>
      <c r="T283" s="4"/>
      <c r="U283" s="4"/>
      <c r="V283" s="4"/>
      <c r="W283" s="4"/>
    </row>
    <row r="284" ht="15.75" customHeight="1">
      <c r="A284" s="13">
        <f t="shared" si="9"/>
        <v>281</v>
      </c>
      <c r="B284" s="18">
        <f>A284/'Orbit Info'!$G$10</f>
        <v>2.969978686</v>
      </c>
      <c r="C284" s="13">
        <f t="shared" si="2"/>
        <v>1</v>
      </c>
      <c r="D284" s="13">
        <f t="shared" si="3"/>
        <v>0</v>
      </c>
      <c r="E284" s="13">
        <f t="shared" si="4"/>
        <v>0</v>
      </c>
      <c r="F284" s="13">
        <f t="shared" si="5"/>
        <v>0</v>
      </c>
      <c r="G284" s="13">
        <f t="shared" si="6"/>
        <v>1</v>
      </c>
      <c r="H284" s="13">
        <f>'Orbit Info'!C283*((C284*$O$2)+(D284*$O$3)+(E284*$O$4)+(F284*$O$5))</f>
        <v>0</v>
      </c>
      <c r="I284" s="13">
        <f t="shared" si="7"/>
        <v>7.17578</v>
      </c>
      <c r="J284" s="18">
        <f t="shared" si="8"/>
        <v>-0.1195963333</v>
      </c>
      <c r="K284" s="18">
        <f t="shared" si="10"/>
        <v>69.45074117</v>
      </c>
      <c r="L284" s="4"/>
      <c r="M284" s="4"/>
      <c r="N284" s="4"/>
      <c r="O284" s="4"/>
      <c r="P284" s="4"/>
      <c r="Q284" s="4"/>
      <c r="R284" s="4"/>
      <c r="S284" s="4"/>
      <c r="T284" s="4"/>
      <c r="U284" s="4"/>
      <c r="V284" s="4"/>
      <c r="W284" s="4"/>
    </row>
    <row r="285" ht="15.75" customHeight="1">
      <c r="A285" s="13">
        <f t="shared" si="9"/>
        <v>282</v>
      </c>
      <c r="B285" s="18">
        <f>A285/'Orbit Info'!$G$10</f>
        <v>2.980548005</v>
      </c>
      <c r="C285" s="13">
        <f t="shared" si="2"/>
        <v>1</v>
      </c>
      <c r="D285" s="13">
        <f t="shared" si="3"/>
        <v>0</v>
      </c>
      <c r="E285" s="13">
        <f t="shared" si="4"/>
        <v>0</v>
      </c>
      <c r="F285" s="13">
        <f t="shared" si="5"/>
        <v>0</v>
      </c>
      <c r="G285" s="13">
        <f t="shared" si="6"/>
        <v>1</v>
      </c>
      <c r="H285" s="13">
        <f>'Orbit Info'!C284*((C285*$O$2)+(D285*$O$3)+(E285*$O$4)+(F285*$O$5))</f>
        <v>0</v>
      </c>
      <c r="I285" s="13">
        <f t="shared" si="7"/>
        <v>7.17578</v>
      </c>
      <c r="J285" s="18">
        <f t="shared" si="8"/>
        <v>-0.1195963333</v>
      </c>
      <c r="K285" s="18">
        <f t="shared" si="10"/>
        <v>69.33114483</v>
      </c>
      <c r="L285" s="4"/>
      <c r="M285" s="4"/>
      <c r="N285" s="4"/>
      <c r="O285" s="4"/>
      <c r="P285" s="4"/>
      <c r="Q285" s="4"/>
      <c r="R285" s="4"/>
      <c r="S285" s="4"/>
      <c r="T285" s="4"/>
      <c r="U285" s="4"/>
      <c r="V285" s="4"/>
      <c r="W285" s="4"/>
    </row>
    <row r="286" ht="15.75" customHeight="1">
      <c r="A286" s="13">
        <f t="shared" si="9"/>
        <v>283</v>
      </c>
      <c r="B286" s="18">
        <f>A286/'Orbit Info'!$G$10</f>
        <v>2.991117324</v>
      </c>
      <c r="C286" s="13">
        <f t="shared" si="2"/>
        <v>1</v>
      </c>
      <c r="D286" s="13">
        <f t="shared" si="3"/>
        <v>0</v>
      </c>
      <c r="E286" s="13">
        <f t="shared" si="4"/>
        <v>0</v>
      </c>
      <c r="F286" s="13">
        <f t="shared" si="5"/>
        <v>0</v>
      </c>
      <c r="G286" s="13">
        <f t="shared" si="6"/>
        <v>1</v>
      </c>
      <c r="H286" s="13">
        <f>'Orbit Info'!C285*((C286*$O$2)+(D286*$O$3)+(E286*$O$4)+(F286*$O$5))</f>
        <v>0</v>
      </c>
      <c r="I286" s="13">
        <f t="shared" si="7"/>
        <v>7.17578</v>
      </c>
      <c r="J286" s="18">
        <f t="shared" si="8"/>
        <v>-0.1195963333</v>
      </c>
      <c r="K286" s="18">
        <f t="shared" si="10"/>
        <v>69.2115485</v>
      </c>
      <c r="L286" s="4"/>
      <c r="M286" s="4"/>
      <c r="N286" s="4"/>
      <c r="O286" s="4"/>
      <c r="P286" s="4"/>
      <c r="Q286" s="4"/>
      <c r="R286" s="4"/>
      <c r="S286" s="4"/>
      <c r="T286" s="4"/>
      <c r="U286" s="4"/>
      <c r="V286" s="4"/>
      <c r="W286" s="4"/>
    </row>
    <row r="287" ht="15.75" customHeight="1">
      <c r="A287" s="13">
        <f t="shared" si="9"/>
        <v>284</v>
      </c>
      <c r="B287" s="18">
        <f>A287/'Orbit Info'!$G$10</f>
        <v>3.001686643</v>
      </c>
      <c r="C287" s="13">
        <f t="shared" si="2"/>
        <v>1</v>
      </c>
      <c r="D287" s="13">
        <f t="shared" si="3"/>
        <v>0</v>
      </c>
      <c r="E287" s="13">
        <f t="shared" si="4"/>
        <v>0</v>
      </c>
      <c r="F287" s="13">
        <f t="shared" si="5"/>
        <v>0</v>
      </c>
      <c r="G287" s="13">
        <f t="shared" si="6"/>
        <v>1</v>
      </c>
      <c r="H287" s="13">
        <f>'Orbit Info'!C286*((C287*$O$2)+(D287*$O$3)+(E287*$O$4)+(F287*$O$5))</f>
        <v>15.628032</v>
      </c>
      <c r="I287" s="13">
        <f t="shared" si="7"/>
        <v>7.17578</v>
      </c>
      <c r="J287" s="18">
        <f t="shared" si="8"/>
        <v>0.1408708667</v>
      </c>
      <c r="K287" s="18">
        <f t="shared" si="10"/>
        <v>69.35241937</v>
      </c>
      <c r="L287" s="4"/>
      <c r="M287" s="4"/>
      <c r="N287" s="4"/>
      <c r="O287" s="4"/>
      <c r="P287" s="4"/>
      <c r="Q287" s="4"/>
      <c r="R287" s="4"/>
      <c r="S287" s="4"/>
      <c r="T287" s="4"/>
      <c r="U287" s="4"/>
      <c r="V287" s="4"/>
      <c r="W287" s="4"/>
    </row>
    <row r="288" ht="15.75" customHeight="1">
      <c r="A288" s="13">
        <f t="shared" si="9"/>
        <v>285</v>
      </c>
      <c r="B288" s="18">
        <f>A288/'Orbit Info'!$G$10</f>
        <v>3.012255962</v>
      </c>
      <c r="C288" s="13">
        <f t="shared" si="2"/>
        <v>1</v>
      </c>
      <c r="D288" s="13">
        <f t="shared" si="3"/>
        <v>0</v>
      </c>
      <c r="E288" s="13">
        <f t="shared" si="4"/>
        <v>0</v>
      </c>
      <c r="F288" s="13">
        <f t="shared" si="5"/>
        <v>0</v>
      </c>
      <c r="G288" s="13">
        <f t="shared" si="6"/>
        <v>1</v>
      </c>
      <c r="H288" s="13">
        <f>'Orbit Info'!C287*((C288*$O$2)+(D288*$O$3)+(E288*$O$4)+(F288*$O$5))</f>
        <v>15.628032</v>
      </c>
      <c r="I288" s="13">
        <f t="shared" si="7"/>
        <v>7.17578</v>
      </c>
      <c r="J288" s="18">
        <f t="shared" si="8"/>
        <v>0.1408708667</v>
      </c>
      <c r="K288" s="18">
        <f t="shared" si="10"/>
        <v>69.49329023</v>
      </c>
      <c r="L288" s="4"/>
      <c r="M288" s="4"/>
      <c r="N288" s="4"/>
      <c r="O288" s="4"/>
      <c r="P288" s="4"/>
      <c r="Q288" s="4"/>
      <c r="R288" s="4"/>
      <c r="S288" s="4"/>
      <c r="T288" s="4"/>
      <c r="U288" s="4"/>
      <c r="V288" s="4"/>
      <c r="W288" s="4"/>
    </row>
    <row r="289" ht="15.75" customHeight="1">
      <c r="A289" s="13">
        <f t="shared" si="9"/>
        <v>286</v>
      </c>
      <c r="B289" s="18">
        <f>A289/'Orbit Info'!$G$10</f>
        <v>3.022825281</v>
      </c>
      <c r="C289" s="13">
        <f t="shared" si="2"/>
        <v>1</v>
      </c>
      <c r="D289" s="13">
        <f t="shared" si="3"/>
        <v>0</v>
      </c>
      <c r="E289" s="13">
        <f t="shared" si="4"/>
        <v>0</v>
      </c>
      <c r="F289" s="13">
        <f t="shared" si="5"/>
        <v>0</v>
      </c>
      <c r="G289" s="13">
        <f t="shared" si="6"/>
        <v>1</v>
      </c>
      <c r="H289" s="13">
        <f>'Orbit Info'!C288*((C289*$O$2)+(D289*$O$3)+(E289*$O$4)+(F289*$O$5))</f>
        <v>15.628032</v>
      </c>
      <c r="I289" s="13">
        <f t="shared" si="7"/>
        <v>7.17578</v>
      </c>
      <c r="J289" s="18">
        <f t="shared" si="8"/>
        <v>0.1408708667</v>
      </c>
      <c r="K289" s="18">
        <f t="shared" si="10"/>
        <v>69.6341611</v>
      </c>
      <c r="L289" s="4"/>
      <c r="M289" s="4"/>
      <c r="N289" s="4"/>
      <c r="O289" s="4"/>
      <c r="P289" s="4"/>
      <c r="Q289" s="4"/>
      <c r="R289" s="4"/>
      <c r="S289" s="4"/>
      <c r="T289" s="4"/>
      <c r="U289" s="4"/>
      <c r="V289" s="4"/>
      <c r="W289" s="4"/>
    </row>
    <row r="290" ht="15.75" customHeight="1">
      <c r="A290" s="13">
        <f t="shared" si="9"/>
        <v>287</v>
      </c>
      <c r="B290" s="18">
        <f>A290/'Orbit Info'!$G$10</f>
        <v>3.033394601</v>
      </c>
      <c r="C290" s="13">
        <f t="shared" si="2"/>
        <v>1</v>
      </c>
      <c r="D290" s="13">
        <f t="shared" si="3"/>
        <v>0</v>
      </c>
      <c r="E290" s="13">
        <f t="shared" si="4"/>
        <v>0</v>
      </c>
      <c r="F290" s="13">
        <f t="shared" si="5"/>
        <v>0</v>
      </c>
      <c r="G290" s="13">
        <f t="shared" si="6"/>
        <v>1</v>
      </c>
      <c r="H290" s="13">
        <f>'Orbit Info'!C289*((C290*$O$2)+(D290*$O$3)+(E290*$O$4)+(F290*$O$5))</f>
        <v>15.628032</v>
      </c>
      <c r="I290" s="13">
        <f t="shared" si="7"/>
        <v>7.17578</v>
      </c>
      <c r="J290" s="18">
        <f t="shared" si="8"/>
        <v>0.1408708667</v>
      </c>
      <c r="K290" s="18">
        <f t="shared" si="10"/>
        <v>69.77503197</v>
      </c>
      <c r="L290" s="4"/>
      <c r="M290" s="4"/>
      <c r="N290" s="4"/>
      <c r="O290" s="4"/>
      <c r="P290" s="4"/>
      <c r="Q290" s="4"/>
      <c r="R290" s="4"/>
      <c r="S290" s="4"/>
      <c r="T290" s="4"/>
      <c r="U290" s="4"/>
      <c r="V290" s="4"/>
      <c r="W290" s="4"/>
    </row>
    <row r="291" ht="15.75" customHeight="1">
      <c r="A291" s="13">
        <f t="shared" si="9"/>
        <v>288</v>
      </c>
      <c r="B291" s="18">
        <f>A291/'Orbit Info'!$G$10</f>
        <v>3.04396392</v>
      </c>
      <c r="C291" s="13">
        <f t="shared" si="2"/>
        <v>1</v>
      </c>
      <c r="D291" s="13">
        <f t="shared" si="3"/>
        <v>0</v>
      </c>
      <c r="E291" s="13">
        <f t="shared" si="4"/>
        <v>0</v>
      </c>
      <c r="F291" s="13">
        <f t="shared" si="5"/>
        <v>0</v>
      </c>
      <c r="G291" s="13">
        <f t="shared" si="6"/>
        <v>1</v>
      </c>
      <c r="H291" s="13">
        <f>'Orbit Info'!C290*((C291*$O$2)+(D291*$O$3)+(E291*$O$4)+(F291*$O$5))</f>
        <v>15.628032</v>
      </c>
      <c r="I291" s="13">
        <f t="shared" si="7"/>
        <v>7.17578</v>
      </c>
      <c r="J291" s="18">
        <f t="shared" si="8"/>
        <v>0.1408708667</v>
      </c>
      <c r="K291" s="18">
        <f t="shared" si="10"/>
        <v>69.91590283</v>
      </c>
      <c r="L291" s="4"/>
      <c r="M291" s="4"/>
      <c r="N291" s="4"/>
      <c r="O291" s="4"/>
      <c r="P291" s="4"/>
      <c r="Q291" s="4"/>
      <c r="R291" s="4"/>
      <c r="S291" s="4"/>
      <c r="T291" s="4"/>
      <c r="U291" s="4"/>
      <c r="V291" s="4"/>
      <c r="W291" s="4"/>
    </row>
    <row r="292" ht="15.75" customHeight="1">
      <c r="A292" s="13">
        <f t="shared" si="9"/>
        <v>289</v>
      </c>
      <c r="B292" s="18">
        <f>A292/'Orbit Info'!$G$10</f>
        <v>3.054533239</v>
      </c>
      <c r="C292" s="13">
        <f t="shared" si="2"/>
        <v>1</v>
      </c>
      <c r="D292" s="13">
        <f t="shared" si="3"/>
        <v>0</v>
      </c>
      <c r="E292" s="13">
        <f t="shared" si="4"/>
        <v>0</v>
      </c>
      <c r="F292" s="13">
        <f t="shared" si="5"/>
        <v>0</v>
      </c>
      <c r="G292" s="13">
        <f t="shared" si="6"/>
        <v>1</v>
      </c>
      <c r="H292" s="13">
        <f>'Orbit Info'!C291*((C292*$O$2)+(D292*$O$3)+(E292*$O$4)+(F292*$O$5))</f>
        <v>15.628032</v>
      </c>
      <c r="I292" s="13">
        <f t="shared" si="7"/>
        <v>7.17578</v>
      </c>
      <c r="J292" s="18">
        <f t="shared" si="8"/>
        <v>0.1408708667</v>
      </c>
      <c r="K292" s="18">
        <f t="shared" si="10"/>
        <v>70.0567737</v>
      </c>
      <c r="L292" s="4"/>
      <c r="M292" s="4"/>
      <c r="N292" s="4"/>
      <c r="O292" s="4"/>
      <c r="P292" s="4"/>
      <c r="Q292" s="4"/>
      <c r="R292" s="4"/>
      <c r="S292" s="4"/>
      <c r="T292" s="4"/>
      <c r="U292" s="4"/>
      <c r="V292" s="4"/>
      <c r="W292" s="4"/>
    </row>
    <row r="293" ht="15.75" customHeight="1">
      <c r="A293" s="13">
        <f t="shared" si="9"/>
        <v>290</v>
      </c>
      <c r="B293" s="18">
        <f>A293/'Orbit Info'!$G$10</f>
        <v>3.065102558</v>
      </c>
      <c r="C293" s="13">
        <f t="shared" si="2"/>
        <v>1</v>
      </c>
      <c r="D293" s="13">
        <f t="shared" si="3"/>
        <v>0</v>
      </c>
      <c r="E293" s="13">
        <f t="shared" si="4"/>
        <v>0</v>
      </c>
      <c r="F293" s="13">
        <f t="shared" si="5"/>
        <v>0</v>
      </c>
      <c r="G293" s="13">
        <f t="shared" si="6"/>
        <v>1</v>
      </c>
      <c r="H293" s="13">
        <f>'Orbit Info'!C292*((C293*$O$2)+(D293*$O$3)+(E293*$O$4)+(F293*$O$5))</f>
        <v>15.628032</v>
      </c>
      <c r="I293" s="13">
        <f t="shared" si="7"/>
        <v>7.17578</v>
      </c>
      <c r="J293" s="18">
        <f t="shared" si="8"/>
        <v>0.1408708667</v>
      </c>
      <c r="K293" s="18">
        <f t="shared" si="10"/>
        <v>70.19764457</v>
      </c>
      <c r="L293" s="4"/>
      <c r="M293" s="4"/>
      <c r="N293" s="4"/>
      <c r="O293" s="4"/>
      <c r="P293" s="4"/>
      <c r="Q293" s="4"/>
      <c r="R293" s="4"/>
      <c r="S293" s="4"/>
      <c r="T293" s="4"/>
      <c r="U293" s="4"/>
      <c r="V293" s="4"/>
      <c r="W293" s="4"/>
    </row>
    <row r="294" ht="15.75" customHeight="1">
      <c r="A294" s="13">
        <f t="shared" si="9"/>
        <v>291</v>
      </c>
      <c r="B294" s="18">
        <f>A294/'Orbit Info'!$G$10</f>
        <v>3.075671877</v>
      </c>
      <c r="C294" s="13">
        <f t="shared" si="2"/>
        <v>1</v>
      </c>
      <c r="D294" s="13">
        <f t="shared" si="3"/>
        <v>0</v>
      </c>
      <c r="E294" s="13">
        <f t="shared" si="4"/>
        <v>0</v>
      </c>
      <c r="F294" s="13">
        <f t="shared" si="5"/>
        <v>0</v>
      </c>
      <c r="G294" s="13">
        <f t="shared" si="6"/>
        <v>1</v>
      </c>
      <c r="H294" s="13">
        <f>'Orbit Info'!C293*((C294*$O$2)+(D294*$O$3)+(E294*$O$4)+(F294*$O$5))</f>
        <v>15.628032</v>
      </c>
      <c r="I294" s="13">
        <f t="shared" si="7"/>
        <v>7.17578</v>
      </c>
      <c r="J294" s="18">
        <f t="shared" si="8"/>
        <v>0.1408708667</v>
      </c>
      <c r="K294" s="18">
        <f t="shared" si="10"/>
        <v>70.33851543</v>
      </c>
      <c r="L294" s="4"/>
      <c r="M294" s="4"/>
      <c r="N294" s="4"/>
      <c r="O294" s="4"/>
      <c r="P294" s="4"/>
      <c r="Q294" s="4"/>
      <c r="R294" s="4"/>
      <c r="S294" s="4"/>
      <c r="T294" s="4"/>
      <c r="U294" s="4"/>
      <c r="V294" s="4"/>
      <c r="W294" s="4"/>
    </row>
    <row r="295" ht="15.75" customHeight="1">
      <c r="A295" s="13">
        <f t="shared" si="9"/>
        <v>292</v>
      </c>
      <c r="B295" s="18">
        <f>A295/'Orbit Info'!$G$10</f>
        <v>3.086241196</v>
      </c>
      <c r="C295" s="13">
        <f t="shared" si="2"/>
        <v>1</v>
      </c>
      <c r="D295" s="13">
        <f t="shared" si="3"/>
        <v>0</v>
      </c>
      <c r="E295" s="13">
        <f t="shared" si="4"/>
        <v>0</v>
      </c>
      <c r="F295" s="13">
        <f t="shared" si="5"/>
        <v>0</v>
      </c>
      <c r="G295" s="13">
        <f t="shared" si="6"/>
        <v>1</v>
      </c>
      <c r="H295" s="13">
        <f>'Orbit Info'!C294*((C295*$O$2)+(D295*$O$3)+(E295*$O$4)+(F295*$O$5))</f>
        <v>15.628032</v>
      </c>
      <c r="I295" s="13">
        <f t="shared" si="7"/>
        <v>7.17578</v>
      </c>
      <c r="J295" s="18">
        <f t="shared" si="8"/>
        <v>0.1408708667</v>
      </c>
      <c r="K295" s="18">
        <f t="shared" si="10"/>
        <v>70.4793863</v>
      </c>
      <c r="L295" s="4"/>
      <c r="M295" s="4"/>
      <c r="N295" s="4"/>
      <c r="O295" s="4"/>
      <c r="P295" s="4"/>
      <c r="Q295" s="4"/>
      <c r="R295" s="4"/>
      <c r="S295" s="4"/>
      <c r="T295" s="4"/>
      <c r="U295" s="4"/>
      <c r="V295" s="4"/>
      <c r="W295" s="4"/>
    </row>
    <row r="296" ht="15.75" customHeight="1">
      <c r="A296" s="13">
        <f t="shared" si="9"/>
        <v>293</v>
      </c>
      <c r="B296" s="18">
        <f>A296/'Orbit Info'!$G$10</f>
        <v>3.096810516</v>
      </c>
      <c r="C296" s="13">
        <f t="shared" si="2"/>
        <v>1</v>
      </c>
      <c r="D296" s="13">
        <f t="shared" si="3"/>
        <v>0</v>
      </c>
      <c r="E296" s="13">
        <f t="shared" si="4"/>
        <v>0</v>
      </c>
      <c r="F296" s="13">
        <f t="shared" si="5"/>
        <v>0</v>
      </c>
      <c r="G296" s="13">
        <f t="shared" si="6"/>
        <v>1</v>
      </c>
      <c r="H296" s="13">
        <f>'Orbit Info'!C295*((C296*$O$2)+(D296*$O$3)+(E296*$O$4)+(F296*$O$5))</f>
        <v>15.628032</v>
      </c>
      <c r="I296" s="13">
        <f t="shared" si="7"/>
        <v>7.17578</v>
      </c>
      <c r="J296" s="18">
        <f t="shared" si="8"/>
        <v>0.1408708667</v>
      </c>
      <c r="K296" s="18">
        <f t="shared" si="10"/>
        <v>70.62025717</v>
      </c>
      <c r="L296" s="4"/>
      <c r="M296" s="4"/>
      <c r="N296" s="4"/>
      <c r="O296" s="4"/>
      <c r="P296" s="4"/>
      <c r="Q296" s="4"/>
      <c r="R296" s="4"/>
      <c r="S296" s="4"/>
      <c r="T296" s="4"/>
      <c r="U296" s="4"/>
      <c r="V296" s="4"/>
      <c r="W296" s="4"/>
    </row>
    <row r="297" ht="15.75" customHeight="1">
      <c r="A297" s="13">
        <f t="shared" si="9"/>
        <v>294</v>
      </c>
      <c r="B297" s="18">
        <f>A297/'Orbit Info'!$G$10</f>
        <v>3.107379835</v>
      </c>
      <c r="C297" s="13">
        <f t="shared" si="2"/>
        <v>1</v>
      </c>
      <c r="D297" s="13">
        <f t="shared" si="3"/>
        <v>0</v>
      </c>
      <c r="E297" s="13">
        <f t="shared" si="4"/>
        <v>0</v>
      </c>
      <c r="F297" s="13">
        <f t="shared" si="5"/>
        <v>0</v>
      </c>
      <c r="G297" s="13">
        <f t="shared" si="6"/>
        <v>1</v>
      </c>
      <c r="H297" s="13">
        <f>'Orbit Info'!C296*((C297*$O$2)+(D297*$O$3)+(E297*$O$4)+(F297*$O$5))</f>
        <v>15.628032</v>
      </c>
      <c r="I297" s="13">
        <f t="shared" si="7"/>
        <v>7.17578</v>
      </c>
      <c r="J297" s="18">
        <f t="shared" si="8"/>
        <v>0.1408708667</v>
      </c>
      <c r="K297" s="18">
        <f t="shared" si="10"/>
        <v>70.76112803</v>
      </c>
      <c r="L297" s="4"/>
      <c r="M297" s="4"/>
      <c r="N297" s="4"/>
      <c r="O297" s="4"/>
      <c r="P297" s="4"/>
      <c r="Q297" s="4"/>
      <c r="R297" s="4"/>
      <c r="S297" s="4"/>
      <c r="T297" s="4"/>
      <c r="U297" s="4"/>
      <c r="V297" s="4"/>
      <c r="W297" s="4"/>
    </row>
    <row r="298" ht="15.75" customHeight="1">
      <c r="A298" s="13">
        <f t="shared" si="9"/>
        <v>295</v>
      </c>
      <c r="B298" s="18">
        <f>A298/'Orbit Info'!$G$10</f>
        <v>3.117949154</v>
      </c>
      <c r="C298" s="13">
        <f t="shared" si="2"/>
        <v>1</v>
      </c>
      <c r="D298" s="13">
        <f t="shared" si="3"/>
        <v>0</v>
      </c>
      <c r="E298" s="13">
        <f t="shared" si="4"/>
        <v>0</v>
      </c>
      <c r="F298" s="13">
        <f t="shared" si="5"/>
        <v>0</v>
      </c>
      <c r="G298" s="13">
        <f t="shared" si="6"/>
        <v>1</v>
      </c>
      <c r="H298" s="13">
        <f>'Orbit Info'!C297*((C298*$O$2)+(D298*$O$3)+(E298*$O$4)+(F298*$O$5))</f>
        <v>15.628032</v>
      </c>
      <c r="I298" s="13">
        <f t="shared" si="7"/>
        <v>7.17578</v>
      </c>
      <c r="J298" s="18">
        <f t="shared" si="8"/>
        <v>0.1408708667</v>
      </c>
      <c r="K298" s="18">
        <f t="shared" si="10"/>
        <v>70.9019989</v>
      </c>
      <c r="L298" s="4"/>
      <c r="M298" s="4"/>
      <c r="N298" s="4"/>
      <c r="O298" s="4"/>
      <c r="P298" s="4"/>
      <c r="Q298" s="4"/>
      <c r="R298" s="4"/>
      <c r="S298" s="4"/>
      <c r="T298" s="4"/>
      <c r="U298" s="4"/>
      <c r="V298" s="4"/>
      <c r="W298" s="4"/>
    </row>
    <row r="299" ht="15.75" customHeight="1">
      <c r="A299" s="13">
        <f t="shared" si="9"/>
        <v>296</v>
      </c>
      <c r="B299" s="18">
        <f>A299/'Orbit Info'!$G$10</f>
        <v>3.128518473</v>
      </c>
      <c r="C299" s="13">
        <f t="shared" si="2"/>
        <v>1</v>
      </c>
      <c r="D299" s="13">
        <f t="shared" si="3"/>
        <v>0</v>
      </c>
      <c r="E299" s="13">
        <f t="shared" si="4"/>
        <v>0</v>
      </c>
      <c r="F299" s="13">
        <f t="shared" si="5"/>
        <v>0</v>
      </c>
      <c r="G299" s="13">
        <f t="shared" si="6"/>
        <v>1</v>
      </c>
      <c r="H299" s="13">
        <f>'Orbit Info'!C298*((C299*$O$2)+(D299*$O$3)+(E299*$O$4)+(F299*$O$5))</f>
        <v>15.628032</v>
      </c>
      <c r="I299" s="13">
        <f t="shared" si="7"/>
        <v>7.17578</v>
      </c>
      <c r="J299" s="18">
        <f t="shared" si="8"/>
        <v>0.1408708667</v>
      </c>
      <c r="K299" s="18">
        <f t="shared" si="10"/>
        <v>71.04286977</v>
      </c>
      <c r="L299" s="4"/>
      <c r="M299" s="4"/>
      <c r="N299" s="4"/>
      <c r="O299" s="4"/>
      <c r="P299" s="4"/>
      <c r="Q299" s="4"/>
      <c r="R299" s="4"/>
      <c r="S299" s="4"/>
      <c r="T299" s="4"/>
      <c r="U299" s="4"/>
      <c r="V299" s="4"/>
      <c r="W299" s="4"/>
    </row>
    <row r="300" ht="15.75" customHeight="1">
      <c r="A300" s="13">
        <f t="shared" si="9"/>
        <v>297</v>
      </c>
      <c r="B300" s="18">
        <f>A300/'Orbit Info'!$G$10</f>
        <v>3.139087792</v>
      </c>
      <c r="C300" s="13">
        <f t="shared" si="2"/>
        <v>1</v>
      </c>
      <c r="D300" s="13">
        <f t="shared" si="3"/>
        <v>0</v>
      </c>
      <c r="E300" s="13">
        <f t="shared" si="4"/>
        <v>0</v>
      </c>
      <c r="F300" s="13">
        <f t="shared" si="5"/>
        <v>0</v>
      </c>
      <c r="G300" s="13">
        <f t="shared" si="6"/>
        <v>1</v>
      </c>
      <c r="H300" s="13">
        <f>'Orbit Info'!C299*((C300*$O$2)+(D300*$O$3)+(E300*$O$4)+(F300*$O$5))</f>
        <v>15.628032</v>
      </c>
      <c r="I300" s="13">
        <f t="shared" si="7"/>
        <v>7.17578</v>
      </c>
      <c r="J300" s="18">
        <f t="shared" si="8"/>
        <v>0.1408708667</v>
      </c>
      <c r="K300" s="18">
        <f t="shared" si="10"/>
        <v>71.18374063</v>
      </c>
      <c r="L300" s="4"/>
      <c r="M300" s="4"/>
      <c r="N300" s="4"/>
      <c r="O300" s="4"/>
      <c r="P300" s="4"/>
      <c r="Q300" s="4"/>
      <c r="R300" s="4"/>
      <c r="S300" s="4"/>
      <c r="T300" s="4"/>
      <c r="U300" s="4"/>
      <c r="V300" s="4"/>
      <c r="W300" s="4"/>
    </row>
    <row r="301" ht="15.75" customHeight="1">
      <c r="A301" s="13">
        <f t="shared" si="9"/>
        <v>298</v>
      </c>
      <c r="B301" s="18">
        <f>A301/'Orbit Info'!$G$10</f>
        <v>3.149657111</v>
      </c>
      <c r="C301" s="13">
        <f t="shared" si="2"/>
        <v>1</v>
      </c>
      <c r="D301" s="13">
        <f t="shared" si="3"/>
        <v>0</v>
      </c>
      <c r="E301" s="13">
        <f t="shared" si="4"/>
        <v>0</v>
      </c>
      <c r="F301" s="13">
        <f t="shared" si="5"/>
        <v>0</v>
      </c>
      <c r="G301" s="13">
        <f t="shared" si="6"/>
        <v>1</v>
      </c>
      <c r="H301" s="13">
        <f>'Orbit Info'!C300*((C301*$O$2)+(D301*$O$3)+(E301*$O$4)+(F301*$O$5))</f>
        <v>15.628032</v>
      </c>
      <c r="I301" s="13">
        <f t="shared" si="7"/>
        <v>7.17578</v>
      </c>
      <c r="J301" s="18">
        <f t="shared" si="8"/>
        <v>0.1408708667</v>
      </c>
      <c r="K301" s="18">
        <f t="shared" si="10"/>
        <v>71.3246115</v>
      </c>
      <c r="L301" s="4"/>
      <c r="M301" s="4"/>
      <c r="N301" s="4"/>
      <c r="O301" s="4"/>
      <c r="P301" s="4"/>
      <c r="Q301" s="4"/>
      <c r="R301" s="4"/>
      <c r="S301" s="4"/>
      <c r="T301" s="4"/>
      <c r="U301" s="4"/>
      <c r="V301" s="4"/>
      <c r="W301" s="4"/>
    </row>
    <row r="302" ht="15.75" customHeight="1">
      <c r="A302" s="13">
        <f t="shared" si="9"/>
        <v>299</v>
      </c>
      <c r="B302" s="18">
        <f>A302/'Orbit Info'!$G$10</f>
        <v>3.160226431</v>
      </c>
      <c r="C302" s="13">
        <f t="shared" si="2"/>
        <v>1</v>
      </c>
      <c r="D302" s="13">
        <f t="shared" si="3"/>
        <v>0</v>
      </c>
      <c r="E302" s="13">
        <f t="shared" si="4"/>
        <v>0</v>
      </c>
      <c r="F302" s="13">
        <f t="shared" si="5"/>
        <v>0</v>
      </c>
      <c r="G302" s="13">
        <f t="shared" si="6"/>
        <v>1</v>
      </c>
      <c r="H302" s="13">
        <f>'Orbit Info'!C301*((C302*$O$2)+(D302*$O$3)+(E302*$O$4)+(F302*$O$5))</f>
        <v>15.628032</v>
      </c>
      <c r="I302" s="13">
        <f t="shared" si="7"/>
        <v>7.17578</v>
      </c>
      <c r="J302" s="18">
        <f t="shared" si="8"/>
        <v>0.1408708667</v>
      </c>
      <c r="K302" s="18">
        <f t="shared" si="10"/>
        <v>71.46548237</v>
      </c>
      <c r="L302" s="4"/>
      <c r="M302" s="4"/>
      <c r="N302" s="4"/>
      <c r="O302" s="4"/>
      <c r="P302" s="4"/>
      <c r="Q302" s="4"/>
      <c r="R302" s="4"/>
      <c r="S302" s="4"/>
      <c r="T302" s="4"/>
      <c r="U302" s="4"/>
      <c r="V302" s="4"/>
      <c r="W302" s="4"/>
    </row>
    <row r="303" ht="15.75" customHeight="1">
      <c r="A303" s="13">
        <f t="shared" si="9"/>
        <v>300</v>
      </c>
      <c r="B303" s="18">
        <f>A303/'Orbit Info'!$G$10</f>
        <v>3.17079575</v>
      </c>
      <c r="C303" s="13">
        <f t="shared" si="2"/>
        <v>1</v>
      </c>
      <c r="D303" s="13">
        <f t="shared" si="3"/>
        <v>0</v>
      </c>
      <c r="E303" s="13">
        <f t="shared" si="4"/>
        <v>0</v>
      </c>
      <c r="F303" s="13">
        <f t="shared" si="5"/>
        <v>0</v>
      </c>
      <c r="G303" s="13">
        <f t="shared" si="6"/>
        <v>1</v>
      </c>
      <c r="H303" s="13">
        <f>'Orbit Info'!C302*((C303*$O$2)+(D303*$O$3)+(E303*$O$4)+(F303*$O$5))</f>
        <v>15.628032</v>
      </c>
      <c r="I303" s="13">
        <f t="shared" si="7"/>
        <v>7.17578</v>
      </c>
      <c r="J303" s="18">
        <f t="shared" si="8"/>
        <v>0.1408708667</v>
      </c>
      <c r="K303" s="18">
        <f t="shared" si="10"/>
        <v>71.60635323</v>
      </c>
      <c r="L303" s="4"/>
      <c r="M303" s="4"/>
      <c r="N303" s="4"/>
      <c r="O303" s="4"/>
      <c r="P303" s="4"/>
      <c r="Q303" s="4"/>
      <c r="R303" s="4"/>
      <c r="S303" s="4"/>
      <c r="T303" s="4"/>
      <c r="U303" s="4"/>
      <c r="V303" s="4"/>
      <c r="W303" s="4"/>
    </row>
    <row r="304" ht="15.75" customHeight="1">
      <c r="A304" s="13">
        <f t="shared" si="9"/>
        <v>301</v>
      </c>
      <c r="B304" s="18">
        <f>A304/'Orbit Info'!$G$10</f>
        <v>3.181365069</v>
      </c>
      <c r="C304" s="13">
        <f t="shared" si="2"/>
        <v>1</v>
      </c>
      <c r="D304" s="13">
        <f t="shared" si="3"/>
        <v>0</v>
      </c>
      <c r="E304" s="13">
        <f t="shared" si="4"/>
        <v>0</v>
      </c>
      <c r="F304" s="13">
        <f t="shared" si="5"/>
        <v>0</v>
      </c>
      <c r="G304" s="13">
        <f t="shared" si="6"/>
        <v>1</v>
      </c>
      <c r="H304" s="13">
        <f>'Orbit Info'!C303*((C304*$O$2)+(D304*$O$3)+(E304*$O$4)+(F304*$O$5))</f>
        <v>15.628032</v>
      </c>
      <c r="I304" s="13">
        <f t="shared" si="7"/>
        <v>7.17578</v>
      </c>
      <c r="J304" s="18">
        <f t="shared" si="8"/>
        <v>0.1408708667</v>
      </c>
      <c r="K304" s="18">
        <f t="shared" si="10"/>
        <v>71.7472241</v>
      </c>
      <c r="L304" s="4"/>
      <c r="M304" s="4"/>
      <c r="N304" s="4"/>
      <c r="O304" s="4"/>
      <c r="P304" s="4"/>
      <c r="Q304" s="4"/>
      <c r="R304" s="4"/>
      <c r="S304" s="4"/>
      <c r="T304" s="4"/>
      <c r="U304" s="4"/>
      <c r="V304" s="4"/>
      <c r="W304" s="4"/>
    </row>
    <row r="305" ht="15.75" customHeight="1">
      <c r="A305" s="13">
        <f t="shared" si="9"/>
        <v>302</v>
      </c>
      <c r="B305" s="18">
        <f>A305/'Orbit Info'!$G$10</f>
        <v>3.191934388</v>
      </c>
      <c r="C305" s="13">
        <f t="shared" si="2"/>
        <v>1</v>
      </c>
      <c r="D305" s="13">
        <f t="shared" si="3"/>
        <v>0</v>
      </c>
      <c r="E305" s="13">
        <f t="shared" si="4"/>
        <v>0</v>
      </c>
      <c r="F305" s="13">
        <f t="shared" si="5"/>
        <v>0</v>
      </c>
      <c r="G305" s="13">
        <f t="shared" si="6"/>
        <v>1</v>
      </c>
      <c r="H305" s="13">
        <f>'Orbit Info'!C304*((C305*$O$2)+(D305*$O$3)+(E305*$O$4)+(F305*$O$5))</f>
        <v>15.628032</v>
      </c>
      <c r="I305" s="13">
        <f t="shared" si="7"/>
        <v>7.17578</v>
      </c>
      <c r="J305" s="18">
        <f t="shared" si="8"/>
        <v>0.1408708667</v>
      </c>
      <c r="K305" s="18">
        <f t="shared" si="10"/>
        <v>71.88809497</v>
      </c>
      <c r="L305" s="4"/>
      <c r="M305" s="4"/>
      <c r="N305" s="4"/>
      <c r="O305" s="4"/>
      <c r="P305" s="4"/>
      <c r="Q305" s="4"/>
      <c r="R305" s="4"/>
      <c r="S305" s="4"/>
      <c r="T305" s="4"/>
      <c r="U305" s="4"/>
      <c r="V305" s="4"/>
      <c r="W305" s="4"/>
    </row>
    <row r="306" ht="15.75" customHeight="1">
      <c r="A306" s="13">
        <f t="shared" si="9"/>
        <v>303</v>
      </c>
      <c r="B306" s="18">
        <f>A306/'Orbit Info'!$G$10</f>
        <v>3.202503707</v>
      </c>
      <c r="C306" s="13">
        <f t="shared" si="2"/>
        <v>1</v>
      </c>
      <c r="D306" s="13">
        <f t="shared" si="3"/>
        <v>0</v>
      </c>
      <c r="E306" s="13">
        <f t="shared" si="4"/>
        <v>0</v>
      </c>
      <c r="F306" s="13">
        <f t="shared" si="5"/>
        <v>0</v>
      </c>
      <c r="G306" s="13">
        <f t="shared" si="6"/>
        <v>1</v>
      </c>
      <c r="H306" s="13">
        <f>'Orbit Info'!C305*((C306*$O$2)+(D306*$O$3)+(E306*$O$4)+(F306*$O$5))</f>
        <v>15.628032</v>
      </c>
      <c r="I306" s="13">
        <f t="shared" si="7"/>
        <v>7.17578</v>
      </c>
      <c r="J306" s="18">
        <f t="shared" si="8"/>
        <v>0.1408708667</v>
      </c>
      <c r="K306" s="18">
        <f t="shared" si="10"/>
        <v>72.02896583</v>
      </c>
      <c r="L306" s="4"/>
      <c r="M306" s="4"/>
      <c r="N306" s="4"/>
      <c r="O306" s="4"/>
      <c r="P306" s="4"/>
      <c r="Q306" s="4"/>
      <c r="R306" s="4"/>
      <c r="S306" s="4"/>
      <c r="T306" s="4"/>
      <c r="U306" s="4"/>
      <c r="V306" s="4"/>
      <c r="W306" s="4"/>
    </row>
    <row r="307" ht="15.75" customHeight="1">
      <c r="A307" s="13">
        <f t="shared" si="9"/>
        <v>304</v>
      </c>
      <c r="B307" s="18">
        <f>A307/'Orbit Info'!$G$10</f>
        <v>3.213073026</v>
      </c>
      <c r="C307" s="13">
        <f t="shared" si="2"/>
        <v>1</v>
      </c>
      <c r="D307" s="13">
        <f t="shared" si="3"/>
        <v>0</v>
      </c>
      <c r="E307" s="13">
        <f t="shared" si="4"/>
        <v>0</v>
      </c>
      <c r="F307" s="13">
        <f t="shared" si="5"/>
        <v>0</v>
      </c>
      <c r="G307" s="13">
        <f t="shared" si="6"/>
        <v>1</v>
      </c>
      <c r="H307" s="13">
        <f>'Orbit Info'!C306*((C307*$O$2)+(D307*$O$3)+(E307*$O$4)+(F307*$O$5))</f>
        <v>15.628032</v>
      </c>
      <c r="I307" s="13">
        <f t="shared" si="7"/>
        <v>7.17578</v>
      </c>
      <c r="J307" s="18">
        <f t="shared" si="8"/>
        <v>0.1408708667</v>
      </c>
      <c r="K307" s="18">
        <f t="shared" si="10"/>
        <v>72.1698367</v>
      </c>
      <c r="L307" s="4"/>
      <c r="M307" s="4"/>
      <c r="N307" s="4"/>
      <c r="O307" s="4"/>
      <c r="P307" s="4"/>
      <c r="Q307" s="4"/>
      <c r="R307" s="4"/>
      <c r="S307" s="4"/>
      <c r="T307" s="4"/>
      <c r="U307" s="4"/>
      <c r="V307" s="4"/>
      <c r="W307" s="4"/>
    </row>
    <row r="308" ht="15.75" customHeight="1">
      <c r="A308" s="13">
        <f t="shared" si="9"/>
        <v>305</v>
      </c>
      <c r="B308" s="18">
        <f>A308/'Orbit Info'!$G$10</f>
        <v>3.223642346</v>
      </c>
      <c r="C308" s="13">
        <f t="shared" si="2"/>
        <v>1</v>
      </c>
      <c r="D308" s="13">
        <f t="shared" si="3"/>
        <v>0</v>
      </c>
      <c r="E308" s="13">
        <f t="shared" si="4"/>
        <v>0</v>
      </c>
      <c r="F308" s="13">
        <f t="shared" si="5"/>
        <v>0</v>
      </c>
      <c r="G308" s="13">
        <f t="shared" si="6"/>
        <v>1</v>
      </c>
      <c r="H308" s="13">
        <f>'Orbit Info'!C307*((C308*$O$2)+(D308*$O$3)+(E308*$O$4)+(F308*$O$5))</f>
        <v>15.628032</v>
      </c>
      <c r="I308" s="13">
        <f t="shared" si="7"/>
        <v>7.17578</v>
      </c>
      <c r="J308" s="18">
        <f t="shared" si="8"/>
        <v>0.1408708667</v>
      </c>
      <c r="K308" s="18">
        <f t="shared" si="10"/>
        <v>72.31070757</v>
      </c>
      <c r="L308" s="4"/>
      <c r="M308" s="4"/>
      <c r="N308" s="4"/>
      <c r="O308" s="4"/>
      <c r="P308" s="4"/>
      <c r="Q308" s="4"/>
      <c r="R308" s="4"/>
      <c r="S308" s="4"/>
      <c r="T308" s="4"/>
      <c r="U308" s="4"/>
      <c r="V308" s="4"/>
      <c r="W308" s="4"/>
    </row>
    <row r="309" ht="15.75" customHeight="1">
      <c r="A309" s="13">
        <f t="shared" si="9"/>
        <v>306</v>
      </c>
      <c r="B309" s="18">
        <f>A309/'Orbit Info'!$G$10</f>
        <v>3.234211665</v>
      </c>
      <c r="C309" s="13">
        <f t="shared" si="2"/>
        <v>1</v>
      </c>
      <c r="D309" s="13">
        <f t="shared" si="3"/>
        <v>0</v>
      </c>
      <c r="E309" s="13">
        <f t="shared" si="4"/>
        <v>0</v>
      </c>
      <c r="F309" s="13">
        <f t="shared" si="5"/>
        <v>0</v>
      </c>
      <c r="G309" s="13">
        <f t="shared" si="6"/>
        <v>1</v>
      </c>
      <c r="H309" s="13">
        <f>'Orbit Info'!C308*((C309*$O$2)+(D309*$O$3)+(E309*$O$4)+(F309*$O$5))</f>
        <v>15.628032</v>
      </c>
      <c r="I309" s="13">
        <f t="shared" si="7"/>
        <v>7.17578</v>
      </c>
      <c r="J309" s="18">
        <f t="shared" si="8"/>
        <v>0.1408708667</v>
      </c>
      <c r="K309" s="18">
        <f t="shared" si="10"/>
        <v>72.45157843</v>
      </c>
      <c r="L309" s="4"/>
      <c r="M309" s="4"/>
      <c r="N309" s="4"/>
      <c r="O309" s="4"/>
      <c r="P309" s="4"/>
      <c r="Q309" s="4"/>
      <c r="R309" s="4"/>
      <c r="S309" s="4"/>
      <c r="T309" s="4"/>
      <c r="U309" s="4"/>
      <c r="V309" s="4"/>
      <c r="W309" s="4"/>
    </row>
    <row r="310" ht="15.75" customHeight="1">
      <c r="A310" s="13">
        <f t="shared" si="9"/>
        <v>307</v>
      </c>
      <c r="B310" s="18">
        <f>A310/'Orbit Info'!$G$10</f>
        <v>3.244780984</v>
      </c>
      <c r="C310" s="13">
        <f t="shared" si="2"/>
        <v>1</v>
      </c>
      <c r="D310" s="13">
        <f t="shared" si="3"/>
        <v>0</v>
      </c>
      <c r="E310" s="13">
        <f t="shared" si="4"/>
        <v>0</v>
      </c>
      <c r="F310" s="13">
        <f t="shared" si="5"/>
        <v>0</v>
      </c>
      <c r="G310" s="13">
        <f t="shared" si="6"/>
        <v>1</v>
      </c>
      <c r="H310" s="13">
        <f>'Orbit Info'!C309*((C310*$O$2)+(D310*$O$3)+(E310*$O$4)+(F310*$O$5))</f>
        <v>15.628032</v>
      </c>
      <c r="I310" s="13">
        <f t="shared" si="7"/>
        <v>7.17578</v>
      </c>
      <c r="J310" s="18">
        <f t="shared" si="8"/>
        <v>0.1408708667</v>
      </c>
      <c r="K310" s="18">
        <f t="shared" si="10"/>
        <v>72.5924493</v>
      </c>
      <c r="L310" s="4"/>
      <c r="M310" s="4"/>
      <c r="N310" s="4"/>
      <c r="O310" s="4"/>
      <c r="P310" s="4"/>
      <c r="Q310" s="4"/>
      <c r="R310" s="4"/>
      <c r="S310" s="4"/>
      <c r="T310" s="4"/>
      <c r="U310" s="4"/>
      <c r="V310" s="4"/>
      <c r="W310" s="4"/>
    </row>
    <row r="311" ht="15.75" customHeight="1">
      <c r="A311" s="13">
        <f t="shared" si="9"/>
        <v>308</v>
      </c>
      <c r="B311" s="18">
        <f>A311/'Orbit Info'!$G$10</f>
        <v>3.255350303</v>
      </c>
      <c r="C311" s="13">
        <f t="shared" si="2"/>
        <v>1</v>
      </c>
      <c r="D311" s="13">
        <f t="shared" si="3"/>
        <v>0</v>
      </c>
      <c r="E311" s="13">
        <f t="shared" si="4"/>
        <v>0</v>
      </c>
      <c r="F311" s="13">
        <f t="shared" si="5"/>
        <v>0</v>
      </c>
      <c r="G311" s="13">
        <f t="shared" si="6"/>
        <v>1</v>
      </c>
      <c r="H311" s="13">
        <f>'Orbit Info'!C310*((C311*$O$2)+(D311*$O$3)+(E311*$O$4)+(F311*$O$5))</f>
        <v>15.628032</v>
      </c>
      <c r="I311" s="13">
        <f t="shared" si="7"/>
        <v>7.17578</v>
      </c>
      <c r="J311" s="18">
        <f t="shared" si="8"/>
        <v>0.1408708667</v>
      </c>
      <c r="K311" s="18">
        <f t="shared" si="10"/>
        <v>72.73332017</v>
      </c>
      <c r="L311" s="4"/>
      <c r="M311" s="4"/>
      <c r="N311" s="4"/>
      <c r="O311" s="4"/>
      <c r="P311" s="4"/>
      <c r="Q311" s="4"/>
      <c r="R311" s="4"/>
      <c r="S311" s="4"/>
      <c r="T311" s="4"/>
      <c r="U311" s="4"/>
      <c r="V311" s="4"/>
      <c r="W311" s="4"/>
    </row>
    <row r="312" ht="15.75" customHeight="1">
      <c r="A312" s="13">
        <f t="shared" si="9"/>
        <v>309</v>
      </c>
      <c r="B312" s="18">
        <f>A312/'Orbit Info'!$G$10</f>
        <v>3.265919622</v>
      </c>
      <c r="C312" s="13">
        <f t="shared" si="2"/>
        <v>1</v>
      </c>
      <c r="D312" s="13">
        <f t="shared" si="3"/>
        <v>0</v>
      </c>
      <c r="E312" s="13">
        <f t="shared" si="4"/>
        <v>0</v>
      </c>
      <c r="F312" s="13">
        <f t="shared" si="5"/>
        <v>0</v>
      </c>
      <c r="G312" s="13">
        <f t="shared" si="6"/>
        <v>1</v>
      </c>
      <c r="H312" s="13">
        <f>'Orbit Info'!C311*((C312*$O$2)+(D312*$O$3)+(E312*$O$4)+(F312*$O$5))</f>
        <v>15.628032</v>
      </c>
      <c r="I312" s="13">
        <f t="shared" si="7"/>
        <v>7.17578</v>
      </c>
      <c r="J312" s="18">
        <f t="shared" si="8"/>
        <v>0.1408708667</v>
      </c>
      <c r="K312" s="18">
        <f t="shared" si="10"/>
        <v>72.87419103</v>
      </c>
      <c r="L312" s="4"/>
      <c r="M312" s="4"/>
      <c r="N312" s="4"/>
      <c r="O312" s="4"/>
      <c r="P312" s="4"/>
      <c r="Q312" s="4"/>
      <c r="R312" s="4"/>
      <c r="S312" s="4"/>
      <c r="T312" s="4"/>
      <c r="U312" s="4"/>
      <c r="V312" s="4"/>
      <c r="W312" s="4"/>
    </row>
    <row r="313" ht="15.75" customHeight="1">
      <c r="A313" s="13">
        <f t="shared" si="9"/>
        <v>310</v>
      </c>
      <c r="B313" s="18">
        <f>A313/'Orbit Info'!$G$10</f>
        <v>3.276488941</v>
      </c>
      <c r="C313" s="13">
        <f t="shared" si="2"/>
        <v>1</v>
      </c>
      <c r="D313" s="13">
        <f t="shared" si="3"/>
        <v>0</v>
      </c>
      <c r="E313" s="13">
        <f t="shared" si="4"/>
        <v>0</v>
      </c>
      <c r="F313" s="13">
        <f t="shared" si="5"/>
        <v>0</v>
      </c>
      <c r="G313" s="13">
        <f t="shared" si="6"/>
        <v>1</v>
      </c>
      <c r="H313" s="13">
        <f>'Orbit Info'!C312*((C313*$O$2)+(D313*$O$3)+(E313*$O$4)+(F313*$O$5))</f>
        <v>15.628032</v>
      </c>
      <c r="I313" s="13">
        <f t="shared" si="7"/>
        <v>7.17578</v>
      </c>
      <c r="J313" s="18">
        <f t="shared" si="8"/>
        <v>0.1408708667</v>
      </c>
      <c r="K313" s="18">
        <f t="shared" si="10"/>
        <v>73.0150619</v>
      </c>
      <c r="L313" s="4"/>
      <c r="M313" s="4"/>
      <c r="N313" s="4"/>
      <c r="O313" s="4"/>
      <c r="P313" s="4"/>
      <c r="Q313" s="4"/>
      <c r="R313" s="4"/>
      <c r="S313" s="4"/>
      <c r="T313" s="4"/>
      <c r="U313" s="4"/>
      <c r="V313" s="4"/>
      <c r="W313" s="4"/>
    </row>
    <row r="314" ht="15.75" customHeight="1">
      <c r="A314" s="13">
        <f t="shared" si="9"/>
        <v>311</v>
      </c>
      <c r="B314" s="18">
        <f>A314/'Orbit Info'!$G$10</f>
        <v>3.287058261</v>
      </c>
      <c r="C314" s="13">
        <f t="shared" si="2"/>
        <v>1</v>
      </c>
      <c r="D314" s="13">
        <f t="shared" si="3"/>
        <v>0</v>
      </c>
      <c r="E314" s="13">
        <f t="shared" si="4"/>
        <v>0</v>
      </c>
      <c r="F314" s="13">
        <f t="shared" si="5"/>
        <v>0</v>
      </c>
      <c r="G314" s="13">
        <f t="shared" si="6"/>
        <v>1</v>
      </c>
      <c r="H314" s="13">
        <f>'Orbit Info'!C313*((C314*$O$2)+(D314*$O$3)+(E314*$O$4)+(F314*$O$5))</f>
        <v>15.628032</v>
      </c>
      <c r="I314" s="13">
        <f t="shared" si="7"/>
        <v>7.17578</v>
      </c>
      <c r="J314" s="18">
        <f t="shared" si="8"/>
        <v>0.1408708667</v>
      </c>
      <c r="K314" s="18">
        <f t="shared" si="10"/>
        <v>73.15593277</v>
      </c>
      <c r="L314" s="4"/>
      <c r="M314" s="4"/>
      <c r="N314" s="4"/>
      <c r="O314" s="4"/>
      <c r="P314" s="4"/>
      <c r="Q314" s="4"/>
      <c r="R314" s="4"/>
      <c r="S314" s="4"/>
      <c r="T314" s="4"/>
      <c r="U314" s="4"/>
      <c r="V314" s="4"/>
      <c r="W314" s="4"/>
    </row>
    <row r="315" ht="15.75" customHeight="1">
      <c r="A315" s="13">
        <f t="shared" si="9"/>
        <v>312</v>
      </c>
      <c r="B315" s="18">
        <f>A315/'Orbit Info'!$G$10</f>
        <v>3.29762758</v>
      </c>
      <c r="C315" s="13">
        <f t="shared" si="2"/>
        <v>1</v>
      </c>
      <c r="D315" s="13">
        <f t="shared" si="3"/>
        <v>0</v>
      </c>
      <c r="E315" s="13">
        <f t="shared" si="4"/>
        <v>0</v>
      </c>
      <c r="F315" s="13">
        <f t="shared" si="5"/>
        <v>0</v>
      </c>
      <c r="G315" s="13">
        <f t="shared" si="6"/>
        <v>1</v>
      </c>
      <c r="H315" s="13">
        <f>'Orbit Info'!C314*((C315*$O$2)+(D315*$O$3)+(E315*$O$4)+(F315*$O$5))</f>
        <v>15.628032</v>
      </c>
      <c r="I315" s="13">
        <f t="shared" si="7"/>
        <v>7.17578</v>
      </c>
      <c r="J315" s="18">
        <f t="shared" si="8"/>
        <v>0.1408708667</v>
      </c>
      <c r="K315" s="18">
        <f t="shared" si="10"/>
        <v>73.29680363</v>
      </c>
      <c r="L315" s="4"/>
      <c r="M315" s="4"/>
      <c r="N315" s="4"/>
      <c r="O315" s="4"/>
      <c r="P315" s="4"/>
      <c r="Q315" s="4"/>
      <c r="R315" s="4"/>
      <c r="S315" s="4"/>
      <c r="T315" s="4"/>
      <c r="U315" s="4"/>
      <c r="V315" s="4"/>
      <c r="W315" s="4"/>
    </row>
    <row r="316" ht="15.75" customHeight="1">
      <c r="A316" s="13">
        <f t="shared" si="9"/>
        <v>313</v>
      </c>
      <c r="B316" s="18">
        <f>A316/'Orbit Info'!$G$10</f>
        <v>3.308196899</v>
      </c>
      <c r="C316" s="13">
        <f t="shared" si="2"/>
        <v>1</v>
      </c>
      <c r="D316" s="13">
        <f t="shared" si="3"/>
        <v>0</v>
      </c>
      <c r="E316" s="13">
        <f t="shared" si="4"/>
        <v>0</v>
      </c>
      <c r="F316" s="13">
        <f t="shared" si="5"/>
        <v>0</v>
      </c>
      <c r="G316" s="13">
        <f t="shared" si="6"/>
        <v>1</v>
      </c>
      <c r="H316" s="13">
        <f>'Orbit Info'!C315*((C316*$O$2)+(D316*$O$3)+(E316*$O$4)+(F316*$O$5))</f>
        <v>15.628032</v>
      </c>
      <c r="I316" s="13">
        <f t="shared" si="7"/>
        <v>7.17578</v>
      </c>
      <c r="J316" s="18">
        <f t="shared" si="8"/>
        <v>0.1408708667</v>
      </c>
      <c r="K316" s="18">
        <f t="shared" si="10"/>
        <v>73.4376745</v>
      </c>
      <c r="L316" s="4"/>
      <c r="M316" s="4"/>
      <c r="N316" s="4"/>
      <c r="O316" s="4"/>
      <c r="P316" s="4"/>
      <c r="Q316" s="4"/>
      <c r="R316" s="4"/>
      <c r="S316" s="4"/>
      <c r="T316" s="4"/>
      <c r="U316" s="4"/>
      <c r="V316" s="4"/>
      <c r="W316" s="4"/>
    </row>
    <row r="317" ht="15.75" customHeight="1">
      <c r="A317" s="13">
        <f t="shared" si="9"/>
        <v>314</v>
      </c>
      <c r="B317" s="18">
        <f>A317/'Orbit Info'!$G$10</f>
        <v>3.318766218</v>
      </c>
      <c r="C317" s="13">
        <f t="shared" si="2"/>
        <v>1</v>
      </c>
      <c r="D317" s="13">
        <f t="shared" si="3"/>
        <v>0</v>
      </c>
      <c r="E317" s="13">
        <f t="shared" si="4"/>
        <v>0</v>
      </c>
      <c r="F317" s="13">
        <f t="shared" si="5"/>
        <v>0</v>
      </c>
      <c r="G317" s="13">
        <f t="shared" si="6"/>
        <v>1</v>
      </c>
      <c r="H317" s="13">
        <f>'Orbit Info'!C316*((C317*$O$2)+(D317*$O$3)+(E317*$O$4)+(F317*$O$5))</f>
        <v>15.628032</v>
      </c>
      <c r="I317" s="13">
        <f t="shared" si="7"/>
        <v>7.17578</v>
      </c>
      <c r="J317" s="18">
        <f t="shared" si="8"/>
        <v>0.1408708667</v>
      </c>
      <c r="K317" s="18">
        <f t="shared" si="10"/>
        <v>73.57854537</v>
      </c>
      <c r="L317" s="4"/>
      <c r="M317" s="4"/>
      <c r="N317" s="4"/>
      <c r="O317" s="4"/>
      <c r="P317" s="4"/>
      <c r="Q317" s="4"/>
      <c r="R317" s="4"/>
      <c r="S317" s="4"/>
      <c r="T317" s="4"/>
      <c r="U317" s="4"/>
      <c r="V317" s="4"/>
      <c r="W317" s="4"/>
    </row>
    <row r="318" ht="15.75" customHeight="1">
      <c r="A318" s="13">
        <f t="shared" si="9"/>
        <v>315</v>
      </c>
      <c r="B318" s="18">
        <f>A318/'Orbit Info'!$G$10</f>
        <v>3.329335537</v>
      </c>
      <c r="C318" s="13">
        <f t="shared" si="2"/>
        <v>1</v>
      </c>
      <c r="D318" s="13">
        <f t="shared" si="3"/>
        <v>0</v>
      </c>
      <c r="E318" s="13">
        <f t="shared" si="4"/>
        <v>0</v>
      </c>
      <c r="F318" s="13">
        <f t="shared" si="5"/>
        <v>0</v>
      </c>
      <c r="G318" s="13">
        <f t="shared" si="6"/>
        <v>1</v>
      </c>
      <c r="H318" s="13">
        <f>'Orbit Info'!C317*((C318*$O$2)+(D318*$O$3)+(E318*$O$4)+(F318*$O$5))</f>
        <v>15.628032</v>
      </c>
      <c r="I318" s="13">
        <f t="shared" si="7"/>
        <v>7.17578</v>
      </c>
      <c r="J318" s="18">
        <f t="shared" si="8"/>
        <v>0.1408708667</v>
      </c>
      <c r="K318" s="18">
        <f t="shared" si="10"/>
        <v>73.71941623</v>
      </c>
      <c r="L318" s="4"/>
      <c r="M318" s="4"/>
      <c r="N318" s="4"/>
      <c r="O318" s="4"/>
      <c r="P318" s="4"/>
      <c r="Q318" s="4"/>
      <c r="R318" s="4"/>
      <c r="S318" s="4"/>
      <c r="T318" s="4"/>
      <c r="U318" s="4"/>
      <c r="V318" s="4"/>
      <c r="W318" s="4"/>
    </row>
    <row r="319" ht="15.75" customHeight="1">
      <c r="A319" s="13">
        <f t="shared" si="9"/>
        <v>316</v>
      </c>
      <c r="B319" s="18">
        <f>A319/'Orbit Info'!$G$10</f>
        <v>3.339904856</v>
      </c>
      <c r="C319" s="13">
        <f t="shared" si="2"/>
        <v>1</v>
      </c>
      <c r="D319" s="13">
        <f t="shared" si="3"/>
        <v>0</v>
      </c>
      <c r="E319" s="13">
        <f t="shared" si="4"/>
        <v>0</v>
      </c>
      <c r="F319" s="13">
        <f t="shared" si="5"/>
        <v>0</v>
      </c>
      <c r="G319" s="13">
        <f t="shared" si="6"/>
        <v>1</v>
      </c>
      <c r="H319" s="13">
        <f>'Orbit Info'!C318*((C319*$O$2)+(D319*$O$3)+(E319*$O$4)+(F319*$O$5))</f>
        <v>15.628032</v>
      </c>
      <c r="I319" s="13">
        <f t="shared" si="7"/>
        <v>7.17578</v>
      </c>
      <c r="J319" s="18">
        <f t="shared" si="8"/>
        <v>0.1408708667</v>
      </c>
      <c r="K319" s="18">
        <f t="shared" si="10"/>
        <v>73.8602871</v>
      </c>
      <c r="L319" s="4"/>
      <c r="M319" s="4"/>
      <c r="N319" s="4"/>
      <c r="O319" s="4"/>
      <c r="P319" s="4"/>
      <c r="Q319" s="4"/>
      <c r="R319" s="4"/>
      <c r="S319" s="4"/>
      <c r="T319" s="4"/>
      <c r="U319" s="4"/>
      <c r="V319" s="4"/>
      <c r="W319" s="4"/>
    </row>
    <row r="320" ht="15.75" customHeight="1">
      <c r="A320" s="13">
        <f t="shared" si="9"/>
        <v>317</v>
      </c>
      <c r="B320" s="18">
        <f>A320/'Orbit Info'!$G$10</f>
        <v>3.350474176</v>
      </c>
      <c r="C320" s="13">
        <f t="shared" si="2"/>
        <v>1</v>
      </c>
      <c r="D320" s="13">
        <f t="shared" si="3"/>
        <v>0</v>
      </c>
      <c r="E320" s="13">
        <f t="shared" si="4"/>
        <v>0</v>
      </c>
      <c r="F320" s="13">
        <f t="shared" si="5"/>
        <v>0</v>
      </c>
      <c r="G320" s="13">
        <f t="shared" si="6"/>
        <v>1</v>
      </c>
      <c r="H320" s="13">
        <f>'Orbit Info'!C319*((C320*$O$2)+(D320*$O$3)+(E320*$O$4)+(F320*$O$5))</f>
        <v>15.628032</v>
      </c>
      <c r="I320" s="13">
        <f t="shared" si="7"/>
        <v>7.17578</v>
      </c>
      <c r="J320" s="18">
        <f t="shared" si="8"/>
        <v>0.1408708667</v>
      </c>
      <c r="K320" s="18">
        <f t="shared" si="10"/>
        <v>74.00115797</v>
      </c>
      <c r="L320" s="4"/>
      <c r="M320" s="4"/>
      <c r="N320" s="4"/>
      <c r="O320" s="4"/>
      <c r="P320" s="4"/>
      <c r="Q320" s="4"/>
      <c r="R320" s="4"/>
      <c r="S320" s="4"/>
      <c r="T320" s="4"/>
      <c r="U320" s="4"/>
      <c r="V320" s="4"/>
      <c r="W320" s="4"/>
    </row>
    <row r="321" ht="15.75" customHeight="1">
      <c r="A321" s="13">
        <f t="shared" si="9"/>
        <v>318</v>
      </c>
      <c r="B321" s="18">
        <f>A321/'Orbit Info'!$G$10</f>
        <v>3.361043495</v>
      </c>
      <c r="C321" s="13">
        <f t="shared" si="2"/>
        <v>1</v>
      </c>
      <c r="D321" s="13">
        <f t="shared" si="3"/>
        <v>0</v>
      </c>
      <c r="E321" s="13">
        <f t="shared" si="4"/>
        <v>0</v>
      </c>
      <c r="F321" s="13">
        <f t="shared" si="5"/>
        <v>0</v>
      </c>
      <c r="G321" s="13">
        <f t="shared" si="6"/>
        <v>1</v>
      </c>
      <c r="H321" s="13">
        <f>'Orbit Info'!C320*((C321*$O$2)+(D321*$O$3)+(E321*$O$4)+(F321*$O$5))</f>
        <v>15.628032</v>
      </c>
      <c r="I321" s="13">
        <f t="shared" si="7"/>
        <v>7.17578</v>
      </c>
      <c r="J321" s="18">
        <f t="shared" si="8"/>
        <v>0.1408708667</v>
      </c>
      <c r="K321" s="18">
        <f t="shared" si="10"/>
        <v>74.14202883</v>
      </c>
      <c r="L321" s="4"/>
      <c r="M321" s="4"/>
      <c r="N321" s="4"/>
      <c r="O321" s="4"/>
      <c r="P321" s="4"/>
      <c r="Q321" s="4"/>
      <c r="R321" s="4"/>
      <c r="S321" s="4"/>
      <c r="T321" s="4"/>
      <c r="U321" s="4"/>
      <c r="V321" s="4"/>
      <c r="W321" s="4"/>
    </row>
    <row r="322" ht="15.75" customHeight="1">
      <c r="A322" s="13">
        <f t="shared" si="9"/>
        <v>319</v>
      </c>
      <c r="B322" s="18">
        <f>A322/'Orbit Info'!$G$10</f>
        <v>3.371612814</v>
      </c>
      <c r="C322" s="13">
        <f t="shared" si="2"/>
        <v>1</v>
      </c>
      <c r="D322" s="13">
        <f t="shared" si="3"/>
        <v>0</v>
      </c>
      <c r="E322" s="13">
        <f t="shared" si="4"/>
        <v>0</v>
      </c>
      <c r="F322" s="13">
        <f t="shared" si="5"/>
        <v>0</v>
      </c>
      <c r="G322" s="13">
        <f t="shared" si="6"/>
        <v>1</v>
      </c>
      <c r="H322" s="13">
        <f>'Orbit Info'!C321*((C322*$O$2)+(D322*$O$3)+(E322*$O$4)+(F322*$O$5))</f>
        <v>15.628032</v>
      </c>
      <c r="I322" s="13">
        <f t="shared" si="7"/>
        <v>7.17578</v>
      </c>
      <c r="J322" s="18">
        <f t="shared" si="8"/>
        <v>0.1408708667</v>
      </c>
      <c r="K322" s="18">
        <f t="shared" si="10"/>
        <v>74.2828997</v>
      </c>
      <c r="L322" s="4"/>
      <c r="M322" s="4"/>
      <c r="N322" s="4"/>
      <c r="O322" s="4"/>
      <c r="P322" s="4"/>
      <c r="Q322" s="4"/>
      <c r="R322" s="4"/>
      <c r="S322" s="4"/>
      <c r="T322" s="4"/>
      <c r="U322" s="4"/>
      <c r="V322" s="4"/>
      <c r="W322" s="4"/>
    </row>
    <row r="323" ht="15.75" customHeight="1">
      <c r="A323" s="13">
        <f t="shared" si="9"/>
        <v>320</v>
      </c>
      <c r="B323" s="18">
        <f>A323/'Orbit Info'!$G$10</f>
        <v>3.382182133</v>
      </c>
      <c r="C323" s="13">
        <f t="shared" si="2"/>
        <v>1</v>
      </c>
      <c r="D323" s="13">
        <f t="shared" si="3"/>
        <v>0</v>
      </c>
      <c r="E323" s="13">
        <f t="shared" si="4"/>
        <v>0</v>
      </c>
      <c r="F323" s="13">
        <f t="shared" si="5"/>
        <v>0</v>
      </c>
      <c r="G323" s="13">
        <f t="shared" si="6"/>
        <v>1</v>
      </c>
      <c r="H323" s="13">
        <f>'Orbit Info'!C322*((C323*$O$2)+(D323*$O$3)+(E323*$O$4)+(F323*$O$5))</f>
        <v>15.628032</v>
      </c>
      <c r="I323" s="13">
        <f t="shared" si="7"/>
        <v>7.17578</v>
      </c>
      <c r="J323" s="18">
        <f t="shared" si="8"/>
        <v>0.1408708667</v>
      </c>
      <c r="K323" s="18">
        <f t="shared" si="10"/>
        <v>74.42377057</v>
      </c>
      <c r="L323" s="4"/>
      <c r="M323" s="4"/>
      <c r="N323" s="4"/>
      <c r="O323" s="4"/>
      <c r="P323" s="4"/>
      <c r="Q323" s="4"/>
      <c r="R323" s="4"/>
      <c r="S323" s="4"/>
      <c r="T323" s="4"/>
      <c r="U323" s="4"/>
      <c r="V323" s="4"/>
      <c r="W323" s="4"/>
    </row>
    <row r="324" ht="15.75" customHeight="1">
      <c r="A324" s="13">
        <f t="shared" si="9"/>
        <v>321</v>
      </c>
      <c r="B324" s="18">
        <f>A324/'Orbit Info'!$G$10</f>
        <v>3.392751452</v>
      </c>
      <c r="C324" s="13">
        <f t="shared" si="2"/>
        <v>1</v>
      </c>
      <c r="D324" s="13">
        <f t="shared" si="3"/>
        <v>0</v>
      </c>
      <c r="E324" s="13">
        <f t="shared" si="4"/>
        <v>0</v>
      </c>
      <c r="F324" s="13">
        <f t="shared" si="5"/>
        <v>0</v>
      </c>
      <c r="G324" s="13">
        <f t="shared" si="6"/>
        <v>1</v>
      </c>
      <c r="H324" s="13">
        <f>'Orbit Info'!C323*((C324*$O$2)+(D324*$O$3)+(E324*$O$4)+(F324*$O$5))</f>
        <v>15.628032</v>
      </c>
      <c r="I324" s="13">
        <f t="shared" si="7"/>
        <v>7.17578</v>
      </c>
      <c r="J324" s="18">
        <f t="shared" si="8"/>
        <v>0.1408708667</v>
      </c>
      <c r="K324" s="18">
        <f t="shared" si="10"/>
        <v>74.56464143</v>
      </c>
      <c r="L324" s="4"/>
      <c r="M324" s="4"/>
      <c r="N324" s="4"/>
      <c r="O324" s="4"/>
      <c r="P324" s="4"/>
      <c r="Q324" s="4"/>
      <c r="R324" s="4"/>
      <c r="S324" s="4"/>
      <c r="T324" s="4"/>
      <c r="U324" s="4"/>
      <c r="V324" s="4"/>
      <c r="W324" s="4"/>
    </row>
    <row r="325" ht="15.75" customHeight="1">
      <c r="A325" s="13">
        <f t="shared" si="9"/>
        <v>322</v>
      </c>
      <c r="B325" s="18">
        <f>A325/'Orbit Info'!$G$10</f>
        <v>3.403320771</v>
      </c>
      <c r="C325" s="13">
        <f t="shared" si="2"/>
        <v>1</v>
      </c>
      <c r="D325" s="13">
        <f t="shared" si="3"/>
        <v>0</v>
      </c>
      <c r="E325" s="13">
        <f t="shared" si="4"/>
        <v>0</v>
      </c>
      <c r="F325" s="13">
        <f t="shared" si="5"/>
        <v>0</v>
      </c>
      <c r="G325" s="13">
        <f t="shared" si="6"/>
        <v>1</v>
      </c>
      <c r="H325" s="13">
        <f>'Orbit Info'!C324*((C325*$O$2)+(D325*$O$3)+(E325*$O$4)+(F325*$O$5))</f>
        <v>15.628032</v>
      </c>
      <c r="I325" s="13">
        <f t="shared" si="7"/>
        <v>7.17578</v>
      </c>
      <c r="J325" s="18">
        <f t="shared" si="8"/>
        <v>0.1408708667</v>
      </c>
      <c r="K325" s="18">
        <f t="shared" si="10"/>
        <v>74.7055123</v>
      </c>
      <c r="L325" s="4"/>
      <c r="M325" s="4"/>
      <c r="N325" s="4"/>
      <c r="O325" s="4"/>
      <c r="P325" s="4"/>
      <c r="Q325" s="4"/>
      <c r="R325" s="4"/>
      <c r="S325" s="4"/>
      <c r="T325" s="4"/>
      <c r="U325" s="4"/>
      <c r="V325" s="4"/>
      <c r="W325" s="4"/>
    </row>
    <row r="326" ht="15.75" customHeight="1">
      <c r="A326" s="13">
        <f t="shared" si="9"/>
        <v>323</v>
      </c>
      <c r="B326" s="18">
        <f>A326/'Orbit Info'!$G$10</f>
        <v>3.413890091</v>
      </c>
      <c r="C326" s="13">
        <f t="shared" si="2"/>
        <v>1</v>
      </c>
      <c r="D326" s="13">
        <f t="shared" si="3"/>
        <v>0</v>
      </c>
      <c r="E326" s="13">
        <f t="shared" si="4"/>
        <v>0</v>
      </c>
      <c r="F326" s="13">
        <f t="shared" si="5"/>
        <v>0</v>
      </c>
      <c r="G326" s="13">
        <f t="shared" si="6"/>
        <v>1</v>
      </c>
      <c r="H326" s="13">
        <f>'Orbit Info'!C325*((C326*$O$2)+(D326*$O$3)+(E326*$O$4)+(F326*$O$5))</f>
        <v>15.628032</v>
      </c>
      <c r="I326" s="13">
        <f t="shared" si="7"/>
        <v>7.17578</v>
      </c>
      <c r="J326" s="18">
        <f t="shared" si="8"/>
        <v>0.1408708667</v>
      </c>
      <c r="K326" s="18">
        <f t="shared" si="10"/>
        <v>74.84638317</v>
      </c>
      <c r="L326" s="4"/>
      <c r="M326" s="4"/>
      <c r="N326" s="4"/>
      <c r="O326" s="4"/>
      <c r="P326" s="4"/>
      <c r="Q326" s="4"/>
      <c r="R326" s="4"/>
      <c r="S326" s="4"/>
      <c r="T326" s="4"/>
      <c r="U326" s="4"/>
      <c r="V326" s="4"/>
      <c r="W326" s="4"/>
    </row>
    <row r="327" ht="15.75" customHeight="1">
      <c r="A327" s="13">
        <f t="shared" si="9"/>
        <v>324</v>
      </c>
      <c r="B327" s="18">
        <f>A327/'Orbit Info'!$G$10</f>
        <v>3.42445941</v>
      </c>
      <c r="C327" s="13">
        <f t="shared" si="2"/>
        <v>1</v>
      </c>
      <c r="D327" s="13">
        <f t="shared" si="3"/>
        <v>0</v>
      </c>
      <c r="E327" s="13">
        <f t="shared" si="4"/>
        <v>0</v>
      </c>
      <c r="F327" s="13">
        <f t="shared" si="5"/>
        <v>0</v>
      </c>
      <c r="G327" s="13">
        <f t="shared" si="6"/>
        <v>1</v>
      </c>
      <c r="H327" s="13">
        <f>'Orbit Info'!C326*((C327*$O$2)+(D327*$O$3)+(E327*$O$4)+(F327*$O$5))</f>
        <v>15.628032</v>
      </c>
      <c r="I327" s="13">
        <f t="shared" si="7"/>
        <v>7.17578</v>
      </c>
      <c r="J327" s="18">
        <f t="shared" si="8"/>
        <v>0.1408708667</v>
      </c>
      <c r="K327" s="18">
        <f t="shared" si="10"/>
        <v>74.98725403</v>
      </c>
      <c r="L327" s="4"/>
      <c r="M327" s="4"/>
      <c r="N327" s="4"/>
      <c r="O327" s="4"/>
      <c r="P327" s="4"/>
      <c r="Q327" s="4"/>
      <c r="R327" s="4"/>
      <c r="S327" s="4"/>
      <c r="T327" s="4"/>
      <c r="U327" s="4"/>
      <c r="V327" s="4"/>
      <c r="W327" s="4"/>
    </row>
    <row r="328" ht="15.75" customHeight="1">
      <c r="A328" s="13">
        <f t="shared" si="9"/>
        <v>325</v>
      </c>
      <c r="B328" s="18">
        <f>A328/'Orbit Info'!$G$10</f>
        <v>3.435028729</v>
      </c>
      <c r="C328" s="13">
        <f t="shared" si="2"/>
        <v>1</v>
      </c>
      <c r="D328" s="13">
        <f t="shared" si="3"/>
        <v>0</v>
      </c>
      <c r="E328" s="13">
        <f t="shared" si="4"/>
        <v>0</v>
      </c>
      <c r="F328" s="13">
        <f t="shared" si="5"/>
        <v>0</v>
      </c>
      <c r="G328" s="13">
        <f t="shared" si="6"/>
        <v>1</v>
      </c>
      <c r="H328" s="13">
        <f>'Orbit Info'!C327*((C328*$O$2)+(D328*$O$3)+(E328*$O$4)+(F328*$O$5))</f>
        <v>15.628032</v>
      </c>
      <c r="I328" s="13">
        <f t="shared" si="7"/>
        <v>7.17578</v>
      </c>
      <c r="J328" s="18">
        <f t="shared" si="8"/>
        <v>0.1408708667</v>
      </c>
      <c r="K328" s="18">
        <f t="shared" si="10"/>
        <v>75.1281249</v>
      </c>
      <c r="L328" s="4"/>
      <c r="M328" s="4"/>
      <c r="N328" s="4"/>
      <c r="O328" s="4"/>
      <c r="P328" s="4"/>
      <c r="Q328" s="4"/>
      <c r="R328" s="4"/>
      <c r="S328" s="4"/>
      <c r="T328" s="4"/>
      <c r="U328" s="4"/>
      <c r="V328" s="4"/>
      <c r="W328" s="4"/>
    </row>
    <row r="329" ht="15.75" customHeight="1">
      <c r="A329" s="13">
        <f t="shared" si="9"/>
        <v>326</v>
      </c>
      <c r="B329" s="18">
        <f>A329/'Orbit Info'!$G$10</f>
        <v>3.445598048</v>
      </c>
      <c r="C329" s="13">
        <f t="shared" si="2"/>
        <v>1</v>
      </c>
      <c r="D329" s="13">
        <f t="shared" si="3"/>
        <v>0</v>
      </c>
      <c r="E329" s="13">
        <f t="shared" si="4"/>
        <v>0</v>
      </c>
      <c r="F329" s="13">
        <f t="shared" si="5"/>
        <v>0</v>
      </c>
      <c r="G329" s="13">
        <f t="shared" si="6"/>
        <v>1</v>
      </c>
      <c r="H329" s="13">
        <f>'Orbit Info'!C328*((C329*$O$2)+(D329*$O$3)+(E329*$O$4)+(F329*$O$5))</f>
        <v>15.628032</v>
      </c>
      <c r="I329" s="13">
        <f t="shared" si="7"/>
        <v>7.17578</v>
      </c>
      <c r="J329" s="18">
        <f t="shared" si="8"/>
        <v>0.1408708667</v>
      </c>
      <c r="K329" s="18">
        <f t="shared" si="10"/>
        <v>75.26899577</v>
      </c>
      <c r="L329" s="4"/>
      <c r="M329" s="4"/>
      <c r="N329" s="4"/>
      <c r="O329" s="4"/>
      <c r="P329" s="4"/>
      <c r="Q329" s="4"/>
      <c r="R329" s="4"/>
      <c r="S329" s="4"/>
      <c r="T329" s="4"/>
      <c r="U329" s="4"/>
      <c r="V329" s="4"/>
      <c r="W329" s="4"/>
    </row>
    <row r="330" ht="15.75" customHeight="1">
      <c r="A330" s="13">
        <f t="shared" si="9"/>
        <v>327</v>
      </c>
      <c r="B330" s="18">
        <f>A330/'Orbit Info'!$G$10</f>
        <v>3.456167367</v>
      </c>
      <c r="C330" s="13">
        <f t="shared" si="2"/>
        <v>1</v>
      </c>
      <c r="D330" s="13">
        <f t="shared" si="3"/>
        <v>0</v>
      </c>
      <c r="E330" s="13">
        <f t="shared" si="4"/>
        <v>0</v>
      </c>
      <c r="F330" s="13">
        <f t="shared" si="5"/>
        <v>0</v>
      </c>
      <c r="G330" s="13">
        <f t="shared" si="6"/>
        <v>1</v>
      </c>
      <c r="H330" s="13">
        <f>'Orbit Info'!C329*((C330*$O$2)+(D330*$O$3)+(E330*$O$4)+(F330*$O$5))</f>
        <v>15.628032</v>
      </c>
      <c r="I330" s="13">
        <f t="shared" si="7"/>
        <v>7.17578</v>
      </c>
      <c r="J330" s="18">
        <f t="shared" si="8"/>
        <v>0.1408708667</v>
      </c>
      <c r="K330" s="18">
        <f t="shared" si="10"/>
        <v>75.40986663</v>
      </c>
      <c r="L330" s="4"/>
      <c r="M330" s="4"/>
      <c r="N330" s="4"/>
      <c r="O330" s="4"/>
      <c r="P330" s="4"/>
      <c r="Q330" s="4"/>
      <c r="R330" s="4"/>
      <c r="S330" s="4"/>
      <c r="T330" s="4"/>
      <c r="U330" s="4"/>
      <c r="V330" s="4"/>
      <c r="W330" s="4"/>
    </row>
    <row r="331" ht="15.75" customHeight="1">
      <c r="A331" s="13">
        <f t="shared" si="9"/>
        <v>328</v>
      </c>
      <c r="B331" s="18">
        <f>A331/'Orbit Info'!$G$10</f>
        <v>3.466736686</v>
      </c>
      <c r="C331" s="13">
        <f t="shared" si="2"/>
        <v>1</v>
      </c>
      <c r="D331" s="13">
        <f t="shared" si="3"/>
        <v>0</v>
      </c>
      <c r="E331" s="13">
        <f t="shared" si="4"/>
        <v>0</v>
      </c>
      <c r="F331" s="13">
        <f t="shared" si="5"/>
        <v>0</v>
      </c>
      <c r="G331" s="13">
        <f t="shared" si="6"/>
        <v>1</v>
      </c>
      <c r="H331" s="13">
        <f>'Orbit Info'!C330*((C331*$O$2)+(D331*$O$3)+(E331*$O$4)+(F331*$O$5))</f>
        <v>15.628032</v>
      </c>
      <c r="I331" s="13">
        <f t="shared" si="7"/>
        <v>7.17578</v>
      </c>
      <c r="J331" s="18">
        <f t="shared" si="8"/>
        <v>0.1408708667</v>
      </c>
      <c r="K331" s="18">
        <f t="shared" si="10"/>
        <v>75.5507375</v>
      </c>
      <c r="L331" s="4"/>
      <c r="M331" s="4"/>
      <c r="N331" s="4"/>
      <c r="O331" s="4"/>
      <c r="P331" s="4"/>
      <c r="Q331" s="4"/>
      <c r="R331" s="4"/>
      <c r="S331" s="4"/>
      <c r="T331" s="4"/>
      <c r="U331" s="4"/>
      <c r="V331" s="4"/>
      <c r="W331" s="4"/>
    </row>
    <row r="332" ht="15.75" customHeight="1">
      <c r="A332" s="13">
        <f t="shared" si="9"/>
        <v>329</v>
      </c>
      <c r="B332" s="18">
        <f>A332/'Orbit Info'!$G$10</f>
        <v>3.477306006</v>
      </c>
      <c r="C332" s="13">
        <f t="shared" si="2"/>
        <v>1</v>
      </c>
      <c r="D332" s="13">
        <f t="shared" si="3"/>
        <v>0</v>
      </c>
      <c r="E332" s="13">
        <f t="shared" si="4"/>
        <v>0</v>
      </c>
      <c r="F332" s="13">
        <f t="shared" si="5"/>
        <v>0</v>
      </c>
      <c r="G332" s="13">
        <f t="shared" si="6"/>
        <v>1</v>
      </c>
      <c r="H332" s="13">
        <f>'Orbit Info'!C331*((C332*$O$2)+(D332*$O$3)+(E332*$O$4)+(F332*$O$5))</f>
        <v>15.628032</v>
      </c>
      <c r="I332" s="13">
        <f t="shared" si="7"/>
        <v>7.17578</v>
      </c>
      <c r="J332" s="18">
        <f t="shared" si="8"/>
        <v>0.1408708667</v>
      </c>
      <c r="K332" s="18">
        <f t="shared" si="10"/>
        <v>75.69160837</v>
      </c>
      <c r="L332" s="4"/>
      <c r="M332" s="4"/>
      <c r="N332" s="4"/>
      <c r="O332" s="4"/>
      <c r="P332" s="4"/>
      <c r="Q332" s="4"/>
      <c r="R332" s="4"/>
      <c r="S332" s="4"/>
      <c r="T332" s="4"/>
      <c r="U332" s="4"/>
      <c r="V332" s="4"/>
      <c r="W332" s="4"/>
    </row>
    <row r="333" ht="15.75" customHeight="1">
      <c r="A333" s="13">
        <f t="shared" si="9"/>
        <v>330</v>
      </c>
      <c r="B333" s="18">
        <f>A333/'Orbit Info'!$G$10</f>
        <v>3.487875325</v>
      </c>
      <c r="C333" s="13">
        <f t="shared" si="2"/>
        <v>1</v>
      </c>
      <c r="D333" s="13">
        <f t="shared" si="3"/>
        <v>0</v>
      </c>
      <c r="E333" s="13">
        <f t="shared" si="4"/>
        <v>0</v>
      </c>
      <c r="F333" s="13">
        <f t="shared" si="5"/>
        <v>0</v>
      </c>
      <c r="G333" s="13">
        <f t="shared" si="6"/>
        <v>1</v>
      </c>
      <c r="H333" s="13">
        <f>'Orbit Info'!C332*((C333*$O$2)+(D333*$O$3)+(E333*$O$4)+(F333*$O$5))</f>
        <v>15.628032</v>
      </c>
      <c r="I333" s="13">
        <f t="shared" si="7"/>
        <v>7.17578</v>
      </c>
      <c r="J333" s="18">
        <f t="shared" si="8"/>
        <v>0.1408708667</v>
      </c>
      <c r="K333" s="18">
        <f t="shared" si="10"/>
        <v>75.83247923</v>
      </c>
      <c r="L333" s="4"/>
      <c r="M333" s="4"/>
      <c r="N333" s="4"/>
      <c r="O333" s="4"/>
      <c r="P333" s="4"/>
      <c r="Q333" s="4"/>
      <c r="R333" s="4"/>
      <c r="S333" s="4"/>
      <c r="T333" s="4"/>
      <c r="U333" s="4"/>
      <c r="V333" s="4"/>
      <c r="W333" s="4"/>
    </row>
    <row r="334" ht="15.75" customHeight="1">
      <c r="A334" s="13">
        <f t="shared" si="9"/>
        <v>331</v>
      </c>
      <c r="B334" s="18">
        <f>A334/'Orbit Info'!$G$10</f>
        <v>3.498444644</v>
      </c>
      <c r="C334" s="13">
        <f t="shared" si="2"/>
        <v>1</v>
      </c>
      <c r="D334" s="13">
        <f t="shared" si="3"/>
        <v>0</v>
      </c>
      <c r="E334" s="13">
        <f t="shared" si="4"/>
        <v>0</v>
      </c>
      <c r="F334" s="13">
        <f t="shared" si="5"/>
        <v>0</v>
      </c>
      <c r="G334" s="13">
        <f t="shared" si="6"/>
        <v>1</v>
      </c>
      <c r="H334" s="13">
        <f>'Orbit Info'!C333*((C334*$O$2)+(D334*$O$3)+(E334*$O$4)+(F334*$O$5))</f>
        <v>15.628032</v>
      </c>
      <c r="I334" s="13">
        <f t="shared" si="7"/>
        <v>7.17578</v>
      </c>
      <c r="J334" s="18">
        <f t="shared" si="8"/>
        <v>0.1408708667</v>
      </c>
      <c r="K334" s="18">
        <f t="shared" si="10"/>
        <v>75.9733501</v>
      </c>
      <c r="L334" s="4"/>
      <c r="M334" s="4"/>
      <c r="N334" s="4"/>
      <c r="O334" s="4"/>
      <c r="P334" s="4"/>
      <c r="Q334" s="4"/>
      <c r="R334" s="4"/>
      <c r="S334" s="4"/>
      <c r="T334" s="4"/>
      <c r="U334" s="4"/>
      <c r="V334" s="4"/>
      <c r="W334" s="4"/>
    </row>
    <row r="335" ht="15.75" customHeight="1">
      <c r="A335" s="13">
        <f t="shared" si="9"/>
        <v>332</v>
      </c>
      <c r="B335" s="18">
        <f>A335/'Orbit Info'!$G$10</f>
        <v>3.509013963</v>
      </c>
      <c r="C335" s="13">
        <f t="shared" si="2"/>
        <v>1</v>
      </c>
      <c r="D335" s="13">
        <f t="shared" si="3"/>
        <v>0</v>
      </c>
      <c r="E335" s="13">
        <f t="shared" si="4"/>
        <v>0</v>
      </c>
      <c r="F335" s="13">
        <f t="shared" si="5"/>
        <v>0</v>
      </c>
      <c r="G335" s="13">
        <f t="shared" si="6"/>
        <v>1</v>
      </c>
      <c r="H335" s="13">
        <f>'Orbit Info'!C334*((C335*$O$2)+(D335*$O$3)+(E335*$O$4)+(F335*$O$5))</f>
        <v>15.628032</v>
      </c>
      <c r="I335" s="13">
        <f t="shared" si="7"/>
        <v>7.17578</v>
      </c>
      <c r="J335" s="18">
        <f t="shared" si="8"/>
        <v>0.1408708667</v>
      </c>
      <c r="K335" s="18">
        <f t="shared" si="10"/>
        <v>76.11422097</v>
      </c>
      <c r="L335" s="4"/>
      <c r="M335" s="4"/>
      <c r="N335" s="4"/>
      <c r="O335" s="4"/>
      <c r="P335" s="4"/>
      <c r="Q335" s="4"/>
      <c r="R335" s="4"/>
      <c r="S335" s="4"/>
      <c r="T335" s="4"/>
      <c r="U335" s="4"/>
      <c r="V335" s="4"/>
      <c r="W335" s="4"/>
    </row>
    <row r="336" ht="15.75" customHeight="1">
      <c r="A336" s="13">
        <f t="shared" si="9"/>
        <v>333</v>
      </c>
      <c r="B336" s="18">
        <f>A336/'Orbit Info'!$G$10</f>
        <v>3.519583282</v>
      </c>
      <c r="C336" s="13">
        <f t="shared" si="2"/>
        <v>1</v>
      </c>
      <c r="D336" s="13">
        <f t="shared" si="3"/>
        <v>0</v>
      </c>
      <c r="E336" s="13">
        <f t="shared" si="4"/>
        <v>0</v>
      </c>
      <c r="F336" s="13">
        <f t="shared" si="5"/>
        <v>0</v>
      </c>
      <c r="G336" s="13">
        <f t="shared" si="6"/>
        <v>1</v>
      </c>
      <c r="H336" s="13">
        <f>'Orbit Info'!C335*((C336*$O$2)+(D336*$O$3)+(E336*$O$4)+(F336*$O$5))</f>
        <v>15.628032</v>
      </c>
      <c r="I336" s="13">
        <f t="shared" si="7"/>
        <v>7.17578</v>
      </c>
      <c r="J336" s="18">
        <f t="shared" si="8"/>
        <v>0.1408708667</v>
      </c>
      <c r="K336" s="18">
        <f t="shared" si="10"/>
        <v>76.25509183</v>
      </c>
      <c r="L336" s="4"/>
      <c r="M336" s="4"/>
      <c r="N336" s="4"/>
      <c r="O336" s="4"/>
      <c r="P336" s="4"/>
      <c r="Q336" s="4"/>
      <c r="R336" s="4"/>
      <c r="S336" s="4"/>
      <c r="T336" s="4"/>
      <c r="U336" s="4"/>
      <c r="V336" s="4"/>
      <c r="W336" s="4"/>
    </row>
    <row r="337" ht="15.75" customHeight="1">
      <c r="A337" s="13">
        <f t="shared" si="9"/>
        <v>334</v>
      </c>
      <c r="B337" s="18">
        <f>A337/'Orbit Info'!$G$10</f>
        <v>3.530152601</v>
      </c>
      <c r="C337" s="13">
        <f t="shared" si="2"/>
        <v>1</v>
      </c>
      <c r="D337" s="13">
        <f t="shared" si="3"/>
        <v>0</v>
      </c>
      <c r="E337" s="13">
        <f t="shared" si="4"/>
        <v>0</v>
      </c>
      <c r="F337" s="13">
        <f t="shared" si="5"/>
        <v>0</v>
      </c>
      <c r="G337" s="13">
        <f t="shared" si="6"/>
        <v>1</v>
      </c>
      <c r="H337" s="13">
        <f>'Orbit Info'!C336*((C337*$O$2)+(D337*$O$3)+(E337*$O$4)+(F337*$O$5))</f>
        <v>15.628032</v>
      </c>
      <c r="I337" s="13">
        <f t="shared" si="7"/>
        <v>7.17578</v>
      </c>
      <c r="J337" s="18">
        <f t="shared" si="8"/>
        <v>0.1408708667</v>
      </c>
      <c r="K337" s="18">
        <f t="shared" si="10"/>
        <v>76.3959627</v>
      </c>
      <c r="L337" s="4"/>
      <c r="M337" s="4"/>
      <c r="N337" s="4"/>
      <c r="O337" s="4"/>
      <c r="P337" s="4"/>
      <c r="Q337" s="4"/>
      <c r="R337" s="4"/>
      <c r="S337" s="4"/>
      <c r="T337" s="4"/>
      <c r="U337" s="4"/>
      <c r="V337" s="4"/>
      <c r="W337" s="4"/>
    </row>
    <row r="338" ht="15.75" customHeight="1">
      <c r="A338" s="13">
        <f t="shared" si="9"/>
        <v>335</v>
      </c>
      <c r="B338" s="18">
        <f>A338/'Orbit Info'!$G$10</f>
        <v>3.540721921</v>
      </c>
      <c r="C338" s="13">
        <f t="shared" si="2"/>
        <v>1</v>
      </c>
      <c r="D338" s="13">
        <f t="shared" si="3"/>
        <v>0</v>
      </c>
      <c r="E338" s="13">
        <f t="shared" si="4"/>
        <v>0</v>
      </c>
      <c r="F338" s="13">
        <f t="shared" si="5"/>
        <v>0</v>
      </c>
      <c r="G338" s="13">
        <f t="shared" si="6"/>
        <v>1</v>
      </c>
      <c r="H338" s="13">
        <f>'Orbit Info'!C337*((C338*$O$2)+(D338*$O$3)+(E338*$O$4)+(F338*$O$5))</f>
        <v>15.628032</v>
      </c>
      <c r="I338" s="13">
        <f t="shared" si="7"/>
        <v>7.17578</v>
      </c>
      <c r="J338" s="18">
        <f t="shared" si="8"/>
        <v>0.1408708667</v>
      </c>
      <c r="K338" s="18">
        <f t="shared" si="10"/>
        <v>76.53683357</v>
      </c>
      <c r="L338" s="4"/>
      <c r="M338" s="4"/>
      <c r="N338" s="4"/>
      <c r="O338" s="4"/>
      <c r="P338" s="4"/>
      <c r="Q338" s="4"/>
      <c r="R338" s="4"/>
      <c r="S338" s="4"/>
      <c r="T338" s="4"/>
      <c r="U338" s="4"/>
      <c r="V338" s="4"/>
      <c r="W338" s="4"/>
    </row>
    <row r="339" ht="15.75" customHeight="1">
      <c r="A339" s="13">
        <f t="shared" si="9"/>
        <v>336</v>
      </c>
      <c r="B339" s="18">
        <f>A339/'Orbit Info'!$G$10</f>
        <v>3.55129124</v>
      </c>
      <c r="C339" s="13">
        <f t="shared" si="2"/>
        <v>1</v>
      </c>
      <c r="D339" s="13">
        <f t="shared" si="3"/>
        <v>0</v>
      </c>
      <c r="E339" s="13">
        <f t="shared" si="4"/>
        <v>0</v>
      </c>
      <c r="F339" s="13">
        <f t="shared" si="5"/>
        <v>0</v>
      </c>
      <c r="G339" s="13">
        <f t="shared" si="6"/>
        <v>1</v>
      </c>
      <c r="H339" s="13">
        <f>'Orbit Info'!C338*((C339*$O$2)+(D339*$O$3)+(E339*$O$4)+(F339*$O$5))</f>
        <v>15.628032</v>
      </c>
      <c r="I339" s="13">
        <f t="shared" si="7"/>
        <v>7.17578</v>
      </c>
      <c r="J339" s="18">
        <f t="shared" si="8"/>
        <v>0.1408708667</v>
      </c>
      <c r="K339" s="18">
        <f t="shared" si="10"/>
        <v>76.67770443</v>
      </c>
      <c r="L339" s="4"/>
      <c r="M339" s="4"/>
      <c r="N339" s="4"/>
      <c r="O339" s="4"/>
      <c r="P339" s="4"/>
      <c r="Q339" s="4"/>
      <c r="R339" s="4"/>
      <c r="S339" s="4"/>
      <c r="T339" s="4"/>
      <c r="U339" s="4"/>
      <c r="V339" s="4"/>
      <c r="W339" s="4"/>
    </row>
    <row r="340" ht="15.75" customHeight="1">
      <c r="A340" s="13">
        <f t="shared" si="9"/>
        <v>337</v>
      </c>
      <c r="B340" s="18">
        <f>A340/'Orbit Info'!$G$10</f>
        <v>3.561860559</v>
      </c>
      <c r="C340" s="13">
        <f t="shared" si="2"/>
        <v>1</v>
      </c>
      <c r="D340" s="13">
        <f t="shared" si="3"/>
        <v>0</v>
      </c>
      <c r="E340" s="13">
        <f t="shared" si="4"/>
        <v>0</v>
      </c>
      <c r="F340" s="13">
        <f t="shared" si="5"/>
        <v>0</v>
      </c>
      <c r="G340" s="13">
        <f t="shared" si="6"/>
        <v>1</v>
      </c>
      <c r="H340" s="13">
        <f>'Orbit Info'!C339*((C340*$O$2)+(D340*$O$3)+(E340*$O$4)+(F340*$O$5))</f>
        <v>15.628032</v>
      </c>
      <c r="I340" s="13">
        <f t="shared" si="7"/>
        <v>7.17578</v>
      </c>
      <c r="J340" s="18">
        <f t="shared" si="8"/>
        <v>0.1408708667</v>
      </c>
      <c r="K340" s="18">
        <f t="shared" si="10"/>
        <v>76.8185753</v>
      </c>
      <c r="L340" s="4"/>
      <c r="M340" s="4"/>
      <c r="N340" s="4"/>
      <c r="O340" s="4"/>
      <c r="P340" s="4"/>
      <c r="Q340" s="4"/>
      <c r="R340" s="4"/>
      <c r="S340" s="4"/>
      <c r="T340" s="4"/>
      <c r="U340" s="4"/>
      <c r="V340" s="4"/>
      <c r="W340" s="4"/>
    </row>
    <row r="341" ht="15.75" customHeight="1">
      <c r="A341" s="13">
        <f t="shared" si="9"/>
        <v>338</v>
      </c>
      <c r="B341" s="18">
        <f>A341/'Orbit Info'!$G$10</f>
        <v>3.572429878</v>
      </c>
      <c r="C341" s="13">
        <f t="shared" si="2"/>
        <v>1</v>
      </c>
      <c r="D341" s="13">
        <f t="shared" si="3"/>
        <v>0</v>
      </c>
      <c r="E341" s="13">
        <f t="shared" si="4"/>
        <v>0</v>
      </c>
      <c r="F341" s="13">
        <f t="shared" si="5"/>
        <v>0</v>
      </c>
      <c r="G341" s="13">
        <f t="shared" si="6"/>
        <v>1</v>
      </c>
      <c r="H341" s="13">
        <f>'Orbit Info'!C340*((C341*$O$2)+(D341*$O$3)+(E341*$O$4)+(F341*$O$5))</f>
        <v>15.628032</v>
      </c>
      <c r="I341" s="13">
        <f t="shared" si="7"/>
        <v>7.17578</v>
      </c>
      <c r="J341" s="18">
        <f t="shared" si="8"/>
        <v>0.1408708667</v>
      </c>
      <c r="K341" s="18">
        <f t="shared" si="10"/>
        <v>76.95944617</v>
      </c>
      <c r="L341" s="4"/>
      <c r="M341" s="4"/>
      <c r="N341" s="4"/>
      <c r="O341" s="4"/>
      <c r="P341" s="4"/>
      <c r="Q341" s="4"/>
      <c r="R341" s="4"/>
      <c r="S341" s="4"/>
      <c r="T341" s="4"/>
      <c r="U341" s="4"/>
      <c r="V341" s="4"/>
      <c r="W341" s="4"/>
    </row>
    <row r="342" ht="15.75" customHeight="1">
      <c r="A342" s="13">
        <f t="shared" si="9"/>
        <v>339</v>
      </c>
      <c r="B342" s="18">
        <f>A342/'Orbit Info'!$G$10</f>
        <v>3.582999197</v>
      </c>
      <c r="C342" s="13">
        <f t="shared" si="2"/>
        <v>1</v>
      </c>
      <c r="D342" s="13">
        <f t="shared" si="3"/>
        <v>0</v>
      </c>
      <c r="E342" s="13">
        <f t="shared" si="4"/>
        <v>0</v>
      </c>
      <c r="F342" s="13">
        <f t="shared" si="5"/>
        <v>0</v>
      </c>
      <c r="G342" s="13">
        <f t="shared" si="6"/>
        <v>1</v>
      </c>
      <c r="H342" s="13">
        <f>'Orbit Info'!C341*((C342*$O$2)+(D342*$O$3)+(E342*$O$4)+(F342*$O$5))</f>
        <v>15.628032</v>
      </c>
      <c r="I342" s="13">
        <f t="shared" si="7"/>
        <v>7.17578</v>
      </c>
      <c r="J342" s="18">
        <f t="shared" si="8"/>
        <v>0.1408708667</v>
      </c>
      <c r="K342" s="18">
        <f t="shared" si="10"/>
        <v>77.10031703</v>
      </c>
      <c r="L342" s="4"/>
      <c r="M342" s="4"/>
      <c r="N342" s="4"/>
      <c r="O342" s="4"/>
      <c r="P342" s="4"/>
      <c r="Q342" s="4"/>
      <c r="R342" s="4"/>
      <c r="S342" s="4"/>
      <c r="T342" s="4"/>
      <c r="U342" s="4"/>
      <c r="V342" s="4"/>
      <c r="W342" s="4"/>
    </row>
    <row r="343" ht="15.75" customHeight="1">
      <c r="A343" s="13">
        <f t="shared" si="9"/>
        <v>340</v>
      </c>
      <c r="B343" s="18">
        <f>A343/'Orbit Info'!$G$10</f>
        <v>3.593568516</v>
      </c>
      <c r="C343" s="13">
        <f t="shared" si="2"/>
        <v>1</v>
      </c>
      <c r="D343" s="13">
        <f t="shared" si="3"/>
        <v>0</v>
      </c>
      <c r="E343" s="13">
        <f t="shared" si="4"/>
        <v>0</v>
      </c>
      <c r="F343" s="13">
        <f t="shared" si="5"/>
        <v>0</v>
      </c>
      <c r="G343" s="13">
        <f t="shared" si="6"/>
        <v>1</v>
      </c>
      <c r="H343" s="13">
        <f>'Orbit Info'!C342*((C343*$O$2)+(D343*$O$3)+(E343*$O$4)+(F343*$O$5))</f>
        <v>15.628032</v>
      </c>
      <c r="I343" s="13">
        <f t="shared" si="7"/>
        <v>7.17578</v>
      </c>
      <c r="J343" s="18">
        <f t="shared" si="8"/>
        <v>0.1408708667</v>
      </c>
      <c r="K343" s="18">
        <f t="shared" si="10"/>
        <v>77.2411879</v>
      </c>
      <c r="L343" s="4"/>
      <c r="M343" s="4"/>
      <c r="N343" s="4"/>
      <c r="O343" s="4"/>
      <c r="P343" s="4"/>
      <c r="Q343" s="4"/>
      <c r="R343" s="4"/>
      <c r="S343" s="4"/>
      <c r="T343" s="4"/>
      <c r="U343" s="4"/>
      <c r="V343" s="4"/>
      <c r="W343" s="4"/>
    </row>
    <row r="344" ht="15.75" customHeight="1">
      <c r="A344" s="13">
        <f t="shared" si="9"/>
        <v>341</v>
      </c>
      <c r="B344" s="18">
        <f>A344/'Orbit Info'!$G$10</f>
        <v>3.604137836</v>
      </c>
      <c r="C344" s="13">
        <f t="shared" si="2"/>
        <v>1</v>
      </c>
      <c r="D344" s="13">
        <f t="shared" si="3"/>
        <v>0</v>
      </c>
      <c r="E344" s="13">
        <f t="shared" si="4"/>
        <v>0</v>
      </c>
      <c r="F344" s="13">
        <f t="shared" si="5"/>
        <v>0</v>
      </c>
      <c r="G344" s="13">
        <f t="shared" si="6"/>
        <v>1</v>
      </c>
      <c r="H344" s="13">
        <f>'Orbit Info'!C343*((C344*$O$2)+(D344*$O$3)+(E344*$O$4)+(F344*$O$5))</f>
        <v>15.628032</v>
      </c>
      <c r="I344" s="13">
        <f t="shared" si="7"/>
        <v>7.17578</v>
      </c>
      <c r="J344" s="18">
        <f t="shared" si="8"/>
        <v>0.1408708667</v>
      </c>
      <c r="K344" s="18">
        <f t="shared" si="10"/>
        <v>77.38205877</v>
      </c>
      <c r="L344" s="4"/>
      <c r="M344" s="4"/>
      <c r="N344" s="4"/>
      <c r="O344" s="4"/>
      <c r="P344" s="4"/>
      <c r="Q344" s="4"/>
      <c r="R344" s="4"/>
      <c r="S344" s="4"/>
      <c r="T344" s="4"/>
      <c r="U344" s="4"/>
      <c r="V344" s="4"/>
      <c r="W344" s="4"/>
    </row>
    <row r="345" ht="15.75" customHeight="1">
      <c r="A345" s="13">
        <f t="shared" si="9"/>
        <v>342</v>
      </c>
      <c r="B345" s="18">
        <f>A345/'Orbit Info'!$G$10</f>
        <v>3.614707155</v>
      </c>
      <c r="C345" s="13">
        <f t="shared" si="2"/>
        <v>1</v>
      </c>
      <c r="D345" s="13">
        <f t="shared" si="3"/>
        <v>0</v>
      </c>
      <c r="E345" s="13">
        <f t="shared" si="4"/>
        <v>0</v>
      </c>
      <c r="F345" s="13">
        <f t="shared" si="5"/>
        <v>0</v>
      </c>
      <c r="G345" s="13">
        <f t="shared" si="6"/>
        <v>1</v>
      </c>
      <c r="H345" s="13">
        <f>'Orbit Info'!C344*((C345*$O$2)+(D345*$O$3)+(E345*$O$4)+(F345*$O$5))</f>
        <v>15.628032</v>
      </c>
      <c r="I345" s="13">
        <f t="shared" si="7"/>
        <v>7.17578</v>
      </c>
      <c r="J345" s="18">
        <f t="shared" si="8"/>
        <v>0.1408708667</v>
      </c>
      <c r="K345" s="18">
        <f t="shared" si="10"/>
        <v>77.52292963</v>
      </c>
      <c r="L345" s="4"/>
      <c r="M345" s="4"/>
      <c r="N345" s="4"/>
      <c r="O345" s="4"/>
      <c r="P345" s="4"/>
      <c r="Q345" s="4"/>
      <c r="R345" s="4"/>
      <c r="S345" s="4"/>
      <c r="T345" s="4"/>
      <c r="U345" s="4"/>
      <c r="V345" s="4"/>
      <c r="W345" s="4"/>
    </row>
    <row r="346" ht="15.75" customHeight="1">
      <c r="A346" s="13">
        <f t="shared" si="9"/>
        <v>343</v>
      </c>
      <c r="B346" s="18">
        <f>A346/'Orbit Info'!$G$10</f>
        <v>3.625276474</v>
      </c>
      <c r="C346" s="13">
        <f t="shared" si="2"/>
        <v>1</v>
      </c>
      <c r="D346" s="13">
        <f t="shared" si="3"/>
        <v>0</v>
      </c>
      <c r="E346" s="13">
        <f t="shared" si="4"/>
        <v>0</v>
      </c>
      <c r="F346" s="13">
        <f t="shared" si="5"/>
        <v>0</v>
      </c>
      <c r="G346" s="13">
        <f t="shared" si="6"/>
        <v>1</v>
      </c>
      <c r="H346" s="13">
        <f>'Orbit Info'!C345*((C346*$O$2)+(D346*$O$3)+(E346*$O$4)+(F346*$O$5))</f>
        <v>0</v>
      </c>
      <c r="I346" s="13">
        <f t="shared" si="7"/>
        <v>7.17578</v>
      </c>
      <c r="J346" s="18">
        <f t="shared" si="8"/>
        <v>-0.1195963333</v>
      </c>
      <c r="K346" s="18">
        <f t="shared" si="10"/>
        <v>77.4033333</v>
      </c>
      <c r="L346" s="4"/>
      <c r="M346" s="4"/>
      <c r="N346" s="4"/>
      <c r="O346" s="4"/>
      <c r="P346" s="4"/>
      <c r="Q346" s="4"/>
      <c r="R346" s="4"/>
      <c r="S346" s="4"/>
      <c r="T346" s="4"/>
      <c r="U346" s="4"/>
      <c r="V346" s="4"/>
      <c r="W346" s="4"/>
    </row>
    <row r="347" ht="15.75" customHeight="1">
      <c r="A347" s="13">
        <f t="shared" si="9"/>
        <v>344</v>
      </c>
      <c r="B347" s="18">
        <f>A347/'Orbit Info'!$G$10</f>
        <v>3.635845793</v>
      </c>
      <c r="C347" s="13">
        <f t="shared" si="2"/>
        <v>1</v>
      </c>
      <c r="D347" s="13">
        <f t="shared" si="3"/>
        <v>0</v>
      </c>
      <c r="E347" s="13">
        <f t="shared" si="4"/>
        <v>0</v>
      </c>
      <c r="F347" s="13">
        <f t="shared" si="5"/>
        <v>0</v>
      </c>
      <c r="G347" s="13">
        <f t="shared" si="6"/>
        <v>1</v>
      </c>
      <c r="H347" s="13">
        <f>'Orbit Info'!C346*((C347*$O$2)+(D347*$O$3)+(E347*$O$4)+(F347*$O$5))</f>
        <v>0</v>
      </c>
      <c r="I347" s="13">
        <f t="shared" si="7"/>
        <v>7.17578</v>
      </c>
      <c r="J347" s="18">
        <f t="shared" si="8"/>
        <v>-0.1195963333</v>
      </c>
      <c r="K347" s="18">
        <f t="shared" si="10"/>
        <v>77.28373697</v>
      </c>
      <c r="L347" s="4"/>
      <c r="M347" s="4"/>
      <c r="N347" s="4"/>
      <c r="O347" s="4"/>
      <c r="P347" s="4"/>
      <c r="Q347" s="4"/>
      <c r="R347" s="4"/>
      <c r="S347" s="4"/>
      <c r="T347" s="4"/>
      <c r="U347" s="4"/>
      <c r="V347" s="4"/>
      <c r="W347" s="4"/>
    </row>
    <row r="348" ht="15.75" customHeight="1">
      <c r="A348" s="13">
        <f t="shared" si="9"/>
        <v>345</v>
      </c>
      <c r="B348" s="18">
        <f>A348/'Orbit Info'!$G$10</f>
        <v>3.646415112</v>
      </c>
      <c r="C348" s="13">
        <f t="shared" si="2"/>
        <v>1</v>
      </c>
      <c r="D348" s="13">
        <f t="shared" si="3"/>
        <v>0</v>
      </c>
      <c r="E348" s="13">
        <f t="shared" si="4"/>
        <v>0</v>
      </c>
      <c r="F348" s="13">
        <f t="shared" si="5"/>
        <v>0</v>
      </c>
      <c r="G348" s="13">
        <f t="shared" si="6"/>
        <v>1</v>
      </c>
      <c r="H348" s="13">
        <f>'Orbit Info'!C347*((C348*$O$2)+(D348*$O$3)+(E348*$O$4)+(F348*$O$5))</f>
        <v>0</v>
      </c>
      <c r="I348" s="13">
        <f t="shared" si="7"/>
        <v>7.17578</v>
      </c>
      <c r="J348" s="18">
        <f t="shared" si="8"/>
        <v>-0.1195963333</v>
      </c>
      <c r="K348" s="18">
        <f t="shared" si="10"/>
        <v>77.16414063</v>
      </c>
      <c r="L348" s="4"/>
      <c r="M348" s="4"/>
      <c r="N348" s="4"/>
      <c r="O348" s="4"/>
      <c r="P348" s="4"/>
      <c r="Q348" s="4"/>
      <c r="R348" s="4"/>
      <c r="S348" s="4"/>
      <c r="T348" s="4"/>
      <c r="U348" s="4"/>
      <c r="V348" s="4"/>
      <c r="W348" s="4"/>
    </row>
    <row r="349" ht="15.75" customHeight="1">
      <c r="A349" s="13">
        <f t="shared" si="9"/>
        <v>346</v>
      </c>
      <c r="B349" s="18">
        <f>A349/'Orbit Info'!$G$10</f>
        <v>3.656984431</v>
      </c>
      <c r="C349" s="13">
        <f t="shared" si="2"/>
        <v>1</v>
      </c>
      <c r="D349" s="13">
        <f t="shared" si="3"/>
        <v>0</v>
      </c>
      <c r="E349" s="13">
        <f t="shared" si="4"/>
        <v>0</v>
      </c>
      <c r="F349" s="13">
        <f t="shared" si="5"/>
        <v>0</v>
      </c>
      <c r="G349" s="13">
        <f t="shared" si="6"/>
        <v>1</v>
      </c>
      <c r="H349" s="13">
        <f>'Orbit Info'!C348*((C349*$O$2)+(D349*$O$3)+(E349*$O$4)+(F349*$O$5))</f>
        <v>0</v>
      </c>
      <c r="I349" s="13">
        <f t="shared" si="7"/>
        <v>7.17578</v>
      </c>
      <c r="J349" s="18">
        <f t="shared" si="8"/>
        <v>-0.1195963333</v>
      </c>
      <c r="K349" s="18">
        <f t="shared" si="10"/>
        <v>77.0445443</v>
      </c>
      <c r="L349" s="4"/>
      <c r="M349" s="4"/>
      <c r="N349" s="4"/>
      <c r="O349" s="4"/>
      <c r="P349" s="4"/>
      <c r="Q349" s="4"/>
      <c r="R349" s="4"/>
      <c r="S349" s="4"/>
      <c r="T349" s="4"/>
      <c r="U349" s="4"/>
      <c r="V349" s="4"/>
      <c r="W349" s="4"/>
    </row>
    <row r="350" ht="15.75" customHeight="1">
      <c r="A350" s="13">
        <f t="shared" si="9"/>
        <v>347</v>
      </c>
      <c r="B350" s="18">
        <f>A350/'Orbit Info'!$G$10</f>
        <v>3.667553751</v>
      </c>
      <c r="C350" s="13">
        <f t="shared" si="2"/>
        <v>1</v>
      </c>
      <c r="D350" s="13">
        <f t="shared" si="3"/>
        <v>0</v>
      </c>
      <c r="E350" s="13">
        <f t="shared" si="4"/>
        <v>0</v>
      </c>
      <c r="F350" s="13">
        <f t="shared" si="5"/>
        <v>0</v>
      </c>
      <c r="G350" s="13">
        <f t="shared" si="6"/>
        <v>1</v>
      </c>
      <c r="H350" s="13">
        <f>'Orbit Info'!C349*((C350*$O$2)+(D350*$O$3)+(E350*$O$4)+(F350*$O$5))</f>
        <v>0</v>
      </c>
      <c r="I350" s="13">
        <f t="shared" si="7"/>
        <v>7.17578</v>
      </c>
      <c r="J350" s="18">
        <f t="shared" si="8"/>
        <v>-0.1195963333</v>
      </c>
      <c r="K350" s="18">
        <f t="shared" si="10"/>
        <v>76.92494797</v>
      </c>
      <c r="L350" s="4"/>
      <c r="M350" s="4"/>
      <c r="N350" s="4"/>
      <c r="O350" s="4"/>
      <c r="P350" s="4"/>
      <c r="Q350" s="4"/>
      <c r="R350" s="4"/>
      <c r="S350" s="4"/>
      <c r="T350" s="4"/>
      <c r="U350" s="4"/>
      <c r="V350" s="4"/>
      <c r="W350" s="4"/>
    </row>
    <row r="351" ht="15.75" customHeight="1">
      <c r="A351" s="13">
        <f t="shared" si="9"/>
        <v>348</v>
      </c>
      <c r="B351" s="18">
        <f>A351/'Orbit Info'!$G$10</f>
        <v>3.67812307</v>
      </c>
      <c r="C351" s="13">
        <f t="shared" si="2"/>
        <v>1</v>
      </c>
      <c r="D351" s="13">
        <f t="shared" si="3"/>
        <v>0</v>
      </c>
      <c r="E351" s="13">
        <f t="shared" si="4"/>
        <v>0</v>
      </c>
      <c r="F351" s="13">
        <f t="shared" si="5"/>
        <v>0</v>
      </c>
      <c r="G351" s="13">
        <f t="shared" si="6"/>
        <v>1</v>
      </c>
      <c r="H351" s="13">
        <f>'Orbit Info'!C350*((C351*$O$2)+(D351*$O$3)+(E351*$O$4)+(F351*$O$5))</f>
        <v>0</v>
      </c>
      <c r="I351" s="13">
        <f t="shared" si="7"/>
        <v>7.17578</v>
      </c>
      <c r="J351" s="18">
        <f t="shared" si="8"/>
        <v>-0.1195963333</v>
      </c>
      <c r="K351" s="18">
        <f t="shared" si="10"/>
        <v>76.80535163</v>
      </c>
      <c r="L351" s="4"/>
      <c r="M351" s="4"/>
      <c r="N351" s="4"/>
      <c r="O351" s="4"/>
      <c r="P351" s="4"/>
      <c r="Q351" s="4"/>
      <c r="R351" s="4"/>
      <c r="S351" s="4"/>
      <c r="T351" s="4"/>
      <c r="U351" s="4"/>
      <c r="V351" s="4"/>
      <c r="W351" s="4"/>
    </row>
    <row r="352" ht="15.75" customHeight="1">
      <c r="A352" s="13">
        <f t="shared" si="9"/>
        <v>349</v>
      </c>
      <c r="B352" s="18">
        <f>A352/'Orbit Info'!$G$10</f>
        <v>3.688692389</v>
      </c>
      <c r="C352" s="13">
        <f t="shared" si="2"/>
        <v>1</v>
      </c>
      <c r="D352" s="13">
        <f t="shared" si="3"/>
        <v>0</v>
      </c>
      <c r="E352" s="13">
        <f t="shared" si="4"/>
        <v>0</v>
      </c>
      <c r="F352" s="13">
        <f t="shared" si="5"/>
        <v>0</v>
      </c>
      <c r="G352" s="13">
        <f t="shared" si="6"/>
        <v>1</v>
      </c>
      <c r="H352" s="13">
        <f>'Orbit Info'!C351*((C352*$O$2)+(D352*$O$3)+(E352*$O$4)+(F352*$O$5))</f>
        <v>0</v>
      </c>
      <c r="I352" s="13">
        <f t="shared" si="7"/>
        <v>7.17578</v>
      </c>
      <c r="J352" s="18">
        <f t="shared" si="8"/>
        <v>-0.1195963333</v>
      </c>
      <c r="K352" s="18">
        <f t="shared" si="10"/>
        <v>76.6857553</v>
      </c>
      <c r="L352" s="4"/>
      <c r="M352" s="4"/>
      <c r="N352" s="4"/>
      <c r="O352" s="4"/>
      <c r="P352" s="4"/>
      <c r="Q352" s="4"/>
      <c r="R352" s="4"/>
      <c r="S352" s="4"/>
      <c r="T352" s="4"/>
      <c r="U352" s="4"/>
      <c r="V352" s="4"/>
      <c r="W352" s="4"/>
    </row>
    <row r="353" ht="15.75" customHeight="1">
      <c r="A353" s="13">
        <f t="shared" si="9"/>
        <v>350</v>
      </c>
      <c r="B353" s="18">
        <f>A353/'Orbit Info'!$G$10</f>
        <v>3.699261708</v>
      </c>
      <c r="C353" s="13">
        <f t="shared" si="2"/>
        <v>1</v>
      </c>
      <c r="D353" s="13">
        <f t="shared" si="3"/>
        <v>0</v>
      </c>
      <c r="E353" s="13">
        <f t="shared" si="4"/>
        <v>0</v>
      </c>
      <c r="F353" s="13">
        <f t="shared" si="5"/>
        <v>0</v>
      </c>
      <c r="G353" s="13">
        <f t="shared" si="6"/>
        <v>1</v>
      </c>
      <c r="H353" s="13">
        <f>'Orbit Info'!C352*((C353*$O$2)+(D353*$O$3)+(E353*$O$4)+(F353*$O$5))</f>
        <v>0</v>
      </c>
      <c r="I353" s="13">
        <f t="shared" si="7"/>
        <v>7.17578</v>
      </c>
      <c r="J353" s="18">
        <f t="shared" si="8"/>
        <v>-0.1195963333</v>
      </c>
      <c r="K353" s="18">
        <f t="shared" si="10"/>
        <v>76.56615897</v>
      </c>
      <c r="L353" s="4"/>
      <c r="M353" s="4"/>
      <c r="N353" s="4"/>
      <c r="O353" s="4"/>
      <c r="P353" s="4"/>
      <c r="Q353" s="4"/>
      <c r="R353" s="4"/>
      <c r="S353" s="4"/>
      <c r="T353" s="4"/>
      <c r="U353" s="4"/>
      <c r="V353" s="4"/>
      <c r="W353" s="4"/>
    </row>
    <row r="354" ht="15.75" customHeight="1">
      <c r="A354" s="13">
        <f t="shared" si="9"/>
        <v>351</v>
      </c>
      <c r="B354" s="18">
        <f>A354/'Orbit Info'!$G$10</f>
        <v>3.709831027</v>
      </c>
      <c r="C354" s="13">
        <f t="shared" si="2"/>
        <v>1</v>
      </c>
      <c r="D354" s="13">
        <f t="shared" si="3"/>
        <v>0</v>
      </c>
      <c r="E354" s="13">
        <f t="shared" si="4"/>
        <v>0</v>
      </c>
      <c r="F354" s="13">
        <f t="shared" si="5"/>
        <v>0</v>
      </c>
      <c r="G354" s="13">
        <f t="shared" si="6"/>
        <v>1</v>
      </c>
      <c r="H354" s="13">
        <f>'Orbit Info'!C353*((C354*$O$2)+(D354*$O$3)+(E354*$O$4)+(F354*$O$5))</f>
        <v>0</v>
      </c>
      <c r="I354" s="13">
        <f t="shared" si="7"/>
        <v>7.17578</v>
      </c>
      <c r="J354" s="18">
        <f t="shared" si="8"/>
        <v>-0.1195963333</v>
      </c>
      <c r="K354" s="18">
        <f t="shared" si="10"/>
        <v>76.44656263</v>
      </c>
      <c r="L354" s="4"/>
      <c r="M354" s="4"/>
      <c r="N354" s="4"/>
      <c r="O354" s="4"/>
      <c r="P354" s="4"/>
      <c r="Q354" s="4"/>
      <c r="R354" s="4"/>
      <c r="S354" s="4"/>
      <c r="T354" s="4"/>
      <c r="U354" s="4"/>
      <c r="V354" s="4"/>
      <c r="W354" s="4"/>
    </row>
    <row r="355" ht="15.75" customHeight="1">
      <c r="A355" s="13">
        <f t="shared" si="9"/>
        <v>352</v>
      </c>
      <c r="B355" s="18">
        <f>A355/'Orbit Info'!$G$10</f>
        <v>3.720400346</v>
      </c>
      <c r="C355" s="13">
        <f t="shared" si="2"/>
        <v>1</v>
      </c>
      <c r="D355" s="13">
        <f t="shared" si="3"/>
        <v>0</v>
      </c>
      <c r="E355" s="13">
        <f t="shared" si="4"/>
        <v>0</v>
      </c>
      <c r="F355" s="13">
        <f t="shared" si="5"/>
        <v>0</v>
      </c>
      <c r="G355" s="13">
        <f t="shared" si="6"/>
        <v>1</v>
      </c>
      <c r="H355" s="13">
        <f>'Orbit Info'!C354*((C355*$O$2)+(D355*$O$3)+(E355*$O$4)+(F355*$O$5))</f>
        <v>0</v>
      </c>
      <c r="I355" s="13">
        <f t="shared" si="7"/>
        <v>7.17578</v>
      </c>
      <c r="J355" s="18">
        <f t="shared" si="8"/>
        <v>-0.1195963333</v>
      </c>
      <c r="K355" s="18">
        <f t="shared" si="10"/>
        <v>76.3269663</v>
      </c>
      <c r="L355" s="4"/>
      <c r="M355" s="4"/>
      <c r="N355" s="4"/>
      <c r="O355" s="4"/>
      <c r="P355" s="4"/>
      <c r="Q355" s="4"/>
      <c r="R355" s="4"/>
      <c r="S355" s="4"/>
      <c r="T355" s="4"/>
      <c r="U355" s="4"/>
      <c r="V355" s="4"/>
      <c r="W355" s="4"/>
    </row>
    <row r="356" ht="15.75" customHeight="1">
      <c r="A356" s="13">
        <f t="shared" si="9"/>
        <v>353</v>
      </c>
      <c r="B356" s="18">
        <f>A356/'Orbit Info'!$G$10</f>
        <v>3.730969666</v>
      </c>
      <c r="C356" s="13">
        <f t="shared" si="2"/>
        <v>1</v>
      </c>
      <c r="D356" s="13">
        <f t="shared" si="3"/>
        <v>0</v>
      </c>
      <c r="E356" s="13">
        <f t="shared" si="4"/>
        <v>0</v>
      </c>
      <c r="F356" s="13">
        <f t="shared" si="5"/>
        <v>0</v>
      </c>
      <c r="G356" s="13">
        <f t="shared" si="6"/>
        <v>1</v>
      </c>
      <c r="H356" s="13">
        <f>'Orbit Info'!C355*((C356*$O$2)+(D356*$O$3)+(E356*$O$4)+(F356*$O$5))</f>
        <v>0</v>
      </c>
      <c r="I356" s="13">
        <f t="shared" si="7"/>
        <v>7.17578</v>
      </c>
      <c r="J356" s="18">
        <f t="shared" si="8"/>
        <v>-0.1195963333</v>
      </c>
      <c r="K356" s="18">
        <f t="shared" si="10"/>
        <v>76.20736997</v>
      </c>
      <c r="L356" s="4"/>
      <c r="M356" s="4"/>
      <c r="N356" s="4"/>
      <c r="O356" s="4"/>
      <c r="P356" s="4"/>
      <c r="Q356" s="4"/>
      <c r="R356" s="4"/>
      <c r="S356" s="4"/>
      <c r="T356" s="4"/>
      <c r="U356" s="4"/>
      <c r="V356" s="4"/>
      <c r="W356" s="4"/>
    </row>
    <row r="357" ht="15.75" customHeight="1">
      <c r="A357" s="13">
        <f t="shared" si="9"/>
        <v>354</v>
      </c>
      <c r="B357" s="18">
        <f>A357/'Orbit Info'!$G$10</f>
        <v>3.741538985</v>
      </c>
      <c r="C357" s="13">
        <f t="shared" si="2"/>
        <v>1</v>
      </c>
      <c r="D357" s="13">
        <f t="shared" si="3"/>
        <v>0</v>
      </c>
      <c r="E357" s="13">
        <f t="shared" si="4"/>
        <v>0</v>
      </c>
      <c r="F357" s="13">
        <f t="shared" si="5"/>
        <v>0</v>
      </c>
      <c r="G357" s="13">
        <f t="shared" si="6"/>
        <v>1</v>
      </c>
      <c r="H357" s="13">
        <f>'Orbit Info'!C356*((C357*$O$2)+(D357*$O$3)+(E357*$O$4)+(F357*$O$5))</f>
        <v>0</v>
      </c>
      <c r="I357" s="13">
        <f t="shared" si="7"/>
        <v>7.17578</v>
      </c>
      <c r="J357" s="18">
        <f t="shared" si="8"/>
        <v>-0.1195963333</v>
      </c>
      <c r="K357" s="18">
        <f t="shared" si="10"/>
        <v>76.08777363</v>
      </c>
      <c r="L357" s="4"/>
      <c r="M357" s="4"/>
      <c r="N357" s="4"/>
      <c r="O357" s="4"/>
      <c r="P357" s="4"/>
      <c r="Q357" s="4"/>
      <c r="R357" s="4"/>
      <c r="S357" s="4"/>
      <c r="T357" s="4"/>
      <c r="U357" s="4"/>
      <c r="V357" s="4"/>
      <c r="W357" s="4"/>
    </row>
    <row r="358" ht="15.75" customHeight="1">
      <c r="A358" s="13">
        <f t="shared" si="9"/>
        <v>355</v>
      </c>
      <c r="B358" s="18">
        <f>A358/'Orbit Info'!$G$10</f>
        <v>3.752108304</v>
      </c>
      <c r="C358" s="13">
        <f t="shared" si="2"/>
        <v>1</v>
      </c>
      <c r="D358" s="13">
        <f t="shared" si="3"/>
        <v>0</v>
      </c>
      <c r="E358" s="13">
        <f t="shared" si="4"/>
        <v>0</v>
      </c>
      <c r="F358" s="13">
        <f t="shared" si="5"/>
        <v>0</v>
      </c>
      <c r="G358" s="13">
        <f t="shared" si="6"/>
        <v>1</v>
      </c>
      <c r="H358" s="13">
        <f>'Orbit Info'!C357*((C358*$O$2)+(D358*$O$3)+(E358*$O$4)+(F358*$O$5))</f>
        <v>0</v>
      </c>
      <c r="I358" s="13">
        <f t="shared" si="7"/>
        <v>7.17578</v>
      </c>
      <c r="J358" s="18">
        <f t="shared" si="8"/>
        <v>-0.1195963333</v>
      </c>
      <c r="K358" s="18">
        <f t="shared" si="10"/>
        <v>75.9681773</v>
      </c>
      <c r="L358" s="4"/>
      <c r="M358" s="4"/>
      <c r="N358" s="4"/>
      <c r="O358" s="4"/>
      <c r="P358" s="4"/>
      <c r="Q358" s="4"/>
      <c r="R358" s="4"/>
      <c r="S358" s="4"/>
      <c r="T358" s="4"/>
      <c r="U358" s="4"/>
      <c r="V358" s="4"/>
      <c r="W358" s="4"/>
    </row>
    <row r="359" ht="15.75" customHeight="1">
      <c r="A359" s="13">
        <f t="shared" si="9"/>
        <v>356</v>
      </c>
      <c r="B359" s="18">
        <f>A359/'Orbit Info'!$G$10</f>
        <v>3.762677623</v>
      </c>
      <c r="C359" s="13">
        <f t="shared" si="2"/>
        <v>1</v>
      </c>
      <c r="D359" s="13">
        <f t="shared" si="3"/>
        <v>0</v>
      </c>
      <c r="E359" s="13">
        <f t="shared" si="4"/>
        <v>0</v>
      </c>
      <c r="F359" s="13">
        <f t="shared" si="5"/>
        <v>0</v>
      </c>
      <c r="G359" s="13">
        <f t="shared" si="6"/>
        <v>1</v>
      </c>
      <c r="H359" s="13">
        <f>'Orbit Info'!C358*((C359*$O$2)+(D359*$O$3)+(E359*$O$4)+(F359*$O$5))</f>
        <v>0</v>
      </c>
      <c r="I359" s="13">
        <f t="shared" si="7"/>
        <v>7.17578</v>
      </c>
      <c r="J359" s="18">
        <f t="shared" si="8"/>
        <v>-0.1195963333</v>
      </c>
      <c r="K359" s="18">
        <f t="shared" si="10"/>
        <v>75.84858097</v>
      </c>
      <c r="L359" s="4"/>
      <c r="M359" s="4"/>
      <c r="N359" s="4"/>
      <c r="O359" s="4"/>
      <c r="P359" s="4"/>
      <c r="Q359" s="4"/>
      <c r="R359" s="4"/>
      <c r="S359" s="4"/>
      <c r="T359" s="4"/>
      <c r="U359" s="4"/>
      <c r="V359" s="4"/>
      <c r="W359" s="4"/>
    </row>
    <row r="360" ht="15.75" customHeight="1">
      <c r="A360" s="13">
        <f t="shared" si="9"/>
        <v>357</v>
      </c>
      <c r="B360" s="18">
        <f>A360/'Orbit Info'!$G$10</f>
        <v>3.773246942</v>
      </c>
      <c r="C360" s="13">
        <f t="shared" si="2"/>
        <v>1</v>
      </c>
      <c r="D360" s="13">
        <f t="shared" si="3"/>
        <v>0</v>
      </c>
      <c r="E360" s="13">
        <f t="shared" si="4"/>
        <v>0</v>
      </c>
      <c r="F360" s="13">
        <f t="shared" si="5"/>
        <v>0</v>
      </c>
      <c r="G360" s="13">
        <f t="shared" si="6"/>
        <v>1</v>
      </c>
      <c r="H360" s="13">
        <f>'Orbit Info'!C359*((C360*$O$2)+(D360*$O$3)+(E360*$O$4)+(F360*$O$5))</f>
        <v>0</v>
      </c>
      <c r="I360" s="13">
        <f t="shared" si="7"/>
        <v>7.17578</v>
      </c>
      <c r="J360" s="18">
        <f t="shared" si="8"/>
        <v>-0.1195963333</v>
      </c>
      <c r="K360" s="18">
        <f t="shared" si="10"/>
        <v>75.72898463</v>
      </c>
      <c r="L360" s="4"/>
      <c r="M360" s="4"/>
      <c r="N360" s="4"/>
      <c r="O360" s="4"/>
      <c r="P360" s="4"/>
      <c r="Q360" s="4"/>
      <c r="R360" s="4"/>
      <c r="S360" s="4"/>
      <c r="T360" s="4"/>
      <c r="U360" s="4"/>
      <c r="V360" s="4"/>
      <c r="W360" s="4"/>
    </row>
    <row r="361" ht="15.75" customHeight="1">
      <c r="A361" s="13">
        <f t="shared" si="9"/>
        <v>358</v>
      </c>
      <c r="B361" s="18">
        <f>A361/'Orbit Info'!$G$10</f>
        <v>3.783816261</v>
      </c>
      <c r="C361" s="13">
        <f t="shared" si="2"/>
        <v>1</v>
      </c>
      <c r="D361" s="13">
        <f t="shared" si="3"/>
        <v>0</v>
      </c>
      <c r="E361" s="13">
        <f t="shared" si="4"/>
        <v>0</v>
      </c>
      <c r="F361" s="13">
        <f t="shared" si="5"/>
        <v>0</v>
      </c>
      <c r="G361" s="13">
        <f t="shared" si="6"/>
        <v>1</v>
      </c>
      <c r="H361" s="13">
        <f>'Orbit Info'!C360*((C361*$O$2)+(D361*$O$3)+(E361*$O$4)+(F361*$O$5))</f>
        <v>0</v>
      </c>
      <c r="I361" s="13">
        <f t="shared" si="7"/>
        <v>7.17578</v>
      </c>
      <c r="J361" s="18">
        <f t="shared" si="8"/>
        <v>-0.1195963333</v>
      </c>
      <c r="K361" s="18">
        <f t="shared" si="10"/>
        <v>75.6093883</v>
      </c>
      <c r="L361" s="4"/>
      <c r="M361" s="4"/>
      <c r="N361" s="4"/>
      <c r="O361" s="4"/>
      <c r="P361" s="4"/>
      <c r="Q361" s="4"/>
      <c r="R361" s="4"/>
      <c r="S361" s="4"/>
      <c r="T361" s="4"/>
      <c r="U361" s="4"/>
      <c r="V361" s="4"/>
      <c r="W361" s="4"/>
    </row>
    <row r="362" ht="15.75" customHeight="1">
      <c r="A362" s="13">
        <f t="shared" si="9"/>
        <v>359</v>
      </c>
      <c r="B362" s="18">
        <f>A362/'Orbit Info'!$G$10</f>
        <v>3.794385581</v>
      </c>
      <c r="C362" s="13">
        <f t="shared" si="2"/>
        <v>1</v>
      </c>
      <c r="D362" s="13">
        <f t="shared" si="3"/>
        <v>0</v>
      </c>
      <c r="E362" s="13">
        <f t="shared" si="4"/>
        <v>0</v>
      </c>
      <c r="F362" s="13">
        <f t="shared" si="5"/>
        <v>0</v>
      </c>
      <c r="G362" s="13">
        <f t="shared" si="6"/>
        <v>1</v>
      </c>
      <c r="H362" s="13">
        <f>'Orbit Info'!C361*((C362*$O$2)+(D362*$O$3)+(E362*$O$4)+(F362*$O$5))</f>
        <v>0</v>
      </c>
      <c r="I362" s="13">
        <f t="shared" si="7"/>
        <v>7.17578</v>
      </c>
      <c r="J362" s="18">
        <f t="shared" si="8"/>
        <v>-0.1195963333</v>
      </c>
      <c r="K362" s="18">
        <f t="shared" si="10"/>
        <v>75.48979197</v>
      </c>
      <c r="L362" s="4"/>
      <c r="M362" s="4"/>
      <c r="N362" s="4"/>
      <c r="O362" s="4"/>
      <c r="P362" s="4"/>
      <c r="Q362" s="4"/>
      <c r="R362" s="4"/>
      <c r="S362" s="4"/>
      <c r="T362" s="4"/>
      <c r="U362" s="4"/>
      <c r="V362" s="4"/>
      <c r="W362" s="4"/>
    </row>
    <row r="363" ht="15.75" customHeight="1">
      <c r="A363" s="13">
        <f t="shared" si="9"/>
        <v>360</v>
      </c>
      <c r="B363" s="18">
        <f>A363/'Orbit Info'!$G$10</f>
        <v>3.8049549</v>
      </c>
      <c r="C363" s="13">
        <f t="shared" si="2"/>
        <v>1</v>
      </c>
      <c r="D363" s="13">
        <f t="shared" si="3"/>
        <v>0</v>
      </c>
      <c r="E363" s="13">
        <f t="shared" si="4"/>
        <v>0</v>
      </c>
      <c r="F363" s="13">
        <f t="shared" si="5"/>
        <v>0</v>
      </c>
      <c r="G363" s="13">
        <f t="shared" si="6"/>
        <v>1</v>
      </c>
      <c r="H363" s="13">
        <f>'Orbit Info'!C362*((C363*$O$2)+(D363*$O$3)+(E363*$O$4)+(F363*$O$5))</f>
        <v>0</v>
      </c>
      <c r="I363" s="13">
        <f t="shared" si="7"/>
        <v>7.17578</v>
      </c>
      <c r="J363" s="18">
        <f t="shared" si="8"/>
        <v>-0.1195963333</v>
      </c>
      <c r="K363" s="18">
        <f t="shared" si="10"/>
        <v>75.37019563</v>
      </c>
      <c r="L363" s="4"/>
      <c r="M363" s="4"/>
      <c r="N363" s="4"/>
      <c r="O363" s="4"/>
      <c r="P363" s="4"/>
      <c r="Q363" s="4"/>
      <c r="R363" s="4"/>
      <c r="S363" s="4"/>
      <c r="T363" s="4"/>
      <c r="U363" s="4"/>
      <c r="V363" s="4"/>
      <c r="W363" s="4"/>
    </row>
    <row r="364" ht="15.75" customHeight="1">
      <c r="A364" s="13">
        <f t="shared" si="9"/>
        <v>361</v>
      </c>
      <c r="B364" s="18">
        <f>A364/'Orbit Info'!$G$10</f>
        <v>3.815524219</v>
      </c>
      <c r="C364" s="13">
        <f t="shared" si="2"/>
        <v>1</v>
      </c>
      <c r="D364" s="13">
        <f t="shared" si="3"/>
        <v>0</v>
      </c>
      <c r="E364" s="13">
        <f t="shared" si="4"/>
        <v>0</v>
      </c>
      <c r="F364" s="13">
        <f t="shared" si="5"/>
        <v>0</v>
      </c>
      <c r="G364" s="13">
        <f t="shared" si="6"/>
        <v>1</v>
      </c>
      <c r="H364" s="13">
        <f>'Orbit Info'!C363*((C364*$O$2)+(D364*$O$3)+(E364*$O$4)+(F364*$O$5))</f>
        <v>0</v>
      </c>
      <c r="I364" s="13">
        <f t="shared" si="7"/>
        <v>7.17578</v>
      </c>
      <c r="J364" s="18">
        <f t="shared" si="8"/>
        <v>-0.1195963333</v>
      </c>
      <c r="K364" s="18">
        <f t="shared" si="10"/>
        <v>75.2505993</v>
      </c>
      <c r="L364" s="4"/>
      <c r="M364" s="4"/>
      <c r="N364" s="4"/>
      <c r="O364" s="4"/>
      <c r="P364" s="4"/>
      <c r="Q364" s="4"/>
      <c r="R364" s="4"/>
      <c r="S364" s="4"/>
      <c r="T364" s="4"/>
      <c r="U364" s="4"/>
      <c r="V364" s="4"/>
      <c r="W364" s="4"/>
    </row>
    <row r="365" ht="15.75" customHeight="1">
      <c r="A365" s="13">
        <f t="shared" si="9"/>
        <v>362</v>
      </c>
      <c r="B365" s="18">
        <f>A365/'Orbit Info'!$G$10</f>
        <v>3.826093538</v>
      </c>
      <c r="C365" s="13">
        <f t="shared" si="2"/>
        <v>1</v>
      </c>
      <c r="D365" s="13">
        <f t="shared" si="3"/>
        <v>0</v>
      </c>
      <c r="E365" s="13">
        <f t="shared" si="4"/>
        <v>0</v>
      </c>
      <c r="F365" s="13">
        <f t="shared" si="5"/>
        <v>0</v>
      </c>
      <c r="G365" s="13">
        <f t="shared" si="6"/>
        <v>1</v>
      </c>
      <c r="H365" s="13">
        <f>'Orbit Info'!C364*((C365*$O$2)+(D365*$O$3)+(E365*$O$4)+(F365*$O$5))</f>
        <v>0</v>
      </c>
      <c r="I365" s="13">
        <f t="shared" si="7"/>
        <v>7.17578</v>
      </c>
      <c r="J365" s="18">
        <f t="shared" si="8"/>
        <v>-0.1195963333</v>
      </c>
      <c r="K365" s="18">
        <f t="shared" si="10"/>
        <v>75.13100297</v>
      </c>
      <c r="L365" s="4"/>
      <c r="M365" s="4"/>
      <c r="N365" s="4"/>
      <c r="O365" s="4"/>
      <c r="P365" s="4"/>
      <c r="Q365" s="4"/>
      <c r="R365" s="4"/>
      <c r="S365" s="4"/>
      <c r="T365" s="4"/>
      <c r="U365" s="4"/>
      <c r="V365" s="4"/>
      <c r="W365" s="4"/>
    </row>
    <row r="366" ht="15.75" customHeight="1">
      <c r="A366" s="13">
        <f t="shared" si="9"/>
        <v>363</v>
      </c>
      <c r="B366" s="18">
        <f>A366/'Orbit Info'!$G$10</f>
        <v>3.836662857</v>
      </c>
      <c r="C366" s="13">
        <f t="shared" si="2"/>
        <v>1</v>
      </c>
      <c r="D366" s="13">
        <f t="shared" si="3"/>
        <v>0</v>
      </c>
      <c r="E366" s="13">
        <f t="shared" si="4"/>
        <v>0</v>
      </c>
      <c r="F366" s="13">
        <f t="shared" si="5"/>
        <v>0</v>
      </c>
      <c r="G366" s="13">
        <f t="shared" si="6"/>
        <v>1</v>
      </c>
      <c r="H366" s="13">
        <f>'Orbit Info'!C365*((C366*$O$2)+(D366*$O$3)+(E366*$O$4)+(F366*$O$5))</f>
        <v>0</v>
      </c>
      <c r="I366" s="13">
        <f t="shared" si="7"/>
        <v>7.17578</v>
      </c>
      <c r="J366" s="18">
        <f t="shared" si="8"/>
        <v>-0.1195963333</v>
      </c>
      <c r="K366" s="18">
        <f t="shared" si="10"/>
        <v>75.01140663</v>
      </c>
      <c r="L366" s="4"/>
      <c r="M366" s="4"/>
      <c r="N366" s="4"/>
      <c r="O366" s="4"/>
      <c r="P366" s="4"/>
      <c r="Q366" s="4"/>
      <c r="R366" s="4"/>
      <c r="S366" s="4"/>
      <c r="T366" s="4"/>
      <c r="U366" s="4"/>
      <c r="V366" s="4"/>
      <c r="W366" s="4"/>
    </row>
    <row r="367" ht="15.75" customHeight="1">
      <c r="A367" s="13">
        <f t="shared" si="9"/>
        <v>364</v>
      </c>
      <c r="B367" s="18">
        <f>A367/'Orbit Info'!$G$10</f>
        <v>3.847232176</v>
      </c>
      <c r="C367" s="13">
        <f t="shared" si="2"/>
        <v>1</v>
      </c>
      <c r="D367" s="13">
        <f t="shared" si="3"/>
        <v>0</v>
      </c>
      <c r="E367" s="13">
        <f t="shared" si="4"/>
        <v>0</v>
      </c>
      <c r="F367" s="13">
        <f t="shared" si="5"/>
        <v>0</v>
      </c>
      <c r="G367" s="13">
        <f t="shared" si="6"/>
        <v>1</v>
      </c>
      <c r="H367" s="13">
        <f>'Orbit Info'!C366*((C367*$O$2)+(D367*$O$3)+(E367*$O$4)+(F367*$O$5))</f>
        <v>0</v>
      </c>
      <c r="I367" s="13">
        <f t="shared" si="7"/>
        <v>7.17578</v>
      </c>
      <c r="J367" s="18">
        <f t="shared" si="8"/>
        <v>-0.1195963333</v>
      </c>
      <c r="K367" s="18">
        <f t="shared" si="10"/>
        <v>74.8918103</v>
      </c>
      <c r="L367" s="4"/>
      <c r="M367" s="4"/>
      <c r="N367" s="4"/>
      <c r="O367" s="4"/>
      <c r="P367" s="4"/>
      <c r="Q367" s="4"/>
      <c r="R367" s="4"/>
      <c r="S367" s="4"/>
      <c r="T367" s="4"/>
      <c r="U367" s="4"/>
      <c r="V367" s="4"/>
      <c r="W367" s="4"/>
    </row>
    <row r="368" ht="15.75" customHeight="1">
      <c r="A368" s="13">
        <f t="shared" si="9"/>
        <v>365</v>
      </c>
      <c r="B368" s="18">
        <f>A368/'Orbit Info'!$G$10</f>
        <v>3.857801496</v>
      </c>
      <c r="C368" s="13">
        <f t="shared" si="2"/>
        <v>1</v>
      </c>
      <c r="D368" s="13">
        <f t="shared" si="3"/>
        <v>0</v>
      </c>
      <c r="E368" s="13">
        <f t="shared" si="4"/>
        <v>0</v>
      </c>
      <c r="F368" s="13">
        <f t="shared" si="5"/>
        <v>0</v>
      </c>
      <c r="G368" s="13">
        <f t="shared" si="6"/>
        <v>1</v>
      </c>
      <c r="H368" s="13">
        <f>'Orbit Info'!C367*((C368*$O$2)+(D368*$O$3)+(E368*$O$4)+(F368*$O$5))</f>
        <v>0</v>
      </c>
      <c r="I368" s="13">
        <f t="shared" si="7"/>
        <v>7.17578</v>
      </c>
      <c r="J368" s="18">
        <f t="shared" si="8"/>
        <v>-0.1195963333</v>
      </c>
      <c r="K368" s="18">
        <f t="shared" si="10"/>
        <v>74.77221397</v>
      </c>
      <c r="L368" s="4"/>
      <c r="M368" s="4"/>
      <c r="N368" s="4"/>
      <c r="O368" s="4"/>
      <c r="P368" s="4"/>
      <c r="Q368" s="4"/>
      <c r="R368" s="4"/>
      <c r="S368" s="4"/>
      <c r="T368" s="4"/>
      <c r="U368" s="4"/>
      <c r="V368" s="4"/>
      <c r="W368" s="4"/>
    </row>
    <row r="369" ht="15.75" customHeight="1">
      <c r="A369" s="13">
        <f t="shared" si="9"/>
        <v>366</v>
      </c>
      <c r="B369" s="18">
        <f>A369/'Orbit Info'!$G$10</f>
        <v>3.868370815</v>
      </c>
      <c r="C369" s="13">
        <f t="shared" si="2"/>
        <v>1</v>
      </c>
      <c r="D369" s="13">
        <f t="shared" si="3"/>
        <v>0</v>
      </c>
      <c r="E369" s="13">
        <f t="shared" si="4"/>
        <v>0</v>
      </c>
      <c r="F369" s="13">
        <f t="shared" si="5"/>
        <v>0</v>
      </c>
      <c r="G369" s="13">
        <f t="shared" si="6"/>
        <v>1</v>
      </c>
      <c r="H369" s="13">
        <f>'Orbit Info'!C368*((C369*$O$2)+(D369*$O$3)+(E369*$O$4)+(F369*$O$5))</f>
        <v>0</v>
      </c>
      <c r="I369" s="13">
        <f t="shared" si="7"/>
        <v>7.17578</v>
      </c>
      <c r="J369" s="18">
        <f t="shared" si="8"/>
        <v>-0.1195963333</v>
      </c>
      <c r="K369" s="18">
        <f t="shared" si="10"/>
        <v>74.65261763</v>
      </c>
      <c r="L369" s="4"/>
      <c r="M369" s="4"/>
      <c r="N369" s="4"/>
      <c r="O369" s="4"/>
      <c r="P369" s="4"/>
      <c r="Q369" s="4"/>
      <c r="R369" s="4"/>
      <c r="S369" s="4"/>
      <c r="T369" s="4"/>
      <c r="U369" s="4"/>
      <c r="V369" s="4"/>
      <c r="W369" s="4"/>
    </row>
    <row r="370" ht="15.75" customHeight="1">
      <c r="A370" s="13">
        <f t="shared" si="9"/>
        <v>367</v>
      </c>
      <c r="B370" s="18">
        <f>A370/'Orbit Info'!$G$10</f>
        <v>3.878940134</v>
      </c>
      <c r="C370" s="13">
        <f t="shared" si="2"/>
        <v>1</v>
      </c>
      <c r="D370" s="13">
        <f t="shared" si="3"/>
        <v>0</v>
      </c>
      <c r="E370" s="13">
        <f t="shared" si="4"/>
        <v>0</v>
      </c>
      <c r="F370" s="13">
        <f t="shared" si="5"/>
        <v>0</v>
      </c>
      <c r="G370" s="13">
        <f t="shared" si="6"/>
        <v>1</v>
      </c>
      <c r="H370" s="13">
        <f>'Orbit Info'!C369*((C370*$O$2)+(D370*$O$3)+(E370*$O$4)+(F370*$O$5))</f>
        <v>0</v>
      </c>
      <c r="I370" s="13">
        <f t="shared" si="7"/>
        <v>7.17578</v>
      </c>
      <c r="J370" s="18">
        <f t="shared" si="8"/>
        <v>-0.1195963333</v>
      </c>
      <c r="K370" s="18">
        <f t="shared" si="10"/>
        <v>74.5330213</v>
      </c>
      <c r="L370" s="4"/>
      <c r="M370" s="4"/>
      <c r="N370" s="4"/>
      <c r="O370" s="4"/>
      <c r="P370" s="4"/>
      <c r="Q370" s="4"/>
      <c r="R370" s="4"/>
      <c r="S370" s="4"/>
      <c r="T370" s="4"/>
      <c r="U370" s="4"/>
      <c r="V370" s="4"/>
      <c r="W370" s="4"/>
    </row>
    <row r="371" ht="15.75" customHeight="1">
      <c r="A371" s="13">
        <f t="shared" si="9"/>
        <v>368</v>
      </c>
      <c r="B371" s="18">
        <f>A371/'Orbit Info'!$G$10</f>
        <v>3.889509453</v>
      </c>
      <c r="C371" s="13">
        <f t="shared" si="2"/>
        <v>1</v>
      </c>
      <c r="D371" s="13">
        <f t="shared" si="3"/>
        <v>0</v>
      </c>
      <c r="E371" s="13">
        <f t="shared" si="4"/>
        <v>0</v>
      </c>
      <c r="F371" s="13">
        <f t="shared" si="5"/>
        <v>0</v>
      </c>
      <c r="G371" s="13">
        <f t="shared" si="6"/>
        <v>1</v>
      </c>
      <c r="H371" s="13">
        <f>'Orbit Info'!C370*((C371*$O$2)+(D371*$O$3)+(E371*$O$4)+(F371*$O$5))</f>
        <v>0</v>
      </c>
      <c r="I371" s="13">
        <f t="shared" si="7"/>
        <v>7.17578</v>
      </c>
      <c r="J371" s="18">
        <f t="shared" si="8"/>
        <v>-0.1195963333</v>
      </c>
      <c r="K371" s="18">
        <f t="shared" si="10"/>
        <v>74.41342497</v>
      </c>
      <c r="L371" s="4"/>
      <c r="M371" s="4"/>
      <c r="N371" s="4"/>
      <c r="O371" s="4"/>
      <c r="P371" s="4"/>
      <c r="Q371" s="4"/>
      <c r="R371" s="4"/>
      <c r="S371" s="4"/>
      <c r="T371" s="4"/>
      <c r="U371" s="4"/>
      <c r="V371" s="4"/>
      <c r="W371" s="4"/>
    </row>
    <row r="372" ht="15.75" customHeight="1">
      <c r="A372" s="13">
        <f t="shared" si="9"/>
        <v>369</v>
      </c>
      <c r="B372" s="18">
        <f>A372/'Orbit Info'!$G$10</f>
        <v>3.900078772</v>
      </c>
      <c r="C372" s="13">
        <f t="shared" si="2"/>
        <v>1</v>
      </c>
      <c r="D372" s="13">
        <f t="shared" si="3"/>
        <v>0</v>
      </c>
      <c r="E372" s="13">
        <f t="shared" si="4"/>
        <v>0</v>
      </c>
      <c r="F372" s="13">
        <f t="shared" si="5"/>
        <v>0</v>
      </c>
      <c r="G372" s="13">
        <f t="shared" si="6"/>
        <v>1</v>
      </c>
      <c r="H372" s="13">
        <f>'Orbit Info'!C371*((C372*$O$2)+(D372*$O$3)+(E372*$O$4)+(F372*$O$5))</f>
        <v>0</v>
      </c>
      <c r="I372" s="13">
        <f t="shared" si="7"/>
        <v>7.17578</v>
      </c>
      <c r="J372" s="18">
        <f t="shared" si="8"/>
        <v>-0.1195963333</v>
      </c>
      <c r="K372" s="18">
        <f t="shared" si="10"/>
        <v>74.29382863</v>
      </c>
      <c r="L372" s="4"/>
      <c r="M372" s="4"/>
      <c r="N372" s="4"/>
      <c r="O372" s="4"/>
      <c r="P372" s="4"/>
      <c r="Q372" s="4"/>
      <c r="R372" s="4"/>
      <c r="S372" s="4"/>
      <c r="T372" s="4"/>
      <c r="U372" s="4"/>
      <c r="V372" s="4"/>
      <c r="W372" s="4"/>
    </row>
    <row r="373" ht="15.75" customHeight="1">
      <c r="A373" s="13">
        <f t="shared" si="9"/>
        <v>370</v>
      </c>
      <c r="B373" s="18">
        <f>A373/'Orbit Info'!$G$10</f>
        <v>3.910648091</v>
      </c>
      <c r="C373" s="13">
        <f t="shared" si="2"/>
        <v>1</v>
      </c>
      <c r="D373" s="13">
        <f t="shared" si="3"/>
        <v>0</v>
      </c>
      <c r="E373" s="13">
        <f t="shared" si="4"/>
        <v>0</v>
      </c>
      <c r="F373" s="13">
        <f t="shared" si="5"/>
        <v>0</v>
      </c>
      <c r="G373" s="13">
        <f t="shared" si="6"/>
        <v>1</v>
      </c>
      <c r="H373" s="13">
        <f>'Orbit Info'!C372*((C373*$O$2)+(D373*$O$3)+(E373*$O$4)+(F373*$O$5))</f>
        <v>0</v>
      </c>
      <c r="I373" s="13">
        <f t="shared" si="7"/>
        <v>7.17578</v>
      </c>
      <c r="J373" s="18">
        <f t="shared" si="8"/>
        <v>-0.1195963333</v>
      </c>
      <c r="K373" s="18">
        <f t="shared" si="10"/>
        <v>74.1742323</v>
      </c>
      <c r="L373" s="4"/>
      <c r="M373" s="4"/>
      <c r="N373" s="4"/>
      <c r="O373" s="4"/>
      <c r="P373" s="4"/>
      <c r="Q373" s="4"/>
      <c r="R373" s="4"/>
      <c r="S373" s="4"/>
      <c r="T373" s="4"/>
      <c r="U373" s="4"/>
      <c r="V373" s="4"/>
      <c r="W373" s="4"/>
    </row>
    <row r="374" ht="15.75" customHeight="1">
      <c r="A374" s="13">
        <f t="shared" si="9"/>
        <v>371</v>
      </c>
      <c r="B374" s="18">
        <f>A374/'Orbit Info'!$G$10</f>
        <v>3.921217411</v>
      </c>
      <c r="C374" s="13">
        <f t="shared" si="2"/>
        <v>1</v>
      </c>
      <c r="D374" s="13">
        <f t="shared" si="3"/>
        <v>0</v>
      </c>
      <c r="E374" s="13">
        <f t="shared" si="4"/>
        <v>0</v>
      </c>
      <c r="F374" s="13">
        <f t="shared" si="5"/>
        <v>0</v>
      </c>
      <c r="G374" s="13">
        <f t="shared" si="6"/>
        <v>1</v>
      </c>
      <c r="H374" s="13">
        <f>'Orbit Info'!C373*((C374*$O$2)+(D374*$O$3)+(E374*$O$4)+(F374*$O$5))</f>
        <v>0</v>
      </c>
      <c r="I374" s="13">
        <f t="shared" si="7"/>
        <v>7.17578</v>
      </c>
      <c r="J374" s="18">
        <f t="shared" si="8"/>
        <v>-0.1195963333</v>
      </c>
      <c r="K374" s="18">
        <f t="shared" si="10"/>
        <v>74.05463597</v>
      </c>
      <c r="L374" s="4"/>
      <c r="M374" s="4"/>
      <c r="N374" s="4"/>
      <c r="O374" s="4"/>
      <c r="P374" s="4"/>
      <c r="Q374" s="4"/>
      <c r="R374" s="4"/>
      <c r="S374" s="4"/>
      <c r="T374" s="4"/>
      <c r="U374" s="4"/>
      <c r="V374" s="4"/>
      <c r="W374" s="4"/>
    </row>
    <row r="375" ht="15.75" customHeight="1">
      <c r="A375" s="13">
        <f t="shared" si="9"/>
        <v>372</v>
      </c>
      <c r="B375" s="18">
        <f>A375/'Orbit Info'!$G$10</f>
        <v>3.93178673</v>
      </c>
      <c r="C375" s="13">
        <f t="shared" si="2"/>
        <v>1</v>
      </c>
      <c r="D375" s="13">
        <f t="shared" si="3"/>
        <v>0</v>
      </c>
      <c r="E375" s="13">
        <f t="shared" si="4"/>
        <v>0</v>
      </c>
      <c r="F375" s="13">
        <f t="shared" si="5"/>
        <v>0</v>
      </c>
      <c r="G375" s="13">
        <f t="shared" si="6"/>
        <v>1</v>
      </c>
      <c r="H375" s="13">
        <f>'Orbit Info'!C374*((C375*$O$2)+(D375*$O$3)+(E375*$O$4)+(F375*$O$5))</f>
        <v>0</v>
      </c>
      <c r="I375" s="13">
        <f t="shared" si="7"/>
        <v>7.17578</v>
      </c>
      <c r="J375" s="18">
        <f t="shared" si="8"/>
        <v>-0.1195963333</v>
      </c>
      <c r="K375" s="18">
        <f t="shared" si="10"/>
        <v>73.93503963</v>
      </c>
      <c r="L375" s="4"/>
      <c r="M375" s="4"/>
      <c r="N375" s="4"/>
      <c r="O375" s="4"/>
      <c r="P375" s="4"/>
      <c r="Q375" s="4"/>
      <c r="R375" s="4"/>
      <c r="S375" s="4"/>
      <c r="T375" s="4"/>
      <c r="U375" s="4"/>
      <c r="V375" s="4"/>
      <c r="W375" s="4"/>
    </row>
    <row r="376" ht="15.75" customHeight="1">
      <c r="A376" s="13">
        <f t="shared" si="9"/>
        <v>373</v>
      </c>
      <c r="B376" s="18">
        <f>A376/'Orbit Info'!$G$10</f>
        <v>3.942356049</v>
      </c>
      <c r="C376" s="13">
        <f t="shared" si="2"/>
        <v>1</v>
      </c>
      <c r="D376" s="13">
        <f t="shared" si="3"/>
        <v>0</v>
      </c>
      <c r="E376" s="13">
        <f t="shared" si="4"/>
        <v>0</v>
      </c>
      <c r="F376" s="13">
        <f t="shared" si="5"/>
        <v>0</v>
      </c>
      <c r="G376" s="13">
        <f t="shared" si="6"/>
        <v>1</v>
      </c>
      <c r="H376" s="13">
        <f>'Orbit Info'!C375*((C376*$O$2)+(D376*$O$3)+(E376*$O$4)+(F376*$O$5))</f>
        <v>0</v>
      </c>
      <c r="I376" s="13">
        <f t="shared" si="7"/>
        <v>7.17578</v>
      </c>
      <c r="J376" s="18">
        <f t="shared" si="8"/>
        <v>-0.1195963333</v>
      </c>
      <c r="K376" s="18">
        <f t="shared" si="10"/>
        <v>73.8154433</v>
      </c>
      <c r="L376" s="4"/>
      <c r="M376" s="4"/>
      <c r="N376" s="4"/>
      <c r="O376" s="4"/>
      <c r="P376" s="4"/>
      <c r="Q376" s="4"/>
      <c r="R376" s="4"/>
      <c r="S376" s="4"/>
      <c r="T376" s="4"/>
      <c r="U376" s="4"/>
      <c r="V376" s="4"/>
      <c r="W376" s="4"/>
    </row>
    <row r="377" ht="15.75" customHeight="1">
      <c r="A377" s="13">
        <f t="shared" si="9"/>
        <v>374</v>
      </c>
      <c r="B377" s="18">
        <f>A377/'Orbit Info'!$G$10</f>
        <v>3.952925368</v>
      </c>
      <c r="C377" s="13">
        <f t="shared" si="2"/>
        <v>1</v>
      </c>
      <c r="D377" s="13">
        <f t="shared" si="3"/>
        <v>0</v>
      </c>
      <c r="E377" s="13">
        <f t="shared" si="4"/>
        <v>0</v>
      </c>
      <c r="F377" s="13">
        <f t="shared" si="5"/>
        <v>0</v>
      </c>
      <c r="G377" s="13">
        <f t="shared" si="6"/>
        <v>1</v>
      </c>
      <c r="H377" s="13">
        <f>'Orbit Info'!C376*((C377*$O$2)+(D377*$O$3)+(E377*$O$4)+(F377*$O$5))</f>
        <v>0</v>
      </c>
      <c r="I377" s="13">
        <f t="shared" si="7"/>
        <v>7.17578</v>
      </c>
      <c r="J377" s="18">
        <f t="shared" si="8"/>
        <v>-0.1195963333</v>
      </c>
      <c r="K377" s="18">
        <f t="shared" si="10"/>
        <v>73.69584697</v>
      </c>
      <c r="L377" s="4"/>
      <c r="M377" s="4"/>
      <c r="N377" s="4"/>
      <c r="O377" s="4"/>
      <c r="P377" s="4"/>
      <c r="Q377" s="4"/>
      <c r="R377" s="4"/>
      <c r="S377" s="4"/>
      <c r="T377" s="4"/>
      <c r="U377" s="4"/>
      <c r="V377" s="4"/>
      <c r="W377" s="4"/>
    </row>
    <row r="378" ht="15.75" customHeight="1">
      <c r="A378" s="13">
        <f t="shared" si="9"/>
        <v>375</v>
      </c>
      <c r="B378" s="18">
        <f>A378/'Orbit Info'!$G$10</f>
        <v>3.963494687</v>
      </c>
      <c r="C378" s="13">
        <f t="shared" si="2"/>
        <v>1</v>
      </c>
      <c r="D378" s="13">
        <f t="shared" si="3"/>
        <v>0</v>
      </c>
      <c r="E378" s="13">
        <f t="shared" si="4"/>
        <v>0</v>
      </c>
      <c r="F378" s="13">
        <f t="shared" si="5"/>
        <v>0</v>
      </c>
      <c r="G378" s="13">
        <f t="shared" si="6"/>
        <v>1</v>
      </c>
      <c r="H378" s="13">
        <f>'Orbit Info'!C377*((C378*$O$2)+(D378*$O$3)+(E378*$O$4)+(F378*$O$5))</f>
        <v>0</v>
      </c>
      <c r="I378" s="13">
        <f t="shared" si="7"/>
        <v>7.17578</v>
      </c>
      <c r="J378" s="18">
        <f t="shared" si="8"/>
        <v>-0.1195963333</v>
      </c>
      <c r="K378" s="18">
        <f t="shared" si="10"/>
        <v>73.57625063</v>
      </c>
      <c r="L378" s="4"/>
      <c r="M378" s="4"/>
      <c r="N378" s="4"/>
      <c r="O378" s="4"/>
      <c r="P378" s="4"/>
      <c r="Q378" s="4"/>
      <c r="R378" s="4"/>
      <c r="S378" s="4"/>
      <c r="T378" s="4"/>
      <c r="U378" s="4"/>
      <c r="V378" s="4"/>
      <c r="W378" s="4"/>
    </row>
    <row r="379" ht="15.75" customHeight="1">
      <c r="A379" s="13">
        <f t="shared" si="9"/>
        <v>376</v>
      </c>
      <c r="B379" s="18">
        <f>A379/'Orbit Info'!$G$10</f>
        <v>3.974064006</v>
      </c>
      <c r="C379" s="13">
        <f t="shared" si="2"/>
        <v>1</v>
      </c>
      <c r="D379" s="13">
        <f t="shared" si="3"/>
        <v>0</v>
      </c>
      <c r="E379" s="13">
        <f t="shared" si="4"/>
        <v>0</v>
      </c>
      <c r="F379" s="13">
        <f t="shared" si="5"/>
        <v>0</v>
      </c>
      <c r="G379" s="13">
        <f t="shared" si="6"/>
        <v>1</v>
      </c>
      <c r="H379" s="13">
        <f>'Orbit Info'!C378*((C379*$O$2)+(D379*$O$3)+(E379*$O$4)+(F379*$O$5))</f>
        <v>0</v>
      </c>
      <c r="I379" s="13">
        <f t="shared" si="7"/>
        <v>7.17578</v>
      </c>
      <c r="J379" s="18">
        <f t="shared" si="8"/>
        <v>-0.1195963333</v>
      </c>
      <c r="K379" s="18">
        <f t="shared" si="10"/>
        <v>73.4566543</v>
      </c>
      <c r="L379" s="4"/>
      <c r="M379" s="4"/>
      <c r="N379" s="4"/>
      <c r="O379" s="4"/>
      <c r="P379" s="4"/>
      <c r="Q379" s="4"/>
      <c r="R379" s="4"/>
      <c r="S379" s="4"/>
      <c r="T379" s="4"/>
      <c r="U379" s="4"/>
      <c r="V379" s="4"/>
      <c r="W379" s="4"/>
    </row>
    <row r="380" ht="15.75" customHeight="1">
      <c r="A380" s="13">
        <f t="shared" si="9"/>
        <v>377</v>
      </c>
      <c r="B380" s="18">
        <f>A380/'Orbit Info'!$G$10</f>
        <v>3.984633326</v>
      </c>
      <c r="C380" s="13">
        <f t="shared" si="2"/>
        <v>1</v>
      </c>
      <c r="D380" s="13">
        <f t="shared" si="3"/>
        <v>0</v>
      </c>
      <c r="E380" s="13">
        <f t="shared" si="4"/>
        <v>0</v>
      </c>
      <c r="F380" s="13">
        <f t="shared" si="5"/>
        <v>0</v>
      </c>
      <c r="G380" s="13">
        <f t="shared" si="6"/>
        <v>1</v>
      </c>
      <c r="H380" s="13">
        <f>'Orbit Info'!C379*((C380*$O$2)+(D380*$O$3)+(E380*$O$4)+(F380*$O$5))</f>
        <v>0</v>
      </c>
      <c r="I380" s="13">
        <f t="shared" si="7"/>
        <v>7.17578</v>
      </c>
      <c r="J380" s="18">
        <f t="shared" si="8"/>
        <v>-0.1195963333</v>
      </c>
      <c r="K380" s="18">
        <f t="shared" si="10"/>
        <v>73.33705797</v>
      </c>
      <c r="L380" s="4"/>
      <c r="M380" s="4"/>
      <c r="N380" s="4"/>
      <c r="O380" s="4"/>
      <c r="P380" s="4"/>
      <c r="Q380" s="4"/>
      <c r="R380" s="4"/>
      <c r="S380" s="4"/>
      <c r="T380" s="4"/>
      <c r="U380" s="4"/>
      <c r="V380" s="4"/>
      <c r="W380" s="4"/>
    </row>
    <row r="381" ht="15.75" customHeight="1">
      <c r="A381" s="13">
        <f t="shared" si="9"/>
        <v>378</v>
      </c>
      <c r="B381" s="18">
        <f>A381/'Orbit Info'!$G$10</f>
        <v>3.995202645</v>
      </c>
      <c r="C381" s="13">
        <f t="shared" si="2"/>
        <v>1</v>
      </c>
      <c r="D381" s="13">
        <f t="shared" si="3"/>
        <v>0</v>
      </c>
      <c r="E381" s="13">
        <f t="shared" si="4"/>
        <v>0</v>
      </c>
      <c r="F381" s="13">
        <f t="shared" si="5"/>
        <v>0</v>
      </c>
      <c r="G381" s="13">
        <f t="shared" si="6"/>
        <v>1</v>
      </c>
      <c r="H381" s="13">
        <f>'Orbit Info'!C380*((C381*$O$2)+(D381*$O$3)+(E381*$O$4)+(F381*$O$5))</f>
        <v>0</v>
      </c>
      <c r="I381" s="13">
        <f t="shared" si="7"/>
        <v>7.17578</v>
      </c>
      <c r="J381" s="18">
        <f t="shared" si="8"/>
        <v>-0.1195963333</v>
      </c>
      <c r="K381" s="18">
        <f t="shared" si="10"/>
        <v>73.21746163</v>
      </c>
      <c r="L381" s="4"/>
      <c r="M381" s="4"/>
      <c r="N381" s="4"/>
      <c r="O381" s="4"/>
      <c r="P381" s="4"/>
      <c r="Q381" s="4"/>
      <c r="R381" s="4"/>
      <c r="S381" s="4"/>
      <c r="T381" s="4"/>
      <c r="U381" s="4"/>
      <c r="V381" s="4"/>
      <c r="W381" s="4"/>
    </row>
    <row r="382" ht="15.75" customHeight="1">
      <c r="A382" s="13">
        <f t="shared" si="9"/>
        <v>379</v>
      </c>
      <c r="B382" s="18">
        <f>A382/'Orbit Info'!$G$10</f>
        <v>4.005771964</v>
      </c>
      <c r="C382" s="13">
        <f t="shared" si="2"/>
        <v>1</v>
      </c>
      <c r="D382" s="13">
        <f t="shared" si="3"/>
        <v>0</v>
      </c>
      <c r="E382" s="13">
        <f t="shared" si="4"/>
        <v>0</v>
      </c>
      <c r="F382" s="13">
        <f t="shared" si="5"/>
        <v>0</v>
      </c>
      <c r="G382" s="13">
        <f t="shared" si="6"/>
        <v>1</v>
      </c>
      <c r="H382" s="13">
        <f>'Orbit Info'!C381*((C382*$O$2)+(D382*$O$3)+(E382*$O$4)+(F382*$O$5))</f>
        <v>15.628032</v>
      </c>
      <c r="I382" s="13">
        <f t="shared" si="7"/>
        <v>7.17578</v>
      </c>
      <c r="J382" s="18">
        <f t="shared" si="8"/>
        <v>0.1408708667</v>
      </c>
      <c r="K382" s="18">
        <f t="shared" si="10"/>
        <v>73.3583325</v>
      </c>
      <c r="L382" s="4"/>
      <c r="M382" s="4"/>
      <c r="N382" s="4"/>
      <c r="O382" s="4"/>
      <c r="P382" s="4"/>
      <c r="Q382" s="4"/>
      <c r="R382" s="4"/>
      <c r="S382" s="4"/>
      <c r="T382" s="4"/>
      <c r="U382" s="4"/>
      <c r="V382" s="4"/>
      <c r="W382" s="4"/>
    </row>
    <row r="383" ht="15.75" customHeight="1">
      <c r="A383" s="13">
        <f t="shared" si="9"/>
        <v>380</v>
      </c>
      <c r="B383" s="18">
        <f>A383/'Orbit Info'!$G$10</f>
        <v>4.016341283</v>
      </c>
      <c r="C383" s="13">
        <f t="shared" si="2"/>
        <v>1</v>
      </c>
      <c r="D383" s="13">
        <f t="shared" si="3"/>
        <v>0</v>
      </c>
      <c r="E383" s="13">
        <f t="shared" si="4"/>
        <v>0</v>
      </c>
      <c r="F383" s="13">
        <f t="shared" si="5"/>
        <v>0</v>
      </c>
      <c r="G383" s="13">
        <f t="shared" si="6"/>
        <v>1</v>
      </c>
      <c r="H383" s="13">
        <f>'Orbit Info'!C382*((C383*$O$2)+(D383*$O$3)+(E383*$O$4)+(F383*$O$5))</f>
        <v>15.628032</v>
      </c>
      <c r="I383" s="13">
        <f t="shared" si="7"/>
        <v>7.17578</v>
      </c>
      <c r="J383" s="18">
        <f t="shared" si="8"/>
        <v>0.1408708667</v>
      </c>
      <c r="K383" s="18">
        <f t="shared" si="10"/>
        <v>73.49920337</v>
      </c>
      <c r="L383" s="4"/>
      <c r="M383" s="4"/>
      <c r="N383" s="4"/>
      <c r="O383" s="4"/>
      <c r="P383" s="4"/>
      <c r="Q383" s="4"/>
      <c r="R383" s="4"/>
      <c r="S383" s="4"/>
      <c r="T383" s="4"/>
      <c r="U383" s="4"/>
      <c r="V383" s="4"/>
      <c r="W383" s="4"/>
    </row>
    <row r="384" ht="15.75" customHeight="1">
      <c r="A384" s="13">
        <f t="shared" si="9"/>
        <v>381</v>
      </c>
      <c r="B384" s="18">
        <f>A384/'Orbit Info'!$G$10</f>
        <v>4.026910602</v>
      </c>
      <c r="C384" s="13">
        <f t="shared" si="2"/>
        <v>1</v>
      </c>
      <c r="D384" s="13">
        <f t="shared" si="3"/>
        <v>0</v>
      </c>
      <c r="E384" s="13">
        <f t="shared" si="4"/>
        <v>0</v>
      </c>
      <c r="F384" s="13">
        <f t="shared" si="5"/>
        <v>0</v>
      </c>
      <c r="G384" s="13">
        <f t="shared" si="6"/>
        <v>1</v>
      </c>
      <c r="H384" s="13">
        <f>'Orbit Info'!C383*((C384*$O$2)+(D384*$O$3)+(E384*$O$4)+(F384*$O$5))</f>
        <v>15.628032</v>
      </c>
      <c r="I384" s="13">
        <f t="shared" si="7"/>
        <v>7.17578</v>
      </c>
      <c r="J384" s="18">
        <f t="shared" si="8"/>
        <v>0.1408708667</v>
      </c>
      <c r="K384" s="18">
        <f t="shared" si="10"/>
        <v>73.64007423</v>
      </c>
      <c r="L384" s="4"/>
      <c r="M384" s="4"/>
      <c r="N384" s="4"/>
      <c r="O384" s="4"/>
      <c r="P384" s="4"/>
      <c r="Q384" s="4"/>
      <c r="R384" s="4"/>
      <c r="S384" s="4"/>
      <c r="T384" s="4"/>
      <c r="U384" s="4"/>
      <c r="V384" s="4"/>
      <c r="W384" s="4"/>
    </row>
    <row r="385" ht="15.75" customHeight="1">
      <c r="A385" s="13">
        <f t="shared" si="9"/>
        <v>382</v>
      </c>
      <c r="B385" s="18">
        <f>A385/'Orbit Info'!$G$10</f>
        <v>4.037479921</v>
      </c>
      <c r="C385" s="13">
        <f t="shared" si="2"/>
        <v>1</v>
      </c>
      <c r="D385" s="13">
        <f t="shared" si="3"/>
        <v>0</v>
      </c>
      <c r="E385" s="13">
        <f t="shared" si="4"/>
        <v>0</v>
      </c>
      <c r="F385" s="13">
        <f t="shared" si="5"/>
        <v>0</v>
      </c>
      <c r="G385" s="13">
        <f t="shared" si="6"/>
        <v>1</v>
      </c>
      <c r="H385" s="13">
        <f>'Orbit Info'!C384*((C385*$O$2)+(D385*$O$3)+(E385*$O$4)+(F385*$O$5))</f>
        <v>15.628032</v>
      </c>
      <c r="I385" s="13">
        <f t="shared" si="7"/>
        <v>7.17578</v>
      </c>
      <c r="J385" s="18">
        <f t="shared" si="8"/>
        <v>0.1408708667</v>
      </c>
      <c r="K385" s="18">
        <f t="shared" si="10"/>
        <v>73.7809451</v>
      </c>
      <c r="L385" s="4"/>
      <c r="M385" s="4"/>
      <c r="N385" s="4"/>
      <c r="O385" s="4"/>
      <c r="P385" s="4"/>
      <c r="Q385" s="4"/>
      <c r="R385" s="4"/>
      <c r="S385" s="4"/>
      <c r="T385" s="4"/>
      <c r="U385" s="4"/>
      <c r="V385" s="4"/>
      <c r="W385" s="4"/>
    </row>
    <row r="386" ht="15.75" customHeight="1">
      <c r="A386" s="13">
        <f t="shared" si="9"/>
        <v>383</v>
      </c>
      <c r="B386" s="18">
        <f>A386/'Orbit Info'!$G$10</f>
        <v>4.048049241</v>
      </c>
      <c r="C386" s="13">
        <f t="shared" si="2"/>
        <v>1</v>
      </c>
      <c r="D386" s="13">
        <f t="shared" si="3"/>
        <v>0</v>
      </c>
      <c r="E386" s="13">
        <f t="shared" si="4"/>
        <v>0</v>
      </c>
      <c r="F386" s="13">
        <f t="shared" si="5"/>
        <v>0</v>
      </c>
      <c r="G386" s="13">
        <f t="shared" si="6"/>
        <v>1</v>
      </c>
      <c r="H386" s="13">
        <f>'Orbit Info'!C385*((C386*$O$2)+(D386*$O$3)+(E386*$O$4)+(F386*$O$5))</f>
        <v>15.628032</v>
      </c>
      <c r="I386" s="13">
        <f t="shared" si="7"/>
        <v>7.17578</v>
      </c>
      <c r="J386" s="18">
        <f t="shared" si="8"/>
        <v>0.1408708667</v>
      </c>
      <c r="K386" s="18">
        <f t="shared" si="10"/>
        <v>73.92181597</v>
      </c>
      <c r="L386" s="4"/>
      <c r="M386" s="4"/>
      <c r="N386" s="4"/>
      <c r="O386" s="4"/>
      <c r="P386" s="4"/>
      <c r="Q386" s="4"/>
      <c r="R386" s="4"/>
      <c r="S386" s="4"/>
      <c r="T386" s="4"/>
      <c r="U386" s="4"/>
      <c r="V386" s="4"/>
      <c r="W386" s="4"/>
    </row>
    <row r="387" ht="15.75" customHeight="1">
      <c r="A387" s="13">
        <f t="shared" si="9"/>
        <v>384</v>
      </c>
      <c r="B387" s="18">
        <f>A387/'Orbit Info'!$G$10</f>
        <v>4.05861856</v>
      </c>
      <c r="C387" s="13">
        <f t="shared" si="2"/>
        <v>1</v>
      </c>
      <c r="D387" s="13">
        <f t="shared" si="3"/>
        <v>0</v>
      </c>
      <c r="E387" s="13">
        <f t="shared" si="4"/>
        <v>0</v>
      </c>
      <c r="F387" s="13">
        <f t="shared" si="5"/>
        <v>0</v>
      </c>
      <c r="G387" s="13">
        <f t="shared" si="6"/>
        <v>1</v>
      </c>
      <c r="H387" s="13">
        <f>'Orbit Info'!C386*((C387*$O$2)+(D387*$O$3)+(E387*$O$4)+(F387*$O$5))</f>
        <v>15.628032</v>
      </c>
      <c r="I387" s="13">
        <f t="shared" si="7"/>
        <v>7.17578</v>
      </c>
      <c r="J387" s="18">
        <f t="shared" si="8"/>
        <v>0.1408708667</v>
      </c>
      <c r="K387" s="18">
        <f t="shared" si="10"/>
        <v>74.06268683</v>
      </c>
      <c r="L387" s="4"/>
      <c r="M387" s="4"/>
      <c r="N387" s="4"/>
      <c r="O387" s="4"/>
      <c r="P387" s="4"/>
      <c r="Q387" s="4"/>
      <c r="R387" s="4"/>
      <c r="S387" s="4"/>
      <c r="T387" s="4"/>
      <c r="U387" s="4"/>
      <c r="V387" s="4"/>
      <c r="W387" s="4"/>
    </row>
    <row r="388" ht="15.75" customHeight="1">
      <c r="A388" s="13">
        <f t="shared" si="9"/>
        <v>385</v>
      </c>
      <c r="B388" s="18">
        <f>A388/'Orbit Info'!$G$10</f>
        <v>4.069187879</v>
      </c>
      <c r="C388" s="13">
        <f t="shared" si="2"/>
        <v>1</v>
      </c>
      <c r="D388" s="13">
        <f t="shared" si="3"/>
        <v>0</v>
      </c>
      <c r="E388" s="13">
        <f t="shared" si="4"/>
        <v>0</v>
      </c>
      <c r="F388" s="13">
        <f t="shared" si="5"/>
        <v>0</v>
      </c>
      <c r="G388" s="13">
        <f t="shared" si="6"/>
        <v>1</v>
      </c>
      <c r="H388" s="13">
        <f>'Orbit Info'!C387*((C388*$O$2)+(D388*$O$3)+(E388*$O$4)+(F388*$O$5))</f>
        <v>15.628032</v>
      </c>
      <c r="I388" s="13">
        <f t="shared" si="7"/>
        <v>7.17578</v>
      </c>
      <c r="J388" s="18">
        <f t="shared" si="8"/>
        <v>0.1408708667</v>
      </c>
      <c r="K388" s="18">
        <f t="shared" si="10"/>
        <v>74.2035577</v>
      </c>
      <c r="L388" s="4"/>
      <c r="M388" s="4"/>
      <c r="N388" s="4"/>
      <c r="O388" s="4"/>
      <c r="P388" s="4"/>
      <c r="Q388" s="4"/>
      <c r="R388" s="4"/>
      <c r="S388" s="4"/>
      <c r="T388" s="4"/>
      <c r="U388" s="4"/>
      <c r="V388" s="4"/>
      <c r="W388" s="4"/>
    </row>
    <row r="389" ht="15.75" customHeight="1">
      <c r="A389" s="13">
        <f t="shared" si="9"/>
        <v>386</v>
      </c>
      <c r="B389" s="18">
        <f>A389/'Orbit Info'!$G$10</f>
        <v>4.079757198</v>
      </c>
      <c r="C389" s="13">
        <f t="shared" si="2"/>
        <v>1</v>
      </c>
      <c r="D389" s="13">
        <f t="shared" si="3"/>
        <v>0</v>
      </c>
      <c r="E389" s="13">
        <f t="shared" si="4"/>
        <v>0</v>
      </c>
      <c r="F389" s="13">
        <f t="shared" si="5"/>
        <v>0</v>
      </c>
      <c r="G389" s="13">
        <f t="shared" si="6"/>
        <v>1</v>
      </c>
      <c r="H389" s="13">
        <f>'Orbit Info'!C388*((C389*$O$2)+(D389*$O$3)+(E389*$O$4)+(F389*$O$5))</f>
        <v>15.628032</v>
      </c>
      <c r="I389" s="13">
        <f t="shared" si="7"/>
        <v>7.17578</v>
      </c>
      <c r="J389" s="18">
        <f t="shared" si="8"/>
        <v>0.1408708667</v>
      </c>
      <c r="K389" s="18">
        <f t="shared" si="10"/>
        <v>74.34442857</v>
      </c>
      <c r="L389" s="4"/>
      <c r="M389" s="4"/>
      <c r="N389" s="4"/>
      <c r="O389" s="4"/>
      <c r="P389" s="4"/>
      <c r="Q389" s="4"/>
      <c r="R389" s="4"/>
      <c r="S389" s="4"/>
      <c r="T389" s="4"/>
      <c r="U389" s="4"/>
      <c r="V389" s="4"/>
      <c r="W389" s="4"/>
    </row>
    <row r="390" ht="15.75" customHeight="1">
      <c r="A390" s="13">
        <f t="shared" si="9"/>
        <v>387</v>
      </c>
      <c r="B390" s="18">
        <f>A390/'Orbit Info'!$G$10</f>
        <v>4.090326517</v>
      </c>
      <c r="C390" s="13">
        <f t="shared" si="2"/>
        <v>1</v>
      </c>
      <c r="D390" s="13">
        <f t="shared" si="3"/>
        <v>0</v>
      </c>
      <c r="E390" s="13">
        <f t="shared" si="4"/>
        <v>0</v>
      </c>
      <c r="F390" s="13">
        <f t="shared" si="5"/>
        <v>0</v>
      </c>
      <c r="G390" s="13">
        <f t="shared" si="6"/>
        <v>1</v>
      </c>
      <c r="H390" s="13">
        <f>'Orbit Info'!C389*((C390*$O$2)+(D390*$O$3)+(E390*$O$4)+(F390*$O$5))</f>
        <v>15.628032</v>
      </c>
      <c r="I390" s="13">
        <f t="shared" si="7"/>
        <v>7.17578</v>
      </c>
      <c r="J390" s="18">
        <f t="shared" si="8"/>
        <v>0.1408708667</v>
      </c>
      <c r="K390" s="18">
        <f t="shared" si="10"/>
        <v>74.48529943</v>
      </c>
      <c r="L390" s="4"/>
      <c r="M390" s="4"/>
      <c r="N390" s="4"/>
      <c r="O390" s="4"/>
      <c r="P390" s="4"/>
      <c r="Q390" s="4"/>
      <c r="R390" s="4"/>
      <c r="S390" s="4"/>
      <c r="T390" s="4"/>
      <c r="U390" s="4"/>
      <c r="V390" s="4"/>
      <c r="W390" s="4"/>
    </row>
    <row r="391" ht="15.75" customHeight="1">
      <c r="A391" s="13">
        <f t="shared" si="9"/>
        <v>388</v>
      </c>
      <c r="B391" s="18">
        <f>A391/'Orbit Info'!$G$10</f>
        <v>4.100895836</v>
      </c>
      <c r="C391" s="13">
        <f t="shared" si="2"/>
        <v>1</v>
      </c>
      <c r="D391" s="13">
        <f t="shared" si="3"/>
        <v>0</v>
      </c>
      <c r="E391" s="13">
        <f t="shared" si="4"/>
        <v>0</v>
      </c>
      <c r="F391" s="13">
        <f t="shared" si="5"/>
        <v>0</v>
      </c>
      <c r="G391" s="13">
        <f t="shared" si="6"/>
        <v>1</v>
      </c>
      <c r="H391" s="13">
        <f>'Orbit Info'!C390*((C391*$O$2)+(D391*$O$3)+(E391*$O$4)+(F391*$O$5))</f>
        <v>15.628032</v>
      </c>
      <c r="I391" s="13">
        <f t="shared" si="7"/>
        <v>7.17578</v>
      </c>
      <c r="J391" s="18">
        <f t="shared" si="8"/>
        <v>0.1408708667</v>
      </c>
      <c r="K391" s="18">
        <f t="shared" si="10"/>
        <v>74.6261703</v>
      </c>
      <c r="L391" s="4"/>
      <c r="M391" s="4"/>
      <c r="N391" s="4"/>
      <c r="O391" s="4"/>
      <c r="P391" s="4"/>
      <c r="Q391" s="4"/>
      <c r="R391" s="4"/>
      <c r="S391" s="4"/>
      <c r="T391" s="4"/>
      <c r="U391" s="4"/>
      <c r="V391" s="4"/>
      <c r="W391" s="4"/>
    </row>
    <row r="392" ht="15.75" customHeight="1">
      <c r="A392" s="13">
        <f t="shared" si="9"/>
        <v>389</v>
      </c>
      <c r="B392" s="18">
        <f>A392/'Orbit Info'!$G$10</f>
        <v>4.111465156</v>
      </c>
      <c r="C392" s="13">
        <f t="shared" si="2"/>
        <v>1</v>
      </c>
      <c r="D392" s="13">
        <f t="shared" si="3"/>
        <v>0</v>
      </c>
      <c r="E392" s="13">
        <f t="shared" si="4"/>
        <v>0</v>
      </c>
      <c r="F392" s="13">
        <f t="shared" si="5"/>
        <v>0</v>
      </c>
      <c r="G392" s="13">
        <f t="shared" si="6"/>
        <v>1</v>
      </c>
      <c r="H392" s="13">
        <f>'Orbit Info'!C391*((C392*$O$2)+(D392*$O$3)+(E392*$O$4)+(F392*$O$5))</f>
        <v>15.628032</v>
      </c>
      <c r="I392" s="13">
        <f t="shared" si="7"/>
        <v>7.17578</v>
      </c>
      <c r="J392" s="18">
        <f t="shared" si="8"/>
        <v>0.1408708667</v>
      </c>
      <c r="K392" s="18">
        <f t="shared" si="10"/>
        <v>74.76704117</v>
      </c>
      <c r="L392" s="4"/>
      <c r="M392" s="4"/>
      <c r="N392" s="4"/>
      <c r="O392" s="4"/>
      <c r="P392" s="4"/>
      <c r="Q392" s="4"/>
      <c r="R392" s="4"/>
      <c r="S392" s="4"/>
      <c r="T392" s="4"/>
      <c r="U392" s="4"/>
      <c r="V392" s="4"/>
      <c r="W392" s="4"/>
    </row>
    <row r="393" ht="15.75" customHeight="1">
      <c r="A393" s="13">
        <f t="shared" si="9"/>
        <v>390</v>
      </c>
      <c r="B393" s="18">
        <f>A393/'Orbit Info'!$G$10</f>
        <v>4.122034475</v>
      </c>
      <c r="C393" s="13">
        <f t="shared" si="2"/>
        <v>1</v>
      </c>
      <c r="D393" s="13">
        <f t="shared" si="3"/>
        <v>0</v>
      </c>
      <c r="E393" s="13">
        <f t="shared" si="4"/>
        <v>0</v>
      </c>
      <c r="F393" s="13">
        <f t="shared" si="5"/>
        <v>0</v>
      </c>
      <c r="G393" s="13">
        <f t="shared" si="6"/>
        <v>1</v>
      </c>
      <c r="H393" s="13">
        <f>'Orbit Info'!C392*((C393*$O$2)+(D393*$O$3)+(E393*$O$4)+(F393*$O$5))</f>
        <v>15.628032</v>
      </c>
      <c r="I393" s="13">
        <f t="shared" si="7"/>
        <v>7.17578</v>
      </c>
      <c r="J393" s="18">
        <f t="shared" si="8"/>
        <v>0.1408708667</v>
      </c>
      <c r="K393" s="18">
        <f t="shared" si="10"/>
        <v>74.90791203</v>
      </c>
      <c r="L393" s="4"/>
      <c r="M393" s="4"/>
      <c r="N393" s="4"/>
      <c r="O393" s="4"/>
      <c r="P393" s="4"/>
      <c r="Q393" s="4"/>
      <c r="R393" s="4"/>
      <c r="S393" s="4"/>
      <c r="T393" s="4"/>
      <c r="U393" s="4"/>
      <c r="V393" s="4"/>
      <c r="W393" s="4"/>
    </row>
    <row r="394" ht="15.75" customHeight="1">
      <c r="A394" s="13">
        <f t="shared" si="9"/>
        <v>391</v>
      </c>
      <c r="B394" s="18">
        <f>A394/'Orbit Info'!$G$10</f>
        <v>4.132603794</v>
      </c>
      <c r="C394" s="13">
        <f t="shared" si="2"/>
        <v>1</v>
      </c>
      <c r="D394" s="13">
        <f t="shared" si="3"/>
        <v>0</v>
      </c>
      <c r="E394" s="13">
        <f t="shared" si="4"/>
        <v>0</v>
      </c>
      <c r="F394" s="13">
        <f t="shared" si="5"/>
        <v>0</v>
      </c>
      <c r="G394" s="13">
        <f t="shared" si="6"/>
        <v>1</v>
      </c>
      <c r="H394" s="13">
        <f>'Orbit Info'!C393*((C394*$O$2)+(D394*$O$3)+(E394*$O$4)+(F394*$O$5))</f>
        <v>15.628032</v>
      </c>
      <c r="I394" s="13">
        <f t="shared" si="7"/>
        <v>7.17578</v>
      </c>
      <c r="J394" s="18">
        <f t="shared" si="8"/>
        <v>0.1408708667</v>
      </c>
      <c r="K394" s="18">
        <f t="shared" si="10"/>
        <v>75.0487829</v>
      </c>
      <c r="L394" s="4"/>
      <c r="M394" s="4"/>
      <c r="N394" s="4"/>
      <c r="O394" s="4"/>
      <c r="P394" s="4"/>
      <c r="Q394" s="4"/>
      <c r="R394" s="4"/>
      <c r="S394" s="4"/>
      <c r="T394" s="4"/>
      <c r="U394" s="4"/>
      <c r="V394" s="4"/>
      <c r="W394" s="4"/>
    </row>
    <row r="395" ht="15.75" customHeight="1">
      <c r="A395" s="13">
        <f t="shared" si="9"/>
        <v>392</v>
      </c>
      <c r="B395" s="18">
        <f>A395/'Orbit Info'!$G$10</f>
        <v>4.143173113</v>
      </c>
      <c r="C395" s="13">
        <f t="shared" si="2"/>
        <v>1</v>
      </c>
      <c r="D395" s="13">
        <f t="shared" si="3"/>
        <v>0</v>
      </c>
      <c r="E395" s="13">
        <f t="shared" si="4"/>
        <v>0</v>
      </c>
      <c r="F395" s="13">
        <f t="shared" si="5"/>
        <v>0</v>
      </c>
      <c r="G395" s="13">
        <f t="shared" si="6"/>
        <v>1</v>
      </c>
      <c r="H395" s="13">
        <f>'Orbit Info'!C394*((C395*$O$2)+(D395*$O$3)+(E395*$O$4)+(F395*$O$5))</f>
        <v>15.628032</v>
      </c>
      <c r="I395" s="13">
        <f t="shared" si="7"/>
        <v>7.17578</v>
      </c>
      <c r="J395" s="18">
        <f t="shared" si="8"/>
        <v>0.1408708667</v>
      </c>
      <c r="K395" s="18">
        <f t="shared" si="10"/>
        <v>75.18965377</v>
      </c>
      <c r="L395" s="4"/>
      <c r="M395" s="4"/>
      <c r="N395" s="4"/>
      <c r="O395" s="4"/>
      <c r="P395" s="4"/>
      <c r="Q395" s="4"/>
      <c r="R395" s="4"/>
      <c r="S395" s="4"/>
      <c r="T395" s="4"/>
      <c r="U395" s="4"/>
      <c r="V395" s="4"/>
      <c r="W395" s="4"/>
    </row>
    <row r="396" ht="15.75" customHeight="1">
      <c r="A396" s="13">
        <f t="shared" si="9"/>
        <v>393</v>
      </c>
      <c r="B396" s="18">
        <f>A396/'Orbit Info'!$G$10</f>
        <v>4.153742432</v>
      </c>
      <c r="C396" s="13">
        <f t="shared" si="2"/>
        <v>1</v>
      </c>
      <c r="D396" s="13">
        <f t="shared" si="3"/>
        <v>0</v>
      </c>
      <c r="E396" s="13">
        <f t="shared" si="4"/>
        <v>0</v>
      </c>
      <c r="F396" s="13">
        <f t="shared" si="5"/>
        <v>0</v>
      </c>
      <c r="G396" s="13">
        <f t="shared" si="6"/>
        <v>1</v>
      </c>
      <c r="H396" s="13">
        <f>'Orbit Info'!C395*((C396*$O$2)+(D396*$O$3)+(E396*$O$4)+(F396*$O$5))</f>
        <v>15.628032</v>
      </c>
      <c r="I396" s="13">
        <f t="shared" si="7"/>
        <v>7.17578</v>
      </c>
      <c r="J396" s="18">
        <f t="shared" si="8"/>
        <v>0.1408708667</v>
      </c>
      <c r="K396" s="18">
        <f t="shared" si="10"/>
        <v>75.33052463</v>
      </c>
      <c r="L396" s="4"/>
      <c r="M396" s="4"/>
      <c r="N396" s="4"/>
      <c r="O396" s="4"/>
      <c r="P396" s="4"/>
      <c r="Q396" s="4"/>
      <c r="R396" s="4"/>
      <c r="S396" s="4"/>
      <c r="T396" s="4"/>
      <c r="U396" s="4"/>
      <c r="V396" s="4"/>
      <c r="W396" s="4"/>
    </row>
    <row r="397" ht="15.75" customHeight="1">
      <c r="A397" s="13">
        <f t="shared" si="9"/>
        <v>394</v>
      </c>
      <c r="B397" s="18">
        <f>A397/'Orbit Info'!$G$10</f>
        <v>4.164311751</v>
      </c>
      <c r="C397" s="13">
        <f t="shared" si="2"/>
        <v>1</v>
      </c>
      <c r="D397" s="13">
        <f t="shared" si="3"/>
        <v>0</v>
      </c>
      <c r="E397" s="13">
        <f t="shared" si="4"/>
        <v>0</v>
      </c>
      <c r="F397" s="13">
        <f t="shared" si="5"/>
        <v>0</v>
      </c>
      <c r="G397" s="13">
        <f t="shared" si="6"/>
        <v>1</v>
      </c>
      <c r="H397" s="13">
        <f>'Orbit Info'!C396*((C397*$O$2)+(D397*$O$3)+(E397*$O$4)+(F397*$O$5))</f>
        <v>15.628032</v>
      </c>
      <c r="I397" s="13">
        <f t="shared" si="7"/>
        <v>7.17578</v>
      </c>
      <c r="J397" s="18">
        <f t="shared" si="8"/>
        <v>0.1408708667</v>
      </c>
      <c r="K397" s="18">
        <f t="shared" si="10"/>
        <v>75.4713955</v>
      </c>
      <c r="L397" s="4"/>
      <c r="M397" s="4"/>
      <c r="N397" s="4"/>
      <c r="O397" s="4"/>
      <c r="P397" s="4"/>
      <c r="Q397" s="4"/>
      <c r="R397" s="4"/>
      <c r="S397" s="4"/>
      <c r="T397" s="4"/>
      <c r="U397" s="4"/>
      <c r="V397" s="4"/>
      <c r="W397" s="4"/>
    </row>
    <row r="398" ht="15.75" customHeight="1">
      <c r="A398" s="13">
        <f t="shared" si="9"/>
        <v>395</v>
      </c>
      <c r="B398" s="18">
        <f>A398/'Orbit Info'!$G$10</f>
        <v>4.174881071</v>
      </c>
      <c r="C398" s="13">
        <f t="shared" si="2"/>
        <v>1</v>
      </c>
      <c r="D398" s="13">
        <f t="shared" si="3"/>
        <v>0</v>
      </c>
      <c r="E398" s="13">
        <f t="shared" si="4"/>
        <v>0</v>
      </c>
      <c r="F398" s="13">
        <f t="shared" si="5"/>
        <v>0</v>
      </c>
      <c r="G398" s="13">
        <f t="shared" si="6"/>
        <v>1</v>
      </c>
      <c r="H398" s="13">
        <f>'Orbit Info'!C397*((C398*$O$2)+(D398*$O$3)+(E398*$O$4)+(F398*$O$5))</f>
        <v>15.628032</v>
      </c>
      <c r="I398" s="13">
        <f t="shared" si="7"/>
        <v>7.17578</v>
      </c>
      <c r="J398" s="18">
        <f t="shared" si="8"/>
        <v>0.1408708667</v>
      </c>
      <c r="K398" s="18">
        <f t="shared" si="10"/>
        <v>75.61226637</v>
      </c>
      <c r="L398" s="4"/>
      <c r="M398" s="4"/>
      <c r="N398" s="4"/>
      <c r="O398" s="4"/>
      <c r="P398" s="4"/>
      <c r="Q398" s="4"/>
      <c r="R398" s="4"/>
      <c r="S398" s="4"/>
      <c r="T398" s="4"/>
      <c r="U398" s="4"/>
      <c r="V398" s="4"/>
      <c r="W398" s="4"/>
    </row>
    <row r="399" ht="15.75" customHeight="1">
      <c r="A399" s="13">
        <f t="shared" si="9"/>
        <v>396</v>
      </c>
      <c r="B399" s="18">
        <f>A399/'Orbit Info'!$G$10</f>
        <v>4.18545039</v>
      </c>
      <c r="C399" s="13">
        <f t="shared" si="2"/>
        <v>1</v>
      </c>
      <c r="D399" s="13">
        <f t="shared" si="3"/>
        <v>0</v>
      </c>
      <c r="E399" s="13">
        <f t="shared" si="4"/>
        <v>0</v>
      </c>
      <c r="F399" s="13">
        <f t="shared" si="5"/>
        <v>0</v>
      </c>
      <c r="G399" s="13">
        <f t="shared" si="6"/>
        <v>1</v>
      </c>
      <c r="H399" s="13">
        <f>'Orbit Info'!C398*((C399*$O$2)+(D399*$O$3)+(E399*$O$4)+(F399*$O$5))</f>
        <v>15.628032</v>
      </c>
      <c r="I399" s="13">
        <f t="shared" si="7"/>
        <v>7.17578</v>
      </c>
      <c r="J399" s="18">
        <f t="shared" si="8"/>
        <v>0.1408708667</v>
      </c>
      <c r="K399" s="18">
        <f t="shared" si="10"/>
        <v>75.75313723</v>
      </c>
      <c r="L399" s="4"/>
      <c r="M399" s="4"/>
      <c r="N399" s="4"/>
      <c r="O399" s="4"/>
      <c r="P399" s="4"/>
      <c r="Q399" s="4"/>
      <c r="R399" s="4"/>
      <c r="S399" s="4"/>
      <c r="T399" s="4"/>
      <c r="U399" s="4"/>
      <c r="V399" s="4"/>
      <c r="W399" s="4"/>
    </row>
    <row r="400" ht="15.75" customHeight="1">
      <c r="A400" s="13">
        <f t="shared" si="9"/>
        <v>397</v>
      </c>
      <c r="B400" s="18">
        <f>A400/'Orbit Info'!$G$10</f>
        <v>4.196019709</v>
      </c>
      <c r="C400" s="13">
        <f t="shared" si="2"/>
        <v>1</v>
      </c>
      <c r="D400" s="13">
        <f t="shared" si="3"/>
        <v>0</v>
      </c>
      <c r="E400" s="13">
        <f t="shared" si="4"/>
        <v>0</v>
      </c>
      <c r="F400" s="13">
        <f t="shared" si="5"/>
        <v>0</v>
      </c>
      <c r="G400" s="13">
        <f t="shared" si="6"/>
        <v>1</v>
      </c>
      <c r="H400" s="13">
        <f>'Orbit Info'!C399*((C400*$O$2)+(D400*$O$3)+(E400*$O$4)+(F400*$O$5))</f>
        <v>15.628032</v>
      </c>
      <c r="I400" s="13">
        <f t="shared" si="7"/>
        <v>7.17578</v>
      </c>
      <c r="J400" s="18">
        <f t="shared" si="8"/>
        <v>0.1408708667</v>
      </c>
      <c r="K400" s="18">
        <f t="shared" si="10"/>
        <v>75.8940081</v>
      </c>
      <c r="L400" s="4"/>
      <c r="M400" s="4"/>
      <c r="N400" s="4"/>
      <c r="O400" s="4"/>
      <c r="P400" s="4"/>
      <c r="Q400" s="4"/>
      <c r="R400" s="4"/>
      <c r="S400" s="4"/>
      <c r="T400" s="4"/>
      <c r="U400" s="4"/>
      <c r="V400" s="4"/>
      <c r="W400" s="4"/>
    </row>
    <row r="401" ht="15.75" customHeight="1">
      <c r="A401" s="13">
        <f t="shared" si="9"/>
        <v>398</v>
      </c>
      <c r="B401" s="18">
        <f>A401/'Orbit Info'!$G$10</f>
        <v>4.206589028</v>
      </c>
      <c r="C401" s="13">
        <f t="shared" si="2"/>
        <v>1</v>
      </c>
      <c r="D401" s="13">
        <f t="shared" si="3"/>
        <v>0</v>
      </c>
      <c r="E401" s="13">
        <f t="shared" si="4"/>
        <v>0</v>
      </c>
      <c r="F401" s="13">
        <f t="shared" si="5"/>
        <v>0</v>
      </c>
      <c r="G401" s="13">
        <f t="shared" si="6"/>
        <v>1</v>
      </c>
      <c r="H401" s="13">
        <f>'Orbit Info'!C400*((C401*$O$2)+(D401*$O$3)+(E401*$O$4)+(F401*$O$5))</f>
        <v>15.628032</v>
      </c>
      <c r="I401" s="13">
        <f t="shared" si="7"/>
        <v>7.17578</v>
      </c>
      <c r="J401" s="18">
        <f t="shared" si="8"/>
        <v>0.1408708667</v>
      </c>
      <c r="K401" s="18">
        <f t="shared" si="10"/>
        <v>76.03487897</v>
      </c>
      <c r="L401" s="4"/>
      <c r="M401" s="4"/>
      <c r="N401" s="4"/>
      <c r="O401" s="4"/>
      <c r="P401" s="4"/>
      <c r="Q401" s="4"/>
      <c r="R401" s="4"/>
      <c r="S401" s="4"/>
      <c r="T401" s="4"/>
      <c r="U401" s="4"/>
      <c r="V401" s="4"/>
      <c r="W401" s="4"/>
    </row>
    <row r="402" ht="15.75" customHeight="1">
      <c r="A402" s="13">
        <f t="shared" si="9"/>
        <v>399</v>
      </c>
      <c r="B402" s="18">
        <f>A402/'Orbit Info'!$G$10</f>
        <v>4.217158347</v>
      </c>
      <c r="C402" s="13">
        <f t="shared" si="2"/>
        <v>1</v>
      </c>
      <c r="D402" s="13">
        <f t="shared" si="3"/>
        <v>0</v>
      </c>
      <c r="E402" s="13">
        <f t="shared" si="4"/>
        <v>0</v>
      </c>
      <c r="F402" s="13">
        <f t="shared" si="5"/>
        <v>0</v>
      </c>
      <c r="G402" s="13">
        <f t="shared" si="6"/>
        <v>1</v>
      </c>
      <c r="H402" s="13">
        <f>'Orbit Info'!C401*((C402*$O$2)+(D402*$O$3)+(E402*$O$4)+(F402*$O$5))</f>
        <v>15.628032</v>
      </c>
      <c r="I402" s="13">
        <f t="shared" si="7"/>
        <v>7.17578</v>
      </c>
      <c r="J402" s="18">
        <f t="shared" si="8"/>
        <v>0.1408708667</v>
      </c>
      <c r="K402" s="18">
        <f t="shared" si="10"/>
        <v>76.17574983</v>
      </c>
      <c r="L402" s="4"/>
      <c r="M402" s="4"/>
      <c r="N402" s="4"/>
      <c r="O402" s="4"/>
      <c r="P402" s="4"/>
      <c r="Q402" s="4"/>
      <c r="R402" s="4"/>
      <c r="S402" s="4"/>
      <c r="T402" s="4"/>
      <c r="U402" s="4"/>
      <c r="V402" s="4"/>
      <c r="W402" s="4"/>
    </row>
    <row r="403" ht="15.75" customHeight="1">
      <c r="A403" s="13">
        <f t="shared" si="9"/>
        <v>400</v>
      </c>
      <c r="B403" s="18">
        <f>A403/'Orbit Info'!$G$10</f>
        <v>4.227727666</v>
      </c>
      <c r="C403" s="13">
        <f t="shared" si="2"/>
        <v>1</v>
      </c>
      <c r="D403" s="13">
        <f t="shared" si="3"/>
        <v>0</v>
      </c>
      <c r="E403" s="13">
        <f t="shared" si="4"/>
        <v>0</v>
      </c>
      <c r="F403" s="13">
        <f t="shared" si="5"/>
        <v>0</v>
      </c>
      <c r="G403" s="13">
        <f t="shared" si="6"/>
        <v>1</v>
      </c>
      <c r="H403" s="13">
        <f>'Orbit Info'!C402*((C403*$O$2)+(D403*$O$3)+(E403*$O$4)+(F403*$O$5))</f>
        <v>15.628032</v>
      </c>
      <c r="I403" s="13">
        <f t="shared" si="7"/>
        <v>7.17578</v>
      </c>
      <c r="J403" s="18">
        <f t="shared" si="8"/>
        <v>0.1408708667</v>
      </c>
      <c r="K403" s="18">
        <f t="shared" si="10"/>
        <v>76.3166207</v>
      </c>
      <c r="L403" s="4"/>
      <c r="M403" s="4"/>
      <c r="N403" s="4"/>
      <c r="O403" s="4"/>
      <c r="P403" s="4"/>
      <c r="Q403" s="4"/>
      <c r="R403" s="4"/>
      <c r="S403" s="4"/>
      <c r="T403" s="4"/>
      <c r="U403" s="4"/>
      <c r="V403" s="4"/>
      <c r="W403" s="4"/>
    </row>
    <row r="404" ht="15.75" customHeight="1">
      <c r="A404" s="13">
        <f t="shared" si="9"/>
        <v>401</v>
      </c>
      <c r="B404" s="18">
        <f>A404/'Orbit Info'!$G$10</f>
        <v>4.238296986</v>
      </c>
      <c r="C404" s="13">
        <f t="shared" si="2"/>
        <v>1</v>
      </c>
      <c r="D404" s="13">
        <f t="shared" si="3"/>
        <v>0</v>
      </c>
      <c r="E404" s="13">
        <f t="shared" si="4"/>
        <v>0</v>
      </c>
      <c r="F404" s="13">
        <f t="shared" si="5"/>
        <v>0</v>
      </c>
      <c r="G404" s="13">
        <f t="shared" si="6"/>
        <v>1</v>
      </c>
      <c r="H404" s="13">
        <f>'Orbit Info'!C403*((C404*$O$2)+(D404*$O$3)+(E404*$O$4)+(F404*$O$5))</f>
        <v>15.628032</v>
      </c>
      <c r="I404" s="13">
        <f t="shared" si="7"/>
        <v>7.17578</v>
      </c>
      <c r="J404" s="18">
        <f t="shared" si="8"/>
        <v>0.1408708667</v>
      </c>
      <c r="K404" s="18">
        <f t="shared" si="10"/>
        <v>76.45749157</v>
      </c>
      <c r="L404" s="4"/>
      <c r="M404" s="4"/>
      <c r="N404" s="4"/>
      <c r="O404" s="4"/>
      <c r="P404" s="4"/>
      <c r="Q404" s="4"/>
      <c r="R404" s="4"/>
      <c r="S404" s="4"/>
      <c r="T404" s="4"/>
      <c r="U404" s="4"/>
      <c r="V404" s="4"/>
      <c r="W404" s="4"/>
    </row>
    <row r="405" ht="15.75" customHeight="1">
      <c r="A405" s="13">
        <f t="shared" si="9"/>
        <v>402</v>
      </c>
      <c r="B405" s="18">
        <f>A405/'Orbit Info'!$G$10</f>
        <v>4.248866305</v>
      </c>
      <c r="C405" s="13">
        <f t="shared" si="2"/>
        <v>1</v>
      </c>
      <c r="D405" s="13">
        <f t="shared" si="3"/>
        <v>0</v>
      </c>
      <c r="E405" s="13">
        <f t="shared" si="4"/>
        <v>0</v>
      </c>
      <c r="F405" s="13">
        <f t="shared" si="5"/>
        <v>0</v>
      </c>
      <c r="G405" s="13">
        <f t="shared" si="6"/>
        <v>1</v>
      </c>
      <c r="H405" s="13">
        <f>'Orbit Info'!C404*((C405*$O$2)+(D405*$O$3)+(E405*$O$4)+(F405*$O$5))</f>
        <v>15.628032</v>
      </c>
      <c r="I405" s="13">
        <f t="shared" si="7"/>
        <v>7.17578</v>
      </c>
      <c r="J405" s="18">
        <f t="shared" si="8"/>
        <v>0.1408708667</v>
      </c>
      <c r="K405" s="18">
        <f t="shared" si="10"/>
        <v>76.59836243</v>
      </c>
      <c r="L405" s="4"/>
      <c r="M405" s="4"/>
      <c r="N405" s="4"/>
      <c r="O405" s="4"/>
      <c r="P405" s="4"/>
      <c r="Q405" s="4"/>
      <c r="R405" s="4"/>
      <c r="S405" s="4"/>
      <c r="T405" s="4"/>
      <c r="U405" s="4"/>
      <c r="V405" s="4"/>
      <c r="W405" s="4"/>
    </row>
    <row r="406" ht="15.75" customHeight="1">
      <c r="A406" s="13">
        <f t="shared" si="9"/>
        <v>403</v>
      </c>
      <c r="B406" s="18">
        <f>A406/'Orbit Info'!$G$10</f>
        <v>4.259435624</v>
      </c>
      <c r="C406" s="13">
        <f t="shared" si="2"/>
        <v>1</v>
      </c>
      <c r="D406" s="13">
        <f t="shared" si="3"/>
        <v>0</v>
      </c>
      <c r="E406" s="13">
        <f t="shared" si="4"/>
        <v>0</v>
      </c>
      <c r="F406" s="13">
        <f t="shared" si="5"/>
        <v>0</v>
      </c>
      <c r="G406" s="13">
        <f t="shared" si="6"/>
        <v>1</v>
      </c>
      <c r="H406" s="13">
        <f>'Orbit Info'!C405*((C406*$O$2)+(D406*$O$3)+(E406*$O$4)+(F406*$O$5))</f>
        <v>15.628032</v>
      </c>
      <c r="I406" s="13">
        <f t="shared" si="7"/>
        <v>7.17578</v>
      </c>
      <c r="J406" s="18">
        <f t="shared" si="8"/>
        <v>0.1408708667</v>
      </c>
      <c r="K406" s="18">
        <f t="shared" si="10"/>
        <v>76.7392333</v>
      </c>
      <c r="L406" s="4"/>
      <c r="M406" s="4"/>
      <c r="N406" s="4"/>
      <c r="O406" s="4"/>
      <c r="P406" s="4"/>
      <c r="Q406" s="4"/>
      <c r="R406" s="4"/>
      <c r="S406" s="4"/>
      <c r="T406" s="4"/>
      <c r="U406" s="4"/>
      <c r="V406" s="4"/>
      <c r="W406" s="4"/>
    </row>
    <row r="407" ht="15.75" customHeight="1">
      <c r="A407" s="13">
        <f t="shared" si="9"/>
        <v>404</v>
      </c>
      <c r="B407" s="18">
        <f>A407/'Orbit Info'!$G$10</f>
        <v>4.270004943</v>
      </c>
      <c r="C407" s="13">
        <f t="shared" si="2"/>
        <v>1</v>
      </c>
      <c r="D407" s="13">
        <f t="shared" si="3"/>
        <v>0</v>
      </c>
      <c r="E407" s="13">
        <f t="shared" si="4"/>
        <v>0</v>
      </c>
      <c r="F407" s="13">
        <f t="shared" si="5"/>
        <v>0</v>
      </c>
      <c r="G407" s="13">
        <f t="shared" si="6"/>
        <v>1</v>
      </c>
      <c r="H407" s="13">
        <f>'Orbit Info'!C406*((C407*$O$2)+(D407*$O$3)+(E407*$O$4)+(F407*$O$5))</f>
        <v>15.628032</v>
      </c>
      <c r="I407" s="13">
        <f t="shared" si="7"/>
        <v>7.17578</v>
      </c>
      <c r="J407" s="18">
        <f t="shared" si="8"/>
        <v>0.1408708667</v>
      </c>
      <c r="K407" s="18">
        <f t="shared" si="10"/>
        <v>76.88010417</v>
      </c>
      <c r="L407" s="4"/>
      <c r="M407" s="4"/>
      <c r="N407" s="4"/>
      <c r="O407" s="4"/>
      <c r="P407" s="4"/>
      <c r="Q407" s="4"/>
      <c r="R407" s="4"/>
      <c r="S407" s="4"/>
      <c r="T407" s="4"/>
      <c r="U407" s="4"/>
      <c r="V407" s="4"/>
      <c r="W407" s="4"/>
    </row>
    <row r="408" ht="15.75" customHeight="1">
      <c r="A408" s="13">
        <f t="shared" si="9"/>
        <v>405</v>
      </c>
      <c r="B408" s="18">
        <f>A408/'Orbit Info'!$G$10</f>
        <v>4.280574262</v>
      </c>
      <c r="C408" s="13">
        <f t="shared" si="2"/>
        <v>1</v>
      </c>
      <c r="D408" s="13">
        <f t="shared" si="3"/>
        <v>0</v>
      </c>
      <c r="E408" s="13">
        <f t="shared" si="4"/>
        <v>0</v>
      </c>
      <c r="F408" s="13">
        <f t="shared" si="5"/>
        <v>0</v>
      </c>
      <c r="G408" s="13">
        <f t="shared" si="6"/>
        <v>1</v>
      </c>
      <c r="H408" s="13">
        <f>'Orbit Info'!C407*((C408*$O$2)+(D408*$O$3)+(E408*$O$4)+(F408*$O$5))</f>
        <v>15.628032</v>
      </c>
      <c r="I408" s="13">
        <f t="shared" si="7"/>
        <v>7.17578</v>
      </c>
      <c r="J408" s="18">
        <f t="shared" si="8"/>
        <v>0.1408708667</v>
      </c>
      <c r="K408" s="18">
        <f t="shared" si="10"/>
        <v>77.02097503</v>
      </c>
      <c r="L408" s="4"/>
      <c r="M408" s="4"/>
      <c r="N408" s="4"/>
      <c r="O408" s="4"/>
      <c r="P408" s="4"/>
      <c r="Q408" s="4"/>
      <c r="R408" s="4"/>
      <c r="S408" s="4"/>
      <c r="T408" s="4"/>
      <c r="U408" s="4"/>
      <c r="V408" s="4"/>
      <c r="W408" s="4"/>
    </row>
    <row r="409" ht="15.75" customHeight="1">
      <c r="A409" s="13">
        <f t="shared" si="9"/>
        <v>406</v>
      </c>
      <c r="B409" s="18">
        <f>A409/'Orbit Info'!$G$10</f>
        <v>4.291143581</v>
      </c>
      <c r="C409" s="13">
        <f t="shared" si="2"/>
        <v>1</v>
      </c>
      <c r="D409" s="13">
        <f t="shared" si="3"/>
        <v>0</v>
      </c>
      <c r="E409" s="13">
        <f t="shared" si="4"/>
        <v>0</v>
      </c>
      <c r="F409" s="13">
        <f t="shared" si="5"/>
        <v>0</v>
      </c>
      <c r="G409" s="13">
        <f t="shared" si="6"/>
        <v>1</v>
      </c>
      <c r="H409" s="13">
        <f>'Orbit Info'!C408*((C409*$O$2)+(D409*$O$3)+(E409*$O$4)+(F409*$O$5))</f>
        <v>15.628032</v>
      </c>
      <c r="I409" s="13">
        <f t="shared" si="7"/>
        <v>7.17578</v>
      </c>
      <c r="J409" s="18">
        <f t="shared" si="8"/>
        <v>0.1408708667</v>
      </c>
      <c r="K409" s="18">
        <f t="shared" si="10"/>
        <v>77.1618459</v>
      </c>
      <c r="L409" s="4"/>
      <c r="M409" s="4"/>
      <c r="N409" s="4"/>
      <c r="O409" s="4"/>
      <c r="P409" s="4"/>
      <c r="Q409" s="4"/>
      <c r="R409" s="4"/>
      <c r="S409" s="4"/>
      <c r="T409" s="4"/>
      <c r="U409" s="4"/>
      <c r="V409" s="4"/>
      <c r="W409" s="4"/>
    </row>
    <row r="410" ht="15.75" customHeight="1">
      <c r="A410" s="13">
        <f t="shared" si="9"/>
        <v>407</v>
      </c>
      <c r="B410" s="18">
        <f>A410/'Orbit Info'!$G$10</f>
        <v>4.301712901</v>
      </c>
      <c r="C410" s="13">
        <f t="shared" si="2"/>
        <v>1</v>
      </c>
      <c r="D410" s="13">
        <f t="shared" si="3"/>
        <v>0</v>
      </c>
      <c r="E410" s="13">
        <f t="shared" si="4"/>
        <v>0</v>
      </c>
      <c r="F410" s="13">
        <f t="shared" si="5"/>
        <v>0</v>
      </c>
      <c r="G410" s="13">
        <f t="shared" si="6"/>
        <v>1</v>
      </c>
      <c r="H410" s="13">
        <f>'Orbit Info'!C409*((C410*$O$2)+(D410*$O$3)+(E410*$O$4)+(F410*$O$5))</f>
        <v>15.628032</v>
      </c>
      <c r="I410" s="13">
        <f t="shared" si="7"/>
        <v>7.17578</v>
      </c>
      <c r="J410" s="18">
        <f t="shared" si="8"/>
        <v>0.1408708667</v>
      </c>
      <c r="K410" s="18">
        <f t="shared" si="10"/>
        <v>77.30271677</v>
      </c>
      <c r="L410" s="4"/>
      <c r="M410" s="4"/>
      <c r="N410" s="4"/>
      <c r="O410" s="4"/>
      <c r="P410" s="4"/>
      <c r="Q410" s="4"/>
      <c r="R410" s="4"/>
      <c r="S410" s="4"/>
      <c r="T410" s="4"/>
      <c r="U410" s="4"/>
      <c r="V410" s="4"/>
      <c r="W410" s="4"/>
    </row>
    <row r="411" ht="15.75" customHeight="1">
      <c r="A411" s="13">
        <f t="shared" si="9"/>
        <v>408</v>
      </c>
      <c r="B411" s="18">
        <f>A411/'Orbit Info'!$G$10</f>
        <v>4.31228222</v>
      </c>
      <c r="C411" s="13">
        <f t="shared" si="2"/>
        <v>1</v>
      </c>
      <c r="D411" s="13">
        <f t="shared" si="3"/>
        <v>0</v>
      </c>
      <c r="E411" s="13">
        <f t="shared" si="4"/>
        <v>0</v>
      </c>
      <c r="F411" s="13">
        <f t="shared" si="5"/>
        <v>0</v>
      </c>
      <c r="G411" s="13">
        <f t="shared" si="6"/>
        <v>1</v>
      </c>
      <c r="H411" s="13">
        <f>'Orbit Info'!C410*((C411*$O$2)+(D411*$O$3)+(E411*$O$4)+(F411*$O$5))</f>
        <v>15.628032</v>
      </c>
      <c r="I411" s="13">
        <f t="shared" si="7"/>
        <v>7.17578</v>
      </c>
      <c r="J411" s="18">
        <f t="shared" si="8"/>
        <v>0.1408708667</v>
      </c>
      <c r="K411" s="18">
        <f t="shared" si="10"/>
        <v>77.44358763</v>
      </c>
      <c r="L411" s="4"/>
      <c r="M411" s="4"/>
      <c r="N411" s="4"/>
      <c r="O411" s="4"/>
      <c r="P411" s="4"/>
      <c r="Q411" s="4"/>
      <c r="R411" s="4"/>
      <c r="S411" s="4"/>
      <c r="T411" s="4"/>
      <c r="U411" s="4"/>
      <c r="V411" s="4"/>
      <c r="W411" s="4"/>
    </row>
    <row r="412" ht="15.75" customHeight="1">
      <c r="A412" s="13">
        <f t="shared" si="9"/>
        <v>409</v>
      </c>
      <c r="B412" s="18">
        <f>A412/'Orbit Info'!$G$10</f>
        <v>4.322851539</v>
      </c>
      <c r="C412" s="13">
        <f t="shared" si="2"/>
        <v>1</v>
      </c>
      <c r="D412" s="13">
        <f t="shared" si="3"/>
        <v>0</v>
      </c>
      <c r="E412" s="13">
        <f t="shared" si="4"/>
        <v>0</v>
      </c>
      <c r="F412" s="13">
        <f t="shared" si="5"/>
        <v>0</v>
      </c>
      <c r="G412" s="13">
        <f t="shared" si="6"/>
        <v>1</v>
      </c>
      <c r="H412" s="13">
        <f>'Orbit Info'!C411*((C412*$O$2)+(D412*$O$3)+(E412*$O$4)+(F412*$O$5))</f>
        <v>15.628032</v>
      </c>
      <c r="I412" s="13">
        <f t="shared" si="7"/>
        <v>7.17578</v>
      </c>
      <c r="J412" s="18">
        <f t="shared" si="8"/>
        <v>0.1408708667</v>
      </c>
      <c r="K412" s="18">
        <f t="shared" si="10"/>
        <v>77.5844585</v>
      </c>
      <c r="L412" s="4"/>
      <c r="M412" s="4"/>
      <c r="N412" s="4"/>
      <c r="O412" s="4"/>
      <c r="P412" s="4"/>
      <c r="Q412" s="4"/>
      <c r="R412" s="4"/>
      <c r="S412" s="4"/>
      <c r="T412" s="4"/>
      <c r="U412" s="4"/>
      <c r="V412" s="4"/>
      <c r="W412" s="4"/>
    </row>
    <row r="413" ht="15.75" customHeight="1">
      <c r="A413" s="13">
        <f t="shared" si="9"/>
        <v>410</v>
      </c>
      <c r="B413" s="18">
        <f>A413/'Orbit Info'!$G$10</f>
        <v>4.333420858</v>
      </c>
      <c r="C413" s="13">
        <f t="shared" si="2"/>
        <v>1</v>
      </c>
      <c r="D413" s="13">
        <f t="shared" si="3"/>
        <v>0</v>
      </c>
      <c r="E413" s="13">
        <f t="shared" si="4"/>
        <v>0</v>
      </c>
      <c r="F413" s="13">
        <f t="shared" si="5"/>
        <v>0</v>
      </c>
      <c r="G413" s="13">
        <f t="shared" si="6"/>
        <v>1</v>
      </c>
      <c r="H413" s="13">
        <f>'Orbit Info'!C412*((C413*$O$2)+(D413*$O$3)+(E413*$O$4)+(F413*$O$5))</f>
        <v>15.628032</v>
      </c>
      <c r="I413" s="13">
        <f t="shared" si="7"/>
        <v>7.17578</v>
      </c>
      <c r="J413" s="18">
        <f t="shared" si="8"/>
        <v>0.1408708667</v>
      </c>
      <c r="K413" s="18">
        <f t="shared" si="10"/>
        <v>77.72532937</v>
      </c>
      <c r="L413" s="4"/>
      <c r="M413" s="4"/>
      <c r="N413" s="4"/>
      <c r="O413" s="4"/>
      <c r="P413" s="4"/>
      <c r="Q413" s="4"/>
      <c r="R413" s="4"/>
      <c r="S413" s="4"/>
      <c r="T413" s="4"/>
      <c r="U413" s="4"/>
      <c r="V413" s="4"/>
      <c r="W413" s="4"/>
    </row>
    <row r="414" ht="15.75" customHeight="1">
      <c r="A414" s="13">
        <f t="shared" si="9"/>
        <v>411</v>
      </c>
      <c r="B414" s="18">
        <f>A414/'Orbit Info'!$G$10</f>
        <v>4.343990177</v>
      </c>
      <c r="C414" s="13">
        <f t="shared" si="2"/>
        <v>1</v>
      </c>
      <c r="D414" s="13">
        <f t="shared" si="3"/>
        <v>0</v>
      </c>
      <c r="E414" s="13">
        <f t="shared" si="4"/>
        <v>0</v>
      </c>
      <c r="F414" s="13">
        <f t="shared" si="5"/>
        <v>0</v>
      </c>
      <c r="G414" s="13">
        <f t="shared" si="6"/>
        <v>1</v>
      </c>
      <c r="H414" s="13">
        <f>'Orbit Info'!C413*((C414*$O$2)+(D414*$O$3)+(E414*$O$4)+(F414*$O$5))</f>
        <v>15.628032</v>
      </c>
      <c r="I414" s="13">
        <f t="shared" si="7"/>
        <v>7.17578</v>
      </c>
      <c r="J414" s="18">
        <f t="shared" si="8"/>
        <v>0.1408708667</v>
      </c>
      <c r="K414" s="18">
        <f t="shared" si="10"/>
        <v>77.86620023</v>
      </c>
      <c r="L414" s="4"/>
      <c r="M414" s="4"/>
      <c r="N414" s="4"/>
      <c r="O414" s="4"/>
      <c r="P414" s="4"/>
      <c r="Q414" s="4"/>
      <c r="R414" s="4"/>
      <c r="S414" s="4"/>
      <c r="T414" s="4"/>
      <c r="U414" s="4"/>
      <c r="V414" s="4"/>
      <c r="W414" s="4"/>
    </row>
    <row r="415" ht="15.75" customHeight="1">
      <c r="A415" s="13">
        <f t="shared" si="9"/>
        <v>412</v>
      </c>
      <c r="B415" s="18">
        <f>A415/'Orbit Info'!$G$10</f>
        <v>4.354559496</v>
      </c>
      <c r="C415" s="13">
        <f t="shared" si="2"/>
        <v>1</v>
      </c>
      <c r="D415" s="13">
        <f t="shared" si="3"/>
        <v>0</v>
      </c>
      <c r="E415" s="13">
        <f t="shared" si="4"/>
        <v>0</v>
      </c>
      <c r="F415" s="13">
        <f t="shared" si="5"/>
        <v>0</v>
      </c>
      <c r="G415" s="13">
        <f t="shared" si="6"/>
        <v>1</v>
      </c>
      <c r="H415" s="13">
        <f>'Orbit Info'!C414*((C415*$O$2)+(D415*$O$3)+(E415*$O$4)+(F415*$O$5))</f>
        <v>15.628032</v>
      </c>
      <c r="I415" s="13">
        <f t="shared" si="7"/>
        <v>7.17578</v>
      </c>
      <c r="J415" s="18">
        <f t="shared" si="8"/>
        <v>0.1408708667</v>
      </c>
      <c r="K415" s="18">
        <f t="shared" si="10"/>
        <v>78.0070711</v>
      </c>
      <c r="L415" s="4"/>
      <c r="M415" s="4"/>
      <c r="N415" s="4"/>
      <c r="O415" s="4"/>
      <c r="P415" s="4"/>
      <c r="Q415" s="4"/>
      <c r="R415" s="4"/>
      <c r="S415" s="4"/>
      <c r="T415" s="4"/>
      <c r="U415" s="4"/>
      <c r="V415" s="4"/>
      <c r="W415" s="4"/>
    </row>
    <row r="416" ht="15.75" customHeight="1">
      <c r="A416" s="13">
        <f t="shared" si="9"/>
        <v>413</v>
      </c>
      <c r="B416" s="18">
        <f>A416/'Orbit Info'!$G$10</f>
        <v>4.365128816</v>
      </c>
      <c r="C416" s="13">
        <f t="shared" si="2"/>
        <v>1</v>
      </c>
      <c r="D416" s="13">
        <f t="shared" si="3"/>
        <v>0</v>
      </c>
      <c r="E416" s="13">
        <f t="shared" si="4"/>
        <v>0</v>
      </c>
      <c r="F416" s="13">
        <f t="shared" si="5"/>
        <v>0</v>
      </c>
      <c r="G416" s="13">
        <f t="shared" si="6"/>
        <v>1</v>
      </c>
      <c r="H416" s="13">
        <f>'Orbit Info'!C415*((C416*$O$2)+(D416*$O$3)+(E416*$O$4)+(F416*$O$5))</f>
        <v>15.628032</v>
      </c>
      <c r="I416" s="13">
        <f t="shared" si="7"/>
        <v>7.17578</v>
      </c>
      <c r="J416" s="18">
        <f t="shared" si="8"/>
        <v>0.1408708667</v>
      </c>
      <c r="K416" s="18">
        <f t="shared" si="10"/>
        <v>78.14794197</v>
      </c>
      <c r="L416" s="4"/>
      <c r="M416" s="4"/>
      <c r="N416" s="4"/>
      <c r="O416" s="4"/>
      <c r="P416" s="4"/>
      <c r="Q416" s="4"/>
      <c r="R416" s="4"/>
      <c r="S416" s="4"/>
      <c r="T416" s="4"/>
      <c r="U416" s="4"/>
      <c r="V416" s="4"/>
      <c r="W416" s="4"/>
    </row>
    <row r="417" ht="15.75" customHeight="1">
      <c r="A417" s="13">
        <f t="shared" si="9"/>
        <v>414</v>
      </c>
      <c r="B417" s="18">
        <f>A417/'Orbit Info'!$G$10</f>
        <v>4.375698135</v>
      </c>
      <c r="C417" s="13">
        <f t="shared" si="2"/>
        <v>1</v>
      </c>
      <c r="D417" s="13">
        <f t="shared" si="3"/>
        <v>0</v>
      </c>
      <c r="E417" s="13">
        <f t="shared" si="4"/>
        <v>0</v>
      </c>
      <c r="F417" s="13">
        <f t="shared" si="5"/>
        <v>0</v>
      </c>
      <c r="G417" s="13">
        <f t="shared" si="6"/>
        <v>1</v>
      </c>
      <c r="H417" s="13">
        <f>'Orbit Info'!C416*((C417*$O$2)+(D417*$O$3)+(E417*$O$4)+(F417*$O$5))</f>
        <v>15.628032</v>
      </c>
      <c r="I417" s="13">
        <f t="shared" si="7"/>
        <v>7.17578</v>
      </c>
      <c r="J417" s="18">
        <f t="shared" si="8"/>
        <v>0.1408708667</v>
      </c>
      <c r="K417" s="18">
        <f t="shared" si="10"/>
        <v>78.28881283</v>
      </c>
      <c r="L417" s="4"/>
      <c r="M417" s="4"/>
      <c r="N417" s="4"/>
      <c r="O417" s="4"/>
      <c r="P417" s="4"/>
      <c r="Q417" s="4"/>
      <c r="R417" s="4"/>
      <c r="S417" s="4"/>
      <c r="T417" s="4"/>
      <c r="U417" s="4"/>
      <c r="V417" s="4"/>
      <c r="W417" s="4"/>
    </row>
    <row r="418" ht="15.75" customHeight="1">
      <c r="A418" s="13">
        <f t="shared" si="9"/>
        <v>415</v>
      </c>
      <c r="B418" s="18">
        <f>A418/'Orbit Info'!$G$10</f>
        <v>4.386267454</v>
      </c>
      <c r="C418" s="13">
        <f t="shared" si="2"/>
        <v>1</v>
      </c>
      <c r="D418" s="13">
        <f t="shared" si="3"/>
        <v>0</v>
      </c>
      <c r="E418" s="13">
        <f t="shared" si="4"/>
        <v>0</v>
      </c>
      <c r="F418" s="13">
        <f t="shared" si="5"/>
        <v>0</v>
      </c>
      <c r="G418" s="13">
        <f t="shared" si="6"/>
        <v>1</v>
      </c>
      <c r="H418" s="13">
        <f>'Orbit Info'!C417*((C418*$O$2)+(D418*$O$3)+(E418*$O$4)+(F418*$O$5))</f>
        <v>15.628032</v>
      </c>
      <c r="I418" s="13">
        <f t="shared" si="7"/>
        <v>7.17578</v>
      </c>
      <c r="J418" s="18">
        <f t="shared" si="8"/>
        <v>0.1408708667</v>
      </c>
      <c r="K418" s="18">
        <f t="shared" si="10"/>
        <v>78.4296837</v>
      </c>
      <c r="L418" s="4"/>
      <c r="M418" s="4"/>
      <c r="N418" s="4"/>
      <c r="O418" s="4"/>
      <c r="P418" s="4"/>
      <c r="Q418" s="4"/>
      <c r="R418" s="4"/>
      <c r="S418" s="4"/>
      <c r="T418" s="4"/>
      <c r="U418" s="4"/>
      <c r="V418" s="4"/>
      <c r="W418" s="4"/>
    </row>
    <row r="419" ht="15.75" customHeight="1">
      <c r="A419" s="13">
        <f t="shared" si="9"/>
        <v>416</v>
      </c>
      <c r="B419" s="18">
        <f>A419/'Orbit Info'!$G$10</f>
        <v>4.396836773</v>
      </c>
      <c r="C419" s="13">
        <f t="shared" si="2"/>
        <v>1</v>
      </c>
      <c r="D419" s="13">
        <f t="shared" si="3"/>
        <v>0</v>
      </c>
      <c r="E419" s="13">
        <f t="shared" si="4"/>
        <v>0</v>
      </c>
      <c r="F419" s="13">
        <f t="shared" si="5"/>
        <v>0</v>
      </c>
      <c r="G419" s="13">
        <f t="shared" si="6"/>
        <v>1</v>
      </c>
      <c r="H419" s="13">
        <f>'Orbit Info'!C418*((C419*$O$2)+(D419*$O$3)+(E419*$O$4)+(F419*$O$5))</f>
        <v>15.628032</v>
      </c>
      <c r="I419" s="13">
        <f t="shared" si="7"/>
        <v>7.17578</v>
      </c>
      <c r="J419" s="18">
        <f t="shared" si="8"/>
        <v>0.1408708667</v>
      </c>
      <c r="K419" s="18">
        <f t="shared" si="10"/>
        <v>78.57055457</v>
      </c>
      <c r="L419" s="4"/>
      <c r="M419" s="4"/>
      <c r="N419" s="4"/>
      <c r="O419" s="4"/>
      <c r="P419" s="4"/>
      <c r="Q419" s="4"/>
      <c r="R419" s="4"/>
      <c r="S419" s="4"/>
      <c r="T419" s="4"/>
      <c r="U419" s="4"/>
      <c r="V419" s="4"/>
      <c r="W419" s="4"/>
    </row>
    <row r="420" ht="15.75" customHeight="1">
      <c r="A420" s="13">
        <f t="shared" si="9"/>
        <v>417</v>
      </c>
      <c r="B420" s="18">
        <f>A420/'Orbit Info'!$G$10</f>
        <v>4.407406092</v>
      </c>
      <c r="C420" s="13">
        <f t="shared" si="2"/>
        <v>1</v>
      </c>
      <c r="D420" s="13">
        <f t="shared" si="3"/>
        <v>0</v>
      </c>
      <c r="E420" s="13">
        <f t="shared" si="4"/>
        <v>0</v>
      </c>
      <c r="F420" s="13">
        <f t="shared" si="5"/>
        <v>0</v>
      </c>
      <c r="G420" s="13">
        <f t="shared" si="6"/>
        <v>1</v>
      </c>
      <c r="H420" s="13">
        <f>'Orbit Info'!C419*((C420*$O$2)+(D420*$O$3)+(E420*$O$4)+(F420*$O$5))</f>
        <v>15.628032</v>
      </c>
      <c r="I420" s="13">
        <f t="shared" si="7"/>
        <v>7.17578</v>
      </c>
      <c r="J420" s="18">
        <f t="shared" si="8"/>
        <v>0.1408708667</v>
      </c>
      <c r="K420" s="18">
        <f t="shared" si="10"/>
        <v>78.71142543</v>
      </c>
      <c r="L420" s="4"/>
      <c r="M420" s="4"/>
      <c r="N420" s="4"/>
      <c r="O420" s="4"/>
      <c r="P420" s="4"/>
      <c r="Q420" s="4"/>
      <c r="R420" s="4"/>
      <c r="S420" s="4"/>
      <c r="T420" s="4"/>
      <c r="U420" s="4"/>
      <c r="V420" s="4"/>
      <c r="W420" s="4"/>
    </row>
    <row r="421" ht="15.75" customHeight="1">
      <c r="A421" s="13">
        <f t="shared" si="9"/>
        <v>418</v>
      </c>
      <c r="B421" s="18">
        <f>A421/'Orbit Info'!$G$10</f>
        <v>4.417975411</v>
      </c>
      <c r="C421" s="13">
        <f t="shared" si="2"/>
        <v>1</v>
      </c>
      <c r="D421" s="13">
        <f t="shared" si="3"/>
        <v>0</v>
      </c>
      <c r="E421" s="13">
        <f t="shared" si="4"/>
        <v>0</v>
      </c>
      <c r="F421" s="13">
        <f t="shared" si="5"/>
        <v>0</v>
      </c>
      <c r="G421" s="13">
        <f t="shared" si="6"/>
        <v>1</v>
      </c>
      <c r="H421" s="13">
        <f>'Orbit Info'!C420*((C421*$O$2)+(D421*$O$3)+(E421*$O$4)+(F421*$O$5))</f>
        <v>15.628032</v>
      </c>
      <c r="I421" s="13">
        <f t="shared" si="7"/>
        <v>7.17578</v>
      </c>
      <c r="J421" s="18">
        <f t="shared" si="8"/>
        <v>0.1408708667</v>
      </c>
      <c r="K421" s="18">
        <f t="shared" si="10"/>
        <v>78.8522963</v>
      </c>
      <c r="L421" s="4"/>
      <c r="M421" s="4"/>
      <c r="N421" s="4"/>
      <c r="O421" s="4"/>
      <c r="P421" s="4"/>
      <c r="Q421" s="4"/>
      <c r="R421" s="4"/>
      <c r="S421" s="4"/>
      <c r="T421" s="4"/>
      <c r="U421" s="4"/>
      <c r="V421" s="4"/>
      <c r="W421" s="4"/>
    </row>
    <row r="422" ht="15.75" customHeight="1">
      <c r="A422" s="13">
        <f t="shared" si="9"/>
        <v>419</v>
      </c>
      <c r="B422" s="18">
        <f>A422/'Orbit Info'!$G$10</f>
        <v>4.428544731</v>
      </c>
      <c r="C422" s="13">
        <f t="shared" si="2"/>
        <v>1</v>
      </c>
      <c r="D422" s="13">
        <f t="shared" si="3"/>
        <v>0</v>
      </c>
      <c r="E422" s="13">
        <f t="shared" si="4"/>
        <v>0</v>
      </c>
      <c r="F422" s="13">
        <f t="shared" si="5"/>
        <v>0</v>
      </c>
      <c r="G422" s="13">
        <f t="shared" si="6"/>
        <v>1</v>
      </c>
      <c r="H422" s="13">
        <f>'Orbit Info'!C421*((C422*$O$2)+(D422*$O$3)+(E422*$O$4)+(F422*$O$5))</f>
        <v>15.628032</v>
      </c>
      <c r="I422" s="13">
        <f t="shared" si="7"/>
        <v>7.17578</v>
      </c>
      <c r="J422" s="18">
        <f t="shared" si="8"/>
        <v>0.1408708667</v>
      </c>
      <c r="K422" s="18">
        <f t="shared" si="10"/>
        <v>78.99316717</v>
      </c>
      <c r="L422" s="4"/>
      <c r="M422" s="4"/>
      <c r="N422" s="4"/>
      <c r="O422" s="4"/>
      <c r="P422" s="4"/>
      <c r="Q422" s="4"/>
      <c r="R422" s="4"/>
      <c r="S422" s="4"/>
      <c r="T422" s="4"/>
      <c r="U422" s="4"/>
      <c r="V422" s="4"/>
      <c r="W422" s="4"/>
    </row>
    <row r="423" ht="15.75" customHeight="1">
      <c r="A423" s="13">
        <f t="shared" si="9"/>
        <v>420</v>
      </c>
      <c r="B423" s="18">
        <f>A423/'Orbit Info'!$G$10</f>
        <v>4.43911405</v>
      </c>
      <c r="C423" s="13">
        <f t="shared" si="2"/>
        <v>1</v>
      </c>
      <c r="D423" s="13">
        <f t="shared" si="3"/>
        <v>0</v>
      </c>
      <c r="E423" s="13">
        <f t="shared" si="4"/>
        <v>0</v>
      </c>
      <c r="F423" s="13">
        <f t="shared" si="5"/>
        <v>0</v>
      </c>
      <c r="G423" s="13">
        <f t="shared" si="6"/>
        <v>1</v>
      </c>
      <c r="H423" s="13">
        <f>'Orbit Info'!C422*((C423*$O$2)+(D423*$O$3)+(E423*$O$4)+(F423*$O$5))</f>
        <v>15.628032</v>
      </c>
      <c r="I423" s="13">
        <f t="shared" si="7"/>
        <v>7.17578</v>
      </c>
      <c r="J423" s="18">
        <f t="shared" si="8"/>
        <v>0.1408708667</v>
      </c>
      <c r="K423" s="18">
        <f t="shared" si="10"/>
        <v>79.13403803</v>
      </c>
      <c r="L423" s="4"/>
      <c r="M423" s="4"/>
      <c r="N423" s="4"/>
      <c r="O423" s="4"/>
      <c r="P423" s="4"/>
      <c r="Q423" s="4"/>
      <c r="R423" s="4"/>
      <c r="S423" s="4"/>
      <c r="T423" s="4"/>
      <c r="U423" s="4"/>
      <c r="V423" s="4"/>
      <c r="W423" s="4"/>
    </row>
    <row r="424" ht="15.75" customHeight="1">
      <c r="A424" s="13">
        <f t="shared" si="9"/>
        <v>421</v>
      </c>
      <c r="B424" s="18">
        <f>A424/'Orbit Info'!$G$10</f>
        <v>4.449683369</v>
      </c>
      <c r="C424" s="13">
        <f t="shared" si="2"/>
        <v>1</v>
      </c>
      <c r="D424" s="13">
        <f t="shared" si="3"/>
        <v>0</v>
      </c>
      <c r="E424" s="13">
        <f t="shared" si="4"/>
        <v>0</v>
      </c>
      <c r="F424" s="13">
        <f t="shared" si="5"/>
        <v>0</v>
      </c>
      <c r="G424" s="13">
        <f t="shared" si="6"/>
        <v>1</v>
      </c>
      <c r="H424" s="13">
        <f>'Orbit Info'!C423*((C424*$O$2)+(D424*$O$3)+(E424*$O$4)+(F424*$O$5))</f>
        <v>15.628032</v>
      </c>
      <c r="I424" s="13">
        <f t="shared" si="7"/>
        <v>7.17578</v>
      </c>
      <c r="J424" s="18">
        <f t="shared" si="8"/>
        <v>0.1408708667</v>
      </c>
      <c r="K424" s="18">
        <f t="shared" si="10"/>
        <v>79.2749089</v>
      </c>
      <c r="L424" s="4"/>
      <c r="M424" s="4"/>
      <c r="N424" s="4"/>
      <c r="O424" s="4"/>
      <c r="P424" s="4"/>
      <c r="Q424" s="4"/>
      <c r="R424" s="4"/>
      <c r="S424" s="4"/>
      <c r="T424" s="4"/>
      <c r="U424" s="4"/>
      <c r="V424" s="4"/>
      <c r="W424" s="4"/>
    </row>
    <row r="425" ht="15.75" customHeight="1">
      <c r="A425" s="13">
        <f t="shared" si="9"/>
        <v>422</v>
      </c>
      <c r="B425" s="18">
        <f>A425/'Orbit Info'!$G$10</f>
        <v>4.460252688</v>
      </c>
      <c r="C425" s="13">
        <f t="shared" si="2"/>
        <v>1</v>
      </c>
      <c r="D425" s="13">
        <f t="shared" si="3"/>
        <v>0</v>
      </c>
      <c r="E425" s="13">
        <f t="shared" si="4"/>
        <v>0</v>
      </c>
      <c r="F425" s="13">
        <f t="shared" si="5"/>
        <v>0</v>
      </c>
      <c r="G425" s="13">
        <f t="shared" si="6"/>
        <v>1</v>
      </c>
      <c r="H425" s="13">
        <f>'Orbit Info'!C424*((C425*$O$2)+(D425*$O$3)+(E425*$O$4)+(F425*$O$5))</f>
        <v>15.628032</v>
      </c>
      <c r="I425" s="13">
        <f t="shared" si="7"/>
        <v>7.17578</v>
      </c>
      <c r="J425" s="18">
        <f t="shared" si="8"/>
        <v>0.1408708667</v>
      </c>
      <c r="K425" s="18">
        <f t="shared" si="10"/>
        <v>79.41577977</v>
      </c>
      <c r="L425" s="4"/>
      <c r="M425" s="4"/>
      <c r="N425" s="4"/>
      <c r="O425" s="4"/>
      <c r="P425" s="4"/>
      <c r="Q425" s="4"/>
      <c r="R425" s="4"/>
      <c r="S425" s="4"/>
      <c r="T425" s="4"/>
      <c r="U425" s="4"/>
      <c r="V425" s="4"/>
      <c r="W425" s="4"/>
    </row>
    <row r="426" ht="15.75" customHeight="1">
      <c r="A426" s="13">
        <f t="shared" si="9"/>
        <v>423</v>
      </c>
      <c r="B426" s="18">
        <f>A426/'Orbit Info'!$G$10</f>
        <v>4.470822007</v>
      </c>
      <c r="C426" s="13">
        <f t="shared" si="2"/>
        <v>1</v>
      </c>
      <c r="D426" s="13">
        <f t="shared" si="3"/>
        <v>0</v>
      </c>
      <c r="E426" s="13">
        <f t="shared" si="4"/>
        <v>0</v>
      </c>
      <c r="F426" s="13">
        <f t="shared" si="5"/>
        <v>0</v>
      </c>
      <c r="G426" s="13">
        <f t="shared" si="6"/>
        <v>1</v>
      </c>
      <c r="H426" s="13">
        <f>'Orbit Info'!C425*((C426*$O$2)+(D426*$O$3)+(E426*$O$4)+(F426*$O$5))</f>
        <v>15.628032</v>
      </c>
      <c r="I426" s="13">
        <f t="shared" si="7"/>
        <v>7.17578</v>
      </c>
      <c r="J426" s="18">
        <f t="shared" si="8"/>
        <v>0.1408708667</v>
      </c>
      <c r="K426" s="18">
        <f t="shared" si="10"/>
        <v>79.55665063</v>
      </c>
      <c r="L426" s="4"/>
      <c r="M426" s="4"/>
      <c r="N426" s="4"/>
      <c r="O426" s="4"/>
      <c r="P426" s="4"/>
      <c r="Q426" s="4"/>
      <c r="R426" s="4"/>
      <c r="S426" s="4"/>
      <c r="T426" s="4"/>
      <c r="U426" s="4"/>
      <c r="V426" s="4"/>
      <c r="W426" s="4"/>
    </row>
    <row r="427" ht="15.75" customHeight="1">
      <c r="A427" s="13">
        <f t="shared" si="9"/>
        <v>424</v>
      </c>
      <c r="B427" s="18">
        <f>A427/'Orbit Info'!$G$10</f>
        <v>4.481391326</v>
      </c>
      <c r="C427" s="13">
        <f t="shared" si="2"/>
        <v>1</v>
      </c>
      <c r="D427" s="13">
        <f t="shared" si="3"/>
        <v>0</v>
      </c>
      <c r="E427" s="13">
        <f t="shared" si="4"/>
        <v>0</v>
      </c>
      <c r="F427" s="13">
        <f t="shared" si="5"/>
        <v>0</v>
      </c>
      <c r="G427" s="13">
        <f t="shared" si="6"/>
        <v>1</v>
      </c>
      <c r="H427" s="13">
        <f>'Orbit Info'!C426*((C427*$O$2)+(D427*$O$3)+(E427*$O$4)+(F427*$O$5))</f>
        <v>15.628032</v>
      </c>
      <c r="I427" s="13">
        <f t="shared" si="7"/>
        <v>7.17578</v>
      </c>
      <c r="J427" s="18">
        <f t="shared" si="8"/>
        <v>0.1408708667</v>
      </c>
      <c r="K427" s="18">
        <f t="shared" si="10"/>
        <v>79.6975215</v>
      </c>
      <c r="L427" s="4"/>
      <c r="M427" s="4"/>
      <c r="N427" s="4"/>
      <c r="O427" s="4"/>
      <c r="P427" s="4"/>
      <c r="Q427" s="4"/>
      <c r="R427" s="4"/>
      <c r="S427" s="4"/>
      <c r="T427" s="4"/>
      <c r="U427" s="4"/>
      <c r="V427" s="4"/>
      <c r="W427" s="4"/>
    </row>
    <row r="428" ht="15.75" customHeight="1">
      <c r="A428" s="13">
        <f t="shared" si="9"/>
        <v>425</v>
      </c>
      <c r="B428" s="18">
        <f>A428/'Orbit Info'!$G$10</f>
        <v>4.491960646</v>
      </c>
      <c r="C428" s="13">
        <f t="shared" si="2"/>
        <v>1</v>
      </c>
      <c r="D428" s="13">
        <f t="shared" si="3"/>
        <v>0</v>
      </c>
      <c r="E428" s="13">
        <f t="shared" si="4"/>
        <v>0</v>
      </c>
      <c r="F428" s="13">
        <f t="shared" si="5"/>
        <v>0</v>
      </c>
      <c r="G428" s="13">
        <f t="shared" si="6"/>
        <v>1</v>
      </c>
      <c r="H428" s="13">
        <f>'Orbit Info'!C427*((C428*$O$2)+(D428*$O$3)+(E428*$O$4)+(F428*$O$5))</f>
        <v>15.628032</v>
      </c>
      <c r="I428" s="13">
        <f t="shared" si="7"/>
        <v>7.17578</v>
      </c>
      <c r="J428" s="18">
        <f t="shared" si="8"/>
        <v>0.1408708667</v>
      </c>
      <c r="K428" s="18">
        <f t="shared" si="10"/>
        <v>79.83839237</v>
      </c>
      <c r="L428" s="4"/>
      <c r="M428" s="4"/>
      <c r="N428" s="4"/>
      <c r="O428" s="4"/>
      <c r="P428" s="4"/>
      <c r="Q428" s="4"/>
      <c r="R428" s="4"/>
      <c r="S428" s="4"/>
      <c r="T428" s="4"/>
      <c r="U428" s="4"/>
      <c r="V428" s="4"/>
      <c r="W428" s="4"/>
    </row>
    <row r="429" ht="15.75" customHeight="1">
      <c r="A429" s="13">
        <f t="shared" si="9"/>
        <v>426</v>
      </c>
      <c r="B429" s="18">
        <f>A429/'Orbit Info'!$G$10</f>
        <v>4.502529965</v>
      </c>
      <c r="C429" s="13">
        <f t="shared" si="2"/>
        <v>1</v>
      </c>
      <c r="D429" s="13">
        <f t="shared" si="3"/>
        <v>0</v>
      </c>
      <c r="E429" s="13">
        <f t="shared" si="4"/>
        <v>0</v>
      </c>
      <c r="F429" s="13">
        <f t="shared" si="5"/>
        <v>0</v>
      </c>
      <c r="G429" s="13">
        <f t="shared" si="6"/>
        <v>1</v>
      </c>
      <c r="H429" s="13">
        <f>'Orbit Info'!C428*((C429*$O$2)+(D429*$O$3)+(E429*$O$4)+(F429*$O$5))</f>
        <v>15.628032</v>
      </c>
      <c r="I429" s="13">
        <f t="shared" si="7"/>
        <v>7.17578</v>
      </c>
      <c r="J429" s="18">
        <f t="shared" si="8"/>
        <v>0.1408708667</v>
      </c>
      <c r="K429" s="18">
        <f t="shared" si="10"/>
        <v>79.97926323</v>
      </c>
      <c r="L429" s="4"/>
      <c r="M429" s="4"/>
      <c r="N429" s="4"/>
      <c r="O429" s="4"/>
      <c r="P429" s="4"/>
      <c r="Q429" s="4"/>
      <c r="R429" s="4"/>
      <c r="S429" s="4"/>
      <c r="T429" s="4"/>
      <c r="U429" s="4"/>
      <c r="V429" s="4"/>
      <c r="W429" s="4"/>
    </row>
    <row r="430" ht="15.75" customHeight="1">
      <c r="A430" s="13">
        <f t="shared" si="9"/>
        <v>427</v>
      </c>
      <c r="B430" s="18">
        <f>A430/'Orbit Info'!$G$10</f>
        <v>4.513099284</v>
      </c>
      <c r="C430" s="13">
        <f t="shared" si="2"/>
        <v>1</v>
      </c>
      <c r="D430" s="13">
        <f t="shared" si="3"/>
        <v>0</v>
      </c>
      <c r="E430" s="13">
        <f t="shared" si="4"/>
        <v>0</v>
      </c>
      <c r="F430" s="13">
        <f t="shared" si="5"/>
        <v>0</v>
      </c>
      <c r="G430" s="13">
        <f t="shared" si="6"/>
        <v>1</v>
      </c>
      <c r="H430" s="13">
        <f>'Orbit Info'!C429*((C430*$O$2)+(D430*$O$3)+(E430*$O$4)+(F430*$O$5))</f>
        <v>15.628032</v>
      </c>
      <c r="I430" s="13">
        <f t="shared" si="7"/>
        <v>7.17578</v>
      </c>
      <c r="J430" s="18">
        <f t="shared" si="8"/>
        <v>0.1408708667</v>
      </c>
      <c r="K430" s="18">
        <f t="shared" si="10"/>
        <v>80.1201341</v>
      </c>
      <c r="L430" s="4"/>
      <c r="M430" s="4"/>
      <c r="N430" s="4"/>
      <c r="O430" s="4"/>
      <c r="P430" s="4"/>
      <c r="Q430" s="4"/>
      <c r="R430" s="4"/>
      <c r="S430" s="4"/>
      <c r="T430" s="4"/>
      <c r="U430" s="4"/>
      <c r="V430" s="4"/>
      <c r="W430" s="4"/>
    </row>
    <row r="431" ht="15.75" customHeight="1">
      <c r="A431" s="13">
        <f t="shared" si="9"/>
        <v>428</v>
      </c>
      <c r="B431" s="18">
        <f>A431/'Orbit Info'!$G$10</f>
        <v>4.523668603</v>
      </c>
      <c r="C431" s="13">
        <f t="shared" si="2"/>
        <v>1</v>
      </c>
      <c r="D431" s="13">
        <f t="shared" si="3"/>
        <v>0</v>
      </c>
      <c r="E431" s="13">
        <f t="shared" si="4"/>
        <v>0</v>
      </c>
      <c r="F431" s="13">
        <f t="shared" si="5"/>
        <v>0</v>
      </c>
      <c r="G431" s="13">
        <f t="shared" si="6"/>
        <v>1</v>
      </c>
      <c r="H431" s="13">
        <f>'Orbit Info'!C430*((C431*$O$2)+(D431*$O$3)+(E431*$O$4)+(F431*$O$5))</f>
        <v>15.628032</v>
      </c>
      <c r="I431" s="13">
        <f t="shared" si="7"/>
        <v>7.17578</v>
      </c>
      <c r="J431" s="18">
        <f t="shared" si="8"/>
        <v>0.1408708667</v>
      </c>
      <c r="K431" s="18">
        <f t="shared" si="10"/>
        <v>80.26100497</v>
      </c>
      <c r="L431" s="4"/>
      <c r="M431" s="4"/>
      <c r="N431" s="4"/>
      <c r="O431" s="4"/>
      <c r="P431" s="4"/>
      <c r="Q431" s="4"/>
      <c r="R431" s="4"/>
      <c r="S431" s="4"/>
      <c r="T431" s="4"/>
      <c r="U431" s="4"/>
      <c r="V431" s="4"/>
      <c r="W431" s="4"/>
    </row>
    <row r="432" ht="15.75" customHeight="1">
      <c r="A432" s="13">
        <f t="shared" si="9"/>
        <v>429</v>
      </c>
      <c r="B432" s="18">
        <f>A432/'Orbit Info'!$G$10</f>
        <v>4.534237922</v>
      </c>
      <c r="C432" s="13">
        <f t="shared" si="2"/>
        <v>1</v>
      </c>
      <c r="D432" s="13">
        <f t="shared" si="3"/>
        <v>0</v>
      </c>
      <c r="E432" s="13">
        <f t="shared" si="4"/>
        <v>0</v>
      </c>
      <c r="F432" s="13">
        <f t="shared" si="5"/>
        <v>0</v>
      </c>
      <c r="G432" s="13">
        <f t="shared" si="6"/>
        <v>1</v>
      </c>
      <c r="H432" s="13">
        <f>'Orbit Info'!C431*((C432*$O$2)+(D432*$O$3)+(E432*$O$4)+(F432*$O$5))</f>
        <v>15.628032</v>
      </c>
      <c r="I432" s="13">
        <f t="shared" si="7"/>
        <v>7.17578</v>
      </c>
      <c r="J432" s="18">
        <f t="shared" si="8"/>
        <v>0.1408708667</v>
      </c>
      <c r="K432" s="18">
        <f t="shared" si="10"/>
        <v>80.40187583</v>
      </c>
      <c r="L432" s="4"/>
      <c r="M432" s="4"/>
      <c r="N432" s="4"/>
      <c r="O432" s="4"/>
      <c r="P432" s="4"/>
      <c r="Q432" s="4"/>
      <c r="R432" s="4"/>
      <c r="S432" s="4"/>
      <c r="T432" s="4"/>
      <c r="U432" s="4"/>
      <c r="V432" s="4"/>
      <c r="W432" s="4"/>
    </row>
    <row r="433" ht="15.75" customHeight="1">
      <c r="A433" s="13">
        <f t="shared" si="9"/>
        <v>430</v>
      </c>
      <c r="B433" s="18">
        <f>A433/'Orbit Info'!$G$10</f>
        <v>4.544807241</v>
      </c>
      <c r="C433" s="13">
        <f t="shared" si="2"/>
        <v>1</v>
      </c>
      <c r="D433" s="13">
        <f t="shared" si="3"/>
        <v>0</v>
      </c>
      <c r="E433" s="13">
        <f t="shared" si="4"/>
        <v>0</v>
      </c>
      <c r="F433" s="13">
        <f t="shared" si="5"/>
        <v>0</v>
      </c>
      <c r="G433" s="13">
        <f t="shared" si="6"/>
        <v>1</v>
      </c>
      <c r="H433" s="13">
        <f>'Orbit Info'!C432*((C433*$O$2)+(D433*$O$3)+(E433*$O$4)+(F433*$O$5))</f>
        <v>15.628032</v>
      </c>
      <c r="I433" s="13">
        <f t="shared" si="7"/>
        <v>7.17578</v>
      </c>
      <c r="J433" s="18">
        <f t="shared" si="8"/>
        <v>0.1408708667</v>
      </c>
      <c r="K433" s="18">
        <f t="shared" si="10"/>
        <v>80.5427467</v>
      </c>
      <c r="L433" s="4"/>
      <c r="M433" s="4"/>
      <c r="N433" s="4"/>
      <c r="O433" s="4"/>
      <c r="P433" s="4"/>
      <c r="Q433" s="4"/>
      <c r="R433" s="4"/>
      <c r="S433" s="4"/>
      <c r="T433" s="4"/>
      <c r="U433" s="4"/>
      <c r="V433" s="4"/>
      <c r="W433" s="4"/>
    </row>
    <row r="434" ht="15.75" customHeight="1">
      <c r="A434" s="13">
        <f t="shared" si="9"/>
        <v>431</v>
      </c>
      <c r="B434" s="18">
        <f>A434/'Orbit Info'!$G$10</f>
        <v>4.55537656</v>
      </c>
      <c r="C434" s="13">
        <f t="shared" si="2"/>
        <v>1</v>
      </c>
      <c r="D434" s="13">
        <f t="shared" si="3"/>
        <v>0</v>
      </c>
      <c r="E434" s="13">
        <f t="shared" si="4"/>
        <v>0</v>
      </c>
      <c r="F434" s="13">
        <f t="shared" si="5"/>
        <v>0</v>
      </c>
      <c r="G434" s="13">
        <f t="shared" si="6"/>
        <v>1</v>
      </c>
      <c r="H434" s="13">
        <f>'Orbit Info'!C433*((C434*$O$2)+(D434*$O$3)+(E434*$O$4)+(F434*$O$5))</f>
        <v>15.628032</v>
      </c>
      <c r="I434" s="13">
        <f t="shared" si="7"/>
        <v>7.17578</v>
      </c>
      <c r="J434" s="18">
        <f t="shared" si="8"/>
        <v>0.1408708667</v>
      </c>
      <c r="K434" s="18">
        <f t="shared" si="10"/>
        <v>80.68361757</v>
      </c>
      <c r="L434" s="4"/>
      <c r="M434" s="4"/>
      <c r="N434" s="4"/>
      <c r="O434" s="4"/>
      <c r="P434" s="4"/>
      <c r="Q434" s="4"/>
      <c r="R434" s="4"/>
      <c r="S434" s="4"/>
      <c r="T434" s="4"/>
      <c r="U434" s="4"/>
      <c r="V434" s="4"/>
      <c r="W434" s="4"/>
    </row>
    <row r="435" ht="15.75" customHeight="1">
      <c r="A435" s="13">
        <f t="shared" si="9"/>
        <v>432</v>
      </c>
      <c r="B435" s="18">
        <f>A435/'Orbit Info'!$G$10</f>
        <v>4.56594588</v>
      </c>
      <c r="C435" s="13">
        <f t="shared" si="2"/>
        <v>1</v>
      </c>
      <c r="D435" s="13">
        <f t="shared" si="3"/>
        <v>0</v>
      </c>
      <c r="E435" s="13">
        <f t="shared" si="4"/>
        <v>0</v>
      </c>
      <c r="F435" s="13">
        <f t="shared" si="5"/>
        <v>0</v>
      </c>
      <c r="G435" s="13">
        <f t="shared" si="6"/>
        <v>1</v>
      </c>
      <c r="H435" s="13">
        <f>'Orbit Info'!C434*((C435*$O$2)+(D435*$O$3)+(E435*$O$4)+(F435*$O$5))</f>
        <v>15.628032</v>
      </c>
      <c r="I435" s="13">
        <f t="shared" si="7"/>
        <v>7.17578</v>
      </c>
      <c r="J435" s="18">
        <f t="shared" si="8"/>
        <v>0.1408708667</v>
      </c>
      <c r="K435" s="18">
        <f t="shared" si="10"/>
        <v>80.82448843</v>
      </c>
      <c r="L435" s="4"/>
      <c r="M435" s="4"/>
      <c r="N435" s="4"/>
      <c r="O435" s="4"/>
      <c r="P435" s="4"/>
      <c r="Q435" s="4"/>
      <c r="R435" s="4"/>
      <c r="S435" s="4"/>
      <c r="T435" s="4"/>
      <c r="U435" s="4"/>
      <c r="V435" s="4"/>
      <c r="W435" s="4"/>
    </row>
    <row r="436" ht="15.75" customHeight="1">
      <c r="A436" s="13">
        <f t="shared" si="9"/>
        <v>433</v>
      </c>
      <c r="B436" s="18">
        <f>A436/'Orbit Info'!$G$10</f>
        <v>4.576515199</v>
      </c>
      <c r="C436" s="13">
        <f t="shared" si="2"/>
        <v>1</v>
      </c>
      <c r="D436" s="13">
        <f t="shared" si="3"/>
        <v>0</v>
      </c>
      <c r="E436" s="13">
        <f t="shared" si="4"/>
        <v>0</v>
      </c>
      <c r="F436" s="13">
        <f t="shared" si="5"/>
        <v>0</v>
      </c>
      <c r="G436" s="13">
        <f t="shared" si="6"/>
        <v>1</v>
      </c>
      <c r="H436" s="13">
        <f>'Orbit Info'!C435*((C436*$O$2)+(D436*$O$3)+(E436*$O$4)+(F436*$O$5))</f>
        <v>15.628032</v>
      </c>
      <c r="I436" s="13">
        <f t="shared" si="7"/>
        <v>7.17578</v>
      </c>
      <c r="J436" s="18">
        <f t="shared" si="8"/>
        <v>0.1408708667</v>
      </c>
      <c r="K436" s="18">
        <f t="shared" si="10"/>
        <v>80.9653593</v>
      </c>
      <c r="L436" s="4"/>
      <c r="M436" s="4"/>
      <c r="N436" s="4"/>
      <c r="O436" s="4"/>
      <c r="P436" s="4"/>
      <c r="Q436" s="4"/>
      <c r="R436" s="4"/>
      <c r="S436" s="4"/>
      <c r="T436" s="4"/>
      <c r="U436" s="4"/>
      <c r="V436" s="4"/>
      <c r="W436" s="4"/>
    </row>
    <row r="437" ht="15.75" customHeight="1">
      <c r="A437" s="13">
        <f t="shared" si="9"/>
        <v>434</v>
      </c>
      <c r="B437" s="18">
        <f>A437/'Orbit Info'!$G$10</f>
        <v>4.587084518</v>
      </c>
      <c r="C437" s="13">
        <f t="shared" si="2"/>
        <v>1</v>
      </c>
      <c r="D437" s="13">
        <f t="shared" si="3"/>
        <v>0</v>
      </c>
      <c r="E437" s="13">
        <f t="shared" si="4"/>
        <v>0</v>
      </c>
      <c r="F437" s="13">
        <f t="shared" si="5"/>
        <v>0</v>
      </c>
      <c r="G437" s="13">
        <f t="shared" si="6"/>
        <v>1</v>
      </c>
      <c r="H437" s="13">
        <f>'Orbit Info'!C436*((C437*$O$2)+(D437*$O$3)+(E437*$O$4)+(F437*$O$5))</f>
        <v>15.628032</v>
      </c>
      <c r="I437" s="13">
        <f t="shared" si="7"/>
        <v>7.17578</v>
      </c>
      <c r="J437" s="18">
        <f t="shared" si="8"/>
        <v>0.1408708667</v>
      </c>
      <c r="K437" s="18">
        <f t="shared" si="10"/>
        <v>81.10623017</v>
      </c>
      <c r="L437" s="4"/>
      <c r="M437" s="4"/>
      <c r="N437" s="4"/>
      <c r="O437" s="4"/>
      <c r="P437" s="4"/>
      <c r="Q437" s="4"/>
      <c r="R437" s="4"/>
      <c r="S437" s="4"/>
      <c r="T437" s="4"/>
      <c r="U437" s="4"/>
      <c r="V437" s="4"/>
      <c r="W437" s="4"/>
    </row>
    <row r="438" ht="15.75" customHeight="1">
      <c r="A438" s="13">
        <f t="shared" si="9"/>
        <v>435</v>
      </c>
      <c r="B438" s="18">
        <f>A438/'Orbit Info'!$G$10</f>
        <v>4.597653837</v>
      </c>
      <c r="C438" s="13">
        <f t="shared" si="2"/>
        <v>1</v>
      </c>
      <c r="D438" s="13">
        <f t="shared" si="3"/>
        <v>0</v>
      </c>
      <c r="E438" s="13">
        <f t="shared" si="4"/>
        <v>0</v>
      </c>
      <c r="F438" s="13">
        <f t="shared" si="5"/>
        <v>0</v>
      </c>
      <c r="G438" s="13">
        <f t="shared" si="6"/>
        <v>1</v>
      </c>
      <c r="H438" s="13">
        <f>'Orbit Info'!C437*((C438*$O$2)+(D438*$O$3)+(E438*$O$4)+(F438*$O$5))</f>
        <v>15.628032</v>
      </c>
      <c r="I438" s="13">
        <f t="shared" si="7"/>
        <v>7.17578</v>
      </c>
      <c r="J438" s="18">
        <f t="shared" si="8"/>
        <v>0.1408708667</v>
      </c>
      <c r="K438" s="18">
        <f t="shared" si="10"/>
        <v>81.24710103</v>
      </c>
      <c r="L438" s="4"/>
      <c r="M438" s="4"/>
      <c r="N438" s="4"/>
      <c r="O438" s="4"/>
      <c r="P438" s="4"/>
      <c r="Q438" s="4"/>
      <c r="R438" s="4"/>
      <c r="S438" s="4"/>
      <c r="T438" s="4"/>
      <c r="U438" s="4"/>
      <c r="V438" s="4"/>
      <c r="W438" s="4"/>
    </row>
    <row r="439" ht="15.75" customHeight="1">
      <c r="A439" s="13">
        <f t="shared" si="9"/>
        <v>436</v>
      </c>
      <c r="B439" s="18">
        <f>A439/'Orbit Info'!$G$10</f>
        <v>4.608223156</v>
      </c>
      <c r="C439" s="13">
        <f t="shared" si="2"/>
        <v>1</v>
      </c>
      <c r="D439" s="13">
        <f t="shared" si="3"/>
        <v>0</v>
      </c>
      <c r="E439" s="13">
        <f t="shared" si="4"/>
        <v>0</v>
      </c>
      <c r="F439" s="13">
        <f t="shared" si="5"/>
        <v>0</v>
      </c>
      <c r="G439" s="13">
        <f t="shared" si="6"/>
        <v>1</v>
      </c>
      <c r="H439" s="13">
        <f>'Orbit Info'!C438*((C439*$O$2)+(D439*$O$3)+(E439*$O$4)+(F439*$O$5))</f>
        <v>15.628032</v>
      </c>
      <c r="I439" s="13">
        <f t="shared" si="7"/>
        <v>7.17578</v>
      </c>
      <c r="J439" s="18">
        <f t="shared" si="8"/>
        <v>0.1408708667</v>
      </c>
      <c r="K439" s="18">
        <f t="shared" si="10"/>
        <v>81.3879719</v>
      </c>
      <c r="L439" s="4"/>
      <c r="M439" s="4"/>
      <c r="N439" s="4"/>
      <c r="O439" s="4"/>
      <c r="P439" s="4"/>
      <c r="Q439" s="4"/>
      <c r="R439" s="4"/>
      <c r="S439" s="4"/>
      <c r="T439" s="4"/>
      <c r="U439" s="4"/>
      <c r="V439" s="4"/>
      <c r="W439" s="4"/>
    </row>
    <row r="440" ht="15.75" customHeight="1">
      <c r="A440" s="13">
        <f t="shared" si="9"/>
        <v>437</v>
      </c>
      <c r="B440" s="18">
        <f>A440/'Orbit Info'!$G$10</f>
        <v>4.618792475</v>
      </c>
      <c r="C440" s="13">
        <f t="shared" si="2"/>
        <v>1</v>
      </c>
      <c r="D440" s="13">
        <f t="shared" si="3"/>
        <v>0</v>
      </c>
      <c r="E440" s="13">
        <f t="shared" si="4"/>
        <v>0</v>
      </c>
      <c r="F440" s="13">
        <f t="shared" si="5"/>
        <v>0</v>
      </c>
      <c r="G440" s="13">
        <f t="shared" si="6"/>
        <v>1</v>
      </c>
      <c r="H440" s="13">
        <f>'Orbit Info'!C439*((C440*$O$2)+(D440*$O$3)+(E440*$O$4)+(F440*$O$5))</f>
        <v>15.628032</v>
      </c>
      <c r="I440" s="13">
        <f t="shared" si="7"/>
        <v>7.17578</v>
      </c>
      <c r="J440" s="18">
        <f t="shared" si="8"/>
        <v>0.1408708667</v>
      </c>
      <c r="K440" s="18">
        <f t="shared" si="10"/>
        <v>81.52884277</v>
      </c>
      <c r="L440" s="4"/>
      <c r="M440" s="4"/>
      <c r="N440" s="4"/>
      <c r="O440" s="4"/>
      <c r="P440" s="4"/>
      <c r="Q440" s="4"/>
      <c r="R440" s="4"/>
      <c r="S440" s="4"/>
      <c r="T440" s="4"/>
      <c r="U440" s="4"/>
      <c r="V440" s="4"/>
      <c r="W440" s="4"/>
    </row>
    <row r="441" ht="15.75" customHeight="1">
      <c r="A441" s="13">
        <f t="shared" si="9"/>
        <v>438</v>
      </c>
      <c r="B441" s="18">
        <f>A441/'Orbit Info'!$G$10</f>
        <v>4.629361795</v>
      </c>
      <c r="C441" s="13">
        <f t="shared" si="2"/>
        <v>1</v>
      </c>
      <c r="D441" s="13">
        <f t="shared" si="3"/>
        <v>0</v>
      </c>
      <c r="E441" s="13">
        <f t="shared" si="4"/>
        <v>0</v>
      </c>
      <c r="F441" s="13">
        <f t="shared" si="5"/>
        <v>0</v>
      </c>
      <c r="G441" s="13">
        <f t="shared" si="6"/>
        <v>1</v>
      </c>
      <c r="H441" s="13">
        <f>'Orbit Info'!C440*((C441*$O$2)+(D441*$O$3)+(E441*$O$4)+(F441*$O$5))</f>
        <v>0</v>
      </c>
      <c r="I441" s="13">
        <f t="shared" si="7"/>
        <v>7.17578</v>
      </c>
      <c r="J441" s="18">
        <f t="shared" si="8"/>
        <v>-0.1195963333</v>
      </c>
      <c r="K441" s="18">
        <f t="shared" si="10"/>
        <v>81.40924643</v>
      </c>
      <c r="L441" s="4"/>
      <c r="M441" s="4"/>
      <c r="N441" s="4"/>
      <c r="O441" s="4"/>
      <c r="P441" s="4"/>
      <c r="Q441" s="4"/>
      <c r="R441" s="4"/>
      <c r="S441" s="4"/>
      <c r="T441" s="4"/>
      <c r="U441" s="4"/>
      <c r="V441" s="4"/>
      <c r="W441" s="4"/>
    </row>
    <row r="442" ht="15.75" customHeight="1">
      <c r="A442" s="13">
        <f t="shared" si="9"/>
        <v>439</v>
      </c>
      <c r="B442" s="18">
        <f>A442/'Orbit Info'!$G$10</f>
        <v>4.639931114</v>
      </c>
      <c r="C442" s="13">
        <f t="shared" si="2"/>
        <v>1</v>
      </c>
      <c r="D442" s="13">
        <f t="shared" si="3"/>
        <v>0</v>
      </c>
      <c r="E442" s="13">
        <f t="shared" si="4"/>
        <v>0</v>
      </c>
      <c r="F442" s="13">
        <f t="shared" si="5"/>
        <v>0</v>
      </c>
      <c r="G442" s="13">
        <f t="shared" si="6"/>
        <v>1</v>
      </c>
      <c r="H442" s="13">
        <f>'Orbit Info'!C441*((C442*$O$2)+(D442*$O$3)+(E442*$O$4)+(F442*$O$5))</f>
        <v>0</v>
      </c>
      <c r="I442" s="13">
        <f t="shared" si="7"/>
        <v>7.17578</v>
      </c>
      <c r="J442" s="18">
        <f t="shared" si="8"/>
        <v>-0.1195963333</v>
      </c>
      <c r="K442" s="18">
        <f t="shared" si="10"/>
        <v>81.2896501</v>
      </c>
      <c r="L442" s="4"/>
      <c r="M442" s="4"/>
      <c r="N442" s="4"/>
      <c r="O442" s="4"/>
      <c r="P442" s="4"/>
      <c r="Q442" s="4"/>
      <c r="R442" s="4"/>
      <c r="S442" s="4"/>
      <c r="T442" s="4"/>
      <c r="U442" s="4"/>
      <c r="V442" s="4"/>
      <c r="W442" s="4"/>
    </row>
    <row r="443" ht="15.75" customHeight="1">
      <c r="A443" s="13">
        <f t="shared" si="9"/>
        <v>440</v>
      </c>
      <c r="B443" s="18">
        <f>A443/'Orbit Info'!$G$10</f>
        <v>4.650500433</v>
      </c>
      <c r="C443" s="13">
        <f t="shared" si="2"/>
        <v>1</v>
      </c>
      <c r="D443" s="13">
        <f t="shared" si="3"/>
        <v>0</v>
      </c>
      <c r="E443" s="13">
        <f t="shared" si="4"/>
        <v>0</v>
      </c>
      <c r="F443" s="13">
        <f t="shared" si="5"/>
        <v>0</v>
      </c>
      <c r="G443" s="13">
        <f t="shared" si="6"/>
        <v>1</v>
      </c>
      <c r="H443" s="13">
        <f>'Orbit Info'!C442*((C443*$O$2)+(D443*$O$3)+(E443*$O$4)+(F443*$O$5))</f>
        <v>0</v>
      </c>
      <c r="I443" s="13">
        <f t="shared" si="7"/>
        <v>7.17578</v>
      </c>
      <c r="J443" s="18">
        <f t="shared" si="8"/>
        <v>-0.1195963333</v>
      </c>
      <c r="K443" s="18">
        <f t="shared" si="10"/>
        <v>81.17005377</v>
      </c>
      <c r="L443" s="4"/>
      <c r="M443" s="4"/>
      <c r="N443" s="4"/>
      <c r="O443" s="4"/>
      <c r="P443" s="4"/>
      <c r="Q443" s="4"/>
      <c r="R443" s="4"/>
      <c r="S443" s="4"/>
      <c r="T443" s="4"/>
      <c r="U443" s="4"/>
      <c r="V443" s="4"/>
      <c r="W443" s="4"/>
    </row>
    <row r="444" ht="15.75" customHeight="1">
      <c r="A444" s="13">
        <f t="shared" si="9"/>
        <v>441</v>
      </c>
      <c r="B444" s="18">
        <f>A444/'Orbit Info'!$G$10</f>
        <v>4.661069752</v>
      </c>
      <c r="C444" s="13">
        <f t="shared" si="2"/>
        <v>1</v>
      </c>
      <c r="D444" s="13">
        <f t="shared" si="3"/>
        <v>0</v>
      </c>
      <c r="E444" s="13">
        <f t="shared" si="4"/>
        <v>0</v>
      </c>
      <c r="F444" s="13">
        <f t="shared" si="5"/>
        <v>0</v>
      </c>
      <c r="G444" s="13">
        <f t="shared" si="6"/>
        <v>1</v>
      </c>
      <c r="H444" s="13">
        <f>'Orbit Info'!C443*((C444*$O$2)+(D444*$O$3)+(E444*$O$4)+(F444*$O$5))</f>
        <v>0</v>
      </c>
      <c r="I444" s="13">
        <f t="shared" si="7"/>
        <v>7.17578</v>
      </c>
      <c r="J444" s="18">
        <f t="shared" si="8"/>
        <v>-0.1195963333</v>
      </c>
      <c r="K444" s="18">
        <f t="shared" si="10"/>
        <v>81.05045743</v>
      </c>
      <c r="L444" s="4"/>
      <c r="M444" s="4"/>
      <c r="N444" s="4"/>
      <c r="O444" s="4"/>
      <c r="P444" s="4"/>
      <c r="Q444" s="4"/>
      <c r="R444" s="4"/>
      <c r="S444" s="4"/>
      <c r="T444" s="4"/>
      <c r="U444" s="4"/>
      <c r="V444" s="4"/>
      <c r="W444" s="4"/>
    </row>
    <row r="445" ht="15.75" customHeight="1">
      <c r="A445" s="13">
        <f t="shared" si="9"/>
        <v>442</v>
      </c>
      <c r="B445" s="18">
        <f>A445/'Orbit Info'!$G$10</f>
        <v>4.671639071</v>
      </c>
      <c r="C445" s="13">
        <f t="shared" si="2"/>
        <v>1</v>
      </c>
      <c r="D445" s="13">
        <f t="shared" si="3"/>
        <v>0</v>
      </c>
      <c r="E445" s="13">
        <f t="shared" si="4"/>
        <v>0</v>
      </c>
      <c r="F445" s="13">
        <f t="shared" si="5"/>
        <v>0</v>
      </c>
      <c r="G445" s="13">
        <f t="shared" si="6"/>
        <v>1</v>
      </c>
      <c r="H445" s="13">
        <f>'Orbit Info'!C444*((C445*$O$2)+(D445*$O$3)+(E445*$O$4)+(F445*$O$5))</f>
        <v>0</v>
      </c>
      <c r="I445" s="13">
        <f t="shared" si="7"/>
        <v>7.17578</v>
      </c>
      <c r="J445" s="18">
        <f t="shared" si="8"/>
        <v>-0.1195963333</v>
      </c>
      <c r="K445" s="18">
        <f t="shared" si="10"/>
        <v>80.9308611</v>
      </c>
      <c r="L445" s="4"/>
      <c r="M445" s="4"/>
      <c r="N445" s="4"/>
      <c r="O445" s="4"/>
      <c r="P445" s="4"/>
      <c r="Q445" s="4"/>
      <c r="R445" s="4"/>
      <c r="S445" s="4"/>
      <c r="T445" s="4"/>
      <c r="U445" s="4"/>
      <c r="V445" s="4"/>
      <c r="W445" s="4"/>
    </row>
    <row r="446" ht="15.75" customHeight="1">
      <c r="A446" s="13">
        <f t="shared" si="9"/>
        <v>443</v>
      </c>
      <c r="B446" s="18">
        <f>A446/'Orbit Info'!$G$10</f>
        <v>4.68220839</v>
      </c>
      <c r="C446" s="13">
        <f t="shared" si="2"/>
        <v>1</v>
      </c>
      <c r="D446" s="13">
        <f t="shared" si="3"/>
        <v>0</v>
      </c>
      <c r="E446" s="13">
        <f t="shared" si="4"/>
        <v>0</v>
      </c>
      <c r="F446" s="13">
        <f t="shared" si="5"/>
        <v>0</v>
      </c>
      <c r="G446" s="13">
        <f t="shared" si="6"/>
        <v>1</v>
      </c>
      <c r="H446" s="13">
        <f>'Orbit Info'!C445*((C446*$O$2)+(D446*$O$3)+(E446*$O$4)+(F446*$O$5))</f>
        <v>0</v>
      </c>
      <c r="I446" s="13">
        <f t="shared" si="7"/>
        <v>7.17578</v>
      </c>
      <c r="J446" s="18">
        <f t="shared" si="8"/>
        <v>-0.1195963333</v>
      </c>
      <c r="K446" s="18">
        <f t="shared" si="10"/>
        <v>80.81126477</v>
      </c>
      <c r="L446" s="4"/>
      <c r="M446" s="4"/>
      <c r="N446" s="4"/>
      <c r="O446" s="4"/>
      <c r="P446" s="4"/>
      <c r="Q446" s="4"/>
      <c r="R446" s="4"/>
      <c r="S446" s="4"/>
      <c r="T446" s="4"/>
      <c r="U446" s="4"/>
      <c r="V446" s="4"/>
      <c r="W446" s="4"/>
    </row>
    <row r="447" ht="15.75" customHeight="1">
      <c r="A447" s="13">
        <f t="shared" si="9"/>
        <v>444</v>
      </c>
      <c r="B447" s="18">
        <f>A447/'Orbit Info'!$G$10</f>
        <v>4.69277771</v>
      </c>
      <c r="C447" s="13">
        <f t="shared" si="2"/>
        <v>1</v>
      </c>
      <c r="D447" s="13">
        <f t="shared" si="3"/>
        <v>0</v>
      </c>
      <c r="E447" s="13">
        <f t="shared" si="4"/>
        <v>0</v>
      </c>
      <c r="F447" s="13">
        <f t="shared" si="5"/>
        <v>0</v>
      </c>
      <c r="G447" s="13">
        <f t="shared" si="6"/>
        <v>1</v>
      </c>
      <c r="H447" s="13">
        <f>'Orbit Info'!C446*((C447*$O$2)+(D447*$O$3)+(E447*$O$4)+(F447*$O$5))</f>
        <v>0</v>
      </c>
      <c r="I447" s="13">
        <f t="shared" si="7"/>
        <v>7.17578</v>
      </c>
      <c r="J447" s="18">
        <f t="shared" si="8"/>
        <v>-0.1195963333</v>
      </c>
      <c r="K447" s="18">
        <f t="shared" si="10"/>
        <v>80.69166843</v>
      </c>
      <c r="L447" s="4"/>
      <c r="M447" s="4"/>
      <c r="N447" s="4"/>
      <c r="O447" s="4"/>
      <c r="P447" s="4"/>
      <c r="Q447" s="4"/>
      <c r="R447" s="4"/>
      <c r="S447" s="4"/>
      <c r="T447" s="4"/>
      <c r="U447" s="4"/>
      <c r="V447" s="4"/>
      <c r="W447" s="4"/>
    </row>
    <row r="448" ht="15.75" customHeight="1">
      <c r="A448" s="13">
        <f t="shared" si="9"/>
        <v>445</v>
      </c>
      <c r="B448" s="18">
        <f>A448/'Orbit Info'!$G$10</f>
        <v>4.703347029</v>
      </c>
      <c r="C448" s="13">
        <f t="shared" si="2"/>
        <v>1</v>
      </c>
      <c r="D448" s="13">
        <f t="shared" si="3"/>
        <v>0</v>
      </c>
      <c r="E448" s="13">
        <f t="shared" si="4"/>
        <v>0</v>
      </c>
      <c r="F448" s="13">
        <f t="shared" si="5"/>
        <v>0</v>
      </c>
      <c r="G448" s="13">
        <f t="shared" si="6"/>
        <v>1</v>
      </c>
      <c r="H448" s="13">
        <f>'Orbit Info'!C447*((C448*$O$2)+(D448*$O$3)+(E448*$O$4)+(F448*$O$5))</f>
        <v>0</v>
      </c>
      <c r="I448" s="13">
        <f t="shared" si="7"/>
        <v>7.17578</v>
      </c>
      <c r="J448" s="18">
        <f t="shared" si="8"/>
        <v>-0.1195963333</v>
      </c>
      <c r="K448" s="18">
        <f t="shared" si="10"/>
        <v>80.5720721</v>
      </c>
      <c r="L448" s="4"/>
      <c r="M448" s="4"/>
      <c r="N448" s="4"/>
      <c r="O448" s="4"/>
      <c r="P448" s="4"/>
      <c r="Q448" s="4"/>
      <c r="R448" s="4"/>
      <c r="S448" s="4"/>
      <c r="T448" s="4"/>
      <c r="U448" s="4"/>
      <c r="V448" s="4"/>
      <c r="W448" s="4"/>
    </row>
    <row r="449" ht="15.75" customHeight="1">
      <c r="A449" s="13">
        <f t="shared" si="9"/>
        <v>446</v>
      </c>
      <c r="B449" s="18">
        <f>A449/'Orbit Info'!$G$10</f>
        <v>4.713916348</v>
      </c>
      <c r="C449" s="13">
        <f t="shared" si="2"/>
        <v>1</v>
      </c>
      <c r="D449" s="13">
        <f t="shared" si="3"/>
        <v>0</v>
      </c>
      <c r="E449" s="13">
        <f t="shared" si="4"/>
        <v>0</v>
      </c>
      <c r="F449" s="13">
        <f t="shared" si="5"/>
        <v>0</v>
      </c>
      <c r="G449" s="13">
        <f t="shared" si="6"/>
        <v>1</v>
      </c>
      <c r="H449" s="13">
        <f>'Orbit Info'!C448*((C449*$O$2)+(D449*$O$3)+(E449*$O$4)+(F449*$O$5))</f>
        <v>0</v>
      </c>
      <c r="I449" s="13">
        <f t="shared" si="7"/>
        <v>7.17578</v>
      </c>
      <c r="J449" s="18">
        <f t="shared" si="8"/>
        <v>-0.1195963333</v>
      </c>
      <c r="K449" s="18">
        <f t="shared" si="10"/>
        <v>80.45247577</v>
      </c>
      <c r="L449" s="4"/>
      <c r="M449" s="4"/>
      <c r="N449" s="4"/>
      <c r="O449" s="4"/>
      <c r="P449" s="4"/>
      <c r="Q449" s="4"/>
      <c r="R449" s="4"/>
      <c r="S449" s="4"/>
      <c r="T449" s="4"/>
      <c r="U449" s="4"/>
      <c r="V449" s="4"/>
      <c r="W449" s="4"/>
    </row>
    <row r="450" ht="15.75" customHeight="1">
      <c r="A450" s="13">
        <f t="shared" si="9"/>
        <v>447</v>
      </c>
      <c r="B450" s="18">
        <f>A450/'Orbit Info'!$G$10</f>
        <v>4.724485667</v>
      </c>
      <c r="C450" s="13">
        <f t="shared" si="2"/>
        <v>1</v>
      </c>
      <c r="D450" s="13">
        <f t="shared" si="3"/>
        <v>0</v>
      </c>
      <c r="E450" s="13">
        <f t="shared" si="4"/>
        <v>0</v>
      </c>
      <c r="F450" s="13">
        <f t="shared" si="5"/>
        <v>0</v>
      </c>
      <c r="G450" s="13">
        <f t="shared" si="6"/>
        <v>1</v>
      </c>
      <c r="H450" s="13">
        <f>'Orbit Info'!C449*((C450*$O$2)+(D450*$O$3)+(E450*$O$4)+(F450*$O$5))</f>
        <v>0</v>
      </c>
      <c r="I450" s="13">
        <f t="shared" si="7"/>
        <v>7.17578</v>
      </c>
      <c r="J450" s="18">
        <f t="shared" si="8"/>
        <v>-0.1195963333</v>
      </c>
      <c r="K450" s="18">
        <f t="shared" si="10"/>
        <v>80.33287943</v>
      </c>
      <c r="L450" s="4"/>
      <c r="M450" s="4"/>
      <c r="N450" s="4"/>
      <c r="O450" s="4"/>
      <c r="P450" s="4"/>
      <c r="Q450" s="4"/>
      <c r="R450" s="4"/>
      <c r="S450" s="4"/>
      <c r="T450" s="4"/>
      <c r="U450" s="4"/>
      <c r="V450" s="4"/>
      <c r="W450" s="4"/>
    </row>
    <row r="451" ht="15.75" customHeight="1">
      <c r="A451" s="13">
        <f t="shared" si="9"/>
        <v>448</v>
      </c>
      <c r="B451" s="18">
        <f>A451/'Orbit Info'!$G$10</f>
        <v>4.735054986</v>
      </c>
      <c r="C451" s="13">
        <f t="shared" si="2"/>
        <v>1</v>
      </c>
      <c r="D451" s="13">
        <f t="shared" si="3"/>
        <v>0</v>
      </c>
      <c r="E451" s="13">
        <f t="shared" si="4"/>
        <v>0</v>
      </c>
      <c r="F451" s="13">
        <f t="shared" si="5"/>
        <v>0</v>
      </c>
      <c r="G451" s="13">
        <f t="shared" si="6"/>
        <v>1</v>
      </c>
      <c r="H451" s="13">
        <f>'Orbit Info'!C450*((C451*$O$2)+(D451*$O$3)+(E451*$O$4)+(F451*$O$5))</f>
        <v>0</v>
      </c>
      <c r="I451" s="13">
        <f t="shared" si="7"/>
        <v>7.17578</v>
      </c>
      <c r="J451" s="18">
        <f t="shared" si="8"/>
        <v>-0.1195963333</v>
      </c>
      <c r="K451" s="18">
        <f t="shared" si="10"/>
        <v>80.2132831</v>
      </c>
      <c r="L451" s="4"/>
      <c r="M451" s="4"/>
      <c r="N451" s="4"/>
      <c r="O451" s="4"/>
      <c r="P451" s="4"/>
      <c r="Q451" s="4"/>
      <c r="R451" s="4"/>
      <c r="S451" s="4"/>
      <c r="T451" s="4"/>
      <c r="U451" s="4"/>
      <c r="V451" s="4"/>
      <c r="W451" s="4"/>
    </row>
    <row r="452" ht="15.75" customHeight="1">
      <c r="A452" s="13">
        <f t="shared" si="9"/>
        <v>449</v>
      </c>
      <c r="B452" s="18">
        <f>A452/'Orbit Info'!$G$10</f>
        <v>4.745624305</v>
      </c>
      <c r="C452" s="13">
        <f t="shared" si="2"/>
        <v>1</v>
      </c>
      <c r="D452" s="13">
        <f t="shared" si="3"/>
        <v>0</v>
      </c>
      <c r="E452" s="13">
        <f t="shared" si="4"/>
        <v>0</v>
      </c>
      <c r="F452" s="13">
        <f t="shared" si="5"/>
        <v>0</v>
      </c>
      <c r="G452" s="13">
        <f t="shared" si="6"/>
        <v>1</v>
      </c>
      <c r="H452" s="13">
        <f>'Orbit Info'!C451*((C452*$O$2)+(D452*$O$3)+(E452*$O$4)+(F452*$O$5))</f>
        <v>0</v>
      </c>
      <c r="I452" s="13">
        <f t="shared" si="7"/>
        <v>7.17578</v>
      </c>
      <c r="J452" s="18">
        <f t="shared" si="8"/>
        <v>-0.1195963333</v>
      </c>
      <c r="K452" s="18">
        <f t="shared" si="10"/>
        <v>80.09368677</v>
      </c>
      <c r="L452" s="4"/>
      <c r="M452" s="4"/>
      <c r="N452" s="4"/>
      <c r="O452" s="4"/>
      <c r="P452" s="4"/>
      <c r="Q452" s="4"/>
      <c r="R452" s="4"/>
      <c r="S452" s="4"/>
      <c r="T452" s="4"/>
      <c r="U452" s="4"/>
      <c r="V452" s="4"/>
      <c r="W452" s="4"/>
    </row>
    <row r="453" ht="15.75" customHeight="1">
      <c r="A453" s="13">
        <f t="shared" si="9"/>
        <v>450</v>
      </c>
      <c r="B453" s="18">
        <f>A453/'Orbit Info'!$G$10</f>
        <v>4.756193625</v>
      </c>
      <c r="C453" s="13">
        <f t="shared" si="2"/>
        <v>1</v>
      </c>
      <c r="D453" s="13">
        <f t="shared" si="3"/>
        <v>0</v>
      </c>
      <c r="E453" s="13">
        <f t="shared" si="4"/>
        <v>0</v>
      </c>
      <c r="F453" s="13">
        <f t="shared" si="5"/>
        <v>0</v>
      </c>
      <c r="G453" s="13">
        <f t="shared" si="6"/>
        <v>1</v>
      </c>
      <c r="H453" s="13">
        <f>'Orbit Info'!C452*((C453*$O$2)+(D453*$O$3)+(E453*$O$4)+(F453*$O$5))</f>
        <v>0</v>
      </c>
      <c r="I453" s="13">
        <f t="shared" si="7"/>
        <v>7.17578</v>
      </c>
      <c r="J453" s="18">
        <f t="shared" si="8"/>
        <v>-0.1195963333</v>
      </c>
      <c r="K453" s="18">
        <f t="shared" si="10"/>
        <v>79.97409043</v>
      </c>
      <c r="L453" s="4"/>
      <c r="M453" s="4"/>
      <c r="N453" s="4"/>
      <c r="O453" s="4"/>
      <c r="P453" s="4"/>
      <c r="Q453" s="4"/>
      <c r="R453" s="4"/>
      <c r="S453" s="4"/>
      <c r="T453" s="4"/>
      <c r="U453" s="4"/>
      <c r="V453" s="4"/>
      <c r="W453" s="4"/>
    </row>
    <row r="454" ht="15.75" customHeight="1">
      <c r="A454" s="13">
        <f t="shared" si="9"/>
        <v>451</v>
      </c>
      <c r="B454" s="18">
        <f>A454/'Orbit Info'!$G$10</f>
        <v>4.766762944</v>
      </c>
      <c r="C454" s="13">
        <f t="shared" si="2"/>
        <v>1</v>
      </c>
      <c r="D454" s="13">
        <f t="shared" si="3"/>
        <v>0</v>
      </c>
      <c r="E454" s="13">
        <f t="shared" si="4"/>
        <v>0</v>
      </c>
      <c r="F454" s="13">
        <f t="shared" si="5"/>
        <v>0</v>
      </c>
      <c r="G454" s="13">
        <f t="shared" si="6"/>
        <v>1</v>
      </c>
      <c r="H454" s="13">
        <f>'Orbit Info'!C453*((C454*$O$2)+(D454*$O$3)+(E454*$O$4)+(F454*$O$5))</f>
        <v>0</v>
      </c>
      <c r="I454" s="13">
        <f t="shared" si="7"/>
        <v>7.17578</v>
      </c>
      <c r="J454" s="18">
        <f t="shared" si="8"/>
        <v>-0.1195963333</v>
      </c>
      <c r="K454" s="18">
        <f t="shared" si="10"/>
        <v>79.8544941</v>
      </c>
      <c r="L454" s="4"/>
      <c r="M454" s="4"/>
      <c r="N454" s="4"/>
      <c r="O454" s="4"/>
      <c r="P454" s="4"/>
      <c r="Q454" s="4"/>
      <c r="R454" s="4"/>
      <c r="S454" s="4"/>
      <c r="T454" s="4"/>
      <c r="U454" s="4"/>
      <c r="V454" s="4"/>
      <c r="W454" s="4"/>
    </row>
    <row r="455" ht="15.75" customHeight="1">
      <c r="A455" s="13">
        <f t="shared" si="9"/>
        <v>452</v>
      </c>
      <c r="B455" s="18">
        <f>A455/'Orbit Info'!$G$10</f>
        <v>4.777332263</v>
      </c>
      <c r="C455" s="13">
        <f t="shared" si="2"/>
        <v>1</v>
      </c>
      <c r="D455" s="13">
        <f t="shared" si="3"/>
        <v>0</v>
      </c>
      <c r="E455" s="13">
        <f t="shared" si="4"/>
        <v>0</v>
      </c>
      <c r="F455" s="13">
        <f t="shared" si="5"/>
        <v>0</v>
      </c>
      <c r="G455" s="13">
        <f t="shared" si="6"/>
        <v>1</v>
      </c>
      <c r="H455" s="13">
        <f>'Orbit Info'!C454*((C455*$O$2)+(D455*$O$3)+(E455*$O$4)+(F455*$O$5))</f>
        <v>0</v>
      </c>
      <c r="I455" s="13">
        <f t="shared" si="7"/>
        <v>7.17578</v>
      </c>
      <c r="J455" s="18">
        <f t="shared" si="8"/>
        <v>-0.1195963333</v>
      </c>
      <c r="K455" s="18">
        <f t="shared" si="10"/>
        <v>79.73489777</v>
      </c>
      <c r="L455" s="4"/>
      <c r="M455" s="4"/>
      <c r="N455" s="4"/>
      <c r="O455" s="4"/>
      <c r="P455" s="4"/>
      <c r="Q455" s="4"/>
      <c r="R455" s="4"/>
      <c r="S455" s="4"/>
      <c r="T455" s="4"/>
      <c r="U455" s="4"/>
      <c r="V455" s="4"/>
      <c r="W455" s="4"/>
    </row>
    <row r="456" ht="15.75" customHeight="1">
      <c r="A456" s="13">
        <f t="shared" si="9"/>
        <v>453</v>
      </c>
      <c r="B456" s="18">
        <f>A456/'Orbit Info'!$G$10</f>
        <v>4.787901582</v>
      </c>
      <c r="C456" s="13">
        <f t="shared" si="2"/>
        <v>1</v>
      </c>
      <c r="D456" s="13">
        <f t="shared" si="3"/>
        <v>0</v>
      </c>
      <c r="E456" s="13">
        <f t="shared" si="4"/>
        <v>0</v>
      </c>
      <c r="F456" s="13">
        <f t="shared" si="5"/>
        <v>0</v>
      </c>
      <c r="G456" s="13">
        <f t="shared" si="6"/>
        <v>1</v>
      </c>
      <c r="H456" s="13">
        <f>'Orbit Info'!C455*((C456*$O$2)+(D456*$O$3)+(E456*$O$4)+(F456*$O$5))</f>
        <v>0</v>
      </c>
      <c r="I456" s="13">
        <f t="shared" si="7"/>
        <v>7.17578</v>
      </c>
      <c r="J456" s="18">
        <f t="shared" si="8"/>
        <v>-0.1195963333</v>
      </c>
      <c r="K456" s="18">
        <f t="shared" si="10"/>
        <v>79.61530143</v>
      </c>
      <c r="L456" s="4"/>
      <c r="M456" s="4"/>
      <c r="N456" s="4"/>
      <c r="O456" s="4"/>
      <c r="P456" s="4"/>
      <c r="Q456" s="4"/>
      <c r="R456" s="4"/>
      <c r="S456" s="4"/>
      <c r="T456" s="4"/>
      <c r="U456" s="4"/>
      <c r="V456" s="4"/>
      <c r="W456" s="4"/>
    </row>
    <row r="457" ht="15.75" customHeight="1">
      <c r="A457" s="13">
        <f t="shared" si="9"/>
        <v>454</v>
      </c>
      <c r="B457" s="18">
        <f>A457/'Orbit Info'!$G$10</f>
        <v>4.798470901</v>
      </c>
      <c r="C457" s="13">
        <f t="shared" si="2"/>
        <v>1</v>
      </c>
      <c r="D457" s="13">
        <f t="shared" si="3"/>
        <v>0</v>
      </c>
      <c r="E457" s="13">
        <f t="shared" si="4"/>
        <v>0</v>
      </c>
      <c r="F457" s="13">
        <f t="shared" si="5"/>
        <v>0</v>
      </c>
      <c r="G457" s="13">
        <f t="shared" si="6"/>
        <v>1</v>
      </c>
      <c r="H457" s="13">
        <f>'Orbit Info'!C456*((C457*$O$2)+(D457*$O$3)+(E457*$O$4)+(F457*$O$5))</f>
        <v>0</v>
      </c>
      <c r="I457" s="13">
        <f t="shared" si="7"/>
        <v>7.17578</v>
      </c>
      <c r="J457" s="18">
        <f t="shared" si="8"/>
        <v>-0.1195963333</v>
      </c>
      <c r="K457" s="18">
        <f t="shared" si="10"/>
        <v>79.4957051</v>
      </c>
      <c r="L457" s="4"/>
      <c r="M457" s="4"/>
      <c r="N457" s="4"/>
      <c r="O457" s="4"/>
      <c r="P457" s="4"/>
      <c r="Q457" s="4"/>
      <c r="R457" s="4"/>
      <c r="S457" s="4"/>
      <c r="T457" s="4"/>
      <c r="U457" s="4"/>
      <c r="V457" s="4"/>
      <c r="W457" s="4"/>
    </row>
    <row r="458" ht="15.75" customHeight="1">
      <c r="A458" s="13">
        <f t="shared" si="9"/>
        <v>455</v>
      </c>
      <c r="B458" s="18">
        <f>A458/'Orbit Info'!$G$10</f>
        <v>4.80904022</v>
      </c>
      <c r="C458" s="13">
        <f t="shared" si="2"/>
        <v>1</v>
      </c>
      <c r="D458" s="13">
        <f t="shared" si="3"/>
        <v>0</v>
      </c>
      <c r="E458" s="13">
        <f t="shared" si="4"/>
        <v>0</v>
      </c>
      <c r="F458" s="13">
        <f t="shared" si="5"/>
        <v>0</v>
      </c>
      <c r="G458" s="13">
        <f t="shared" si="6"/>
        <v>1</v>
      </c>
      <c r="H458" s="13">
        <f>'Orbit Info'!C457*((C458*$O$2)+(D458*$O$3)+(E458*$O$4)+(F458*$O$5))</f>
        <v>0</v>
      </c>
      <c r="I458" s="13">
        <f t="shared" si="7"/>
        <v>7.17578</v>
      </c>
      <c r="J458" s="18">
        <f t="shared" si="8"/>
        <v>-0.1195963333</v>
      </c>
      <c r="K458" s="18">
        <f t="shared" si="10"/>
        <v>79.37610877</v>
      </c>
      <c r="L458" s="4"/>
      <c r="M458" s="4"/>
      <c r="N458" s="4"/>
      <c r="O458" s="4"/>
      <c r="P458" s="4"/>
      <c r="Q458" s="4"/>
      <c r="R458" s="4"/>
      <c r="S458" s="4"/>
      <c r="T458" s="4"/>
      <c r="U458" s="4"/>
      <c r="V458" s="4"/>
      <c r="W458" s="4"/>
    </row>
    <row r="459" ht="15.75" customHeight="1">
      <c r="A459" s="13">
        <f t="shared" si="9"/>
        <v>456</v>
      </c>
      <c r="B459" s="18">
        <f>A459/'Orbit Info'!$G$10</f>
        <v>4.81960954</v>
      </c>
      <c r="C459" s="13">
        <f t="shared" si="2"/>
        <v>1</v>
      </c>
      <c r="D459" s="13">
        <f t="shared" si="3"/>
        <v>0</v>
      </c>
      <c r="E459" s="13">
        <f t="shared" si="4"/>
        <v>0</v>
      </c>
      <c r="F459" s="13">
        <f t="shared" si="5"/>
        <v>0</v>
      </c>
      <c r="G459" s="13">
        <f t="shared" si="6"/>
        <v>1</v>
      </c>
      <c r="H459" s="13">
        <f>'Orbit Info'!C458*((C459*$O$2)+(D459*$O$3)+(E459*$O$4)+(F459*$O$5))</f>
        <v>0</v>
      </c>
      <c r="I459" s="13">
        <f t="shared" si="7"/>
        <v>7.17578</v>
      </c>
      <c r="J459" s="18">
        <f t="shared" si="8"/>
        <v>-0.1195963333</v>
      </c>
      <c r="K459" s="18">
        <f t="shared" si="10"/>
        <v>79.25651243</v>
      </c>
      <c r="L459" s="4"/>
      <c r="M459" s="4"/>
      <c r="N459" s="4"/>
      <c r="O459" s="4"/>
      <c r="P459" s="4"/>
      <c r="Q459" s="4"/>
      <c r="R459" s="4"/>
      <c r="S459" s="4"/>
      <c r="T459" s="4"/>
      <c r="U459" s="4"/>
      <c r="V459" s="4"/>
      <c r="W459" s="4"/>
    </row>
    <row r="460" ht="15.75" customHeight="1">
      <c r="A460" s="13">
        <f t="shared" si="9"/>
        <v>457</v>
      </c>
      <c r="B460" s="18">
        <f>A460/'Orbit Info'!$G$10</f>
        <v>4.830178859</v>
      </c>
      <c r="C460" s="13">
        <f t="shared" si="2"/>
        <v>1</v>
      </c>
      <c r="D460" s="13">
        <f t="shared" si="3"/>
        <v>0</v>
      </c>
      <c r="E460" s="13">
        <f t="shared" si="4"/>
        <v>0</v>
      </c>
      <c r="F460" s="13">
        <f t="shared" si="5"/>
        <v>0</v>
      </c>
      <c r="G460" s="13">
        <f t="shared" si="6"/>
        <v>1</v>
      </c>
      <c r="H460" s="13">
        <f>'Orbit Info'!C459*((C460*$O$2)+(D460*$O$3)+(E460*$O$4)+(F460*$O$5))</f>
        <v>0</v>
      </c>
      <c r="I460" s="13">
        <f t="shared" si="7"/>
        <v>7.17578</v>
      </c>
      <c r="J460" s="18">
        <f t="shared" si="8"/>
        <v>-0.1195963333</v>
      </c>
      <c r="K460" s="18">
        <f t="shared" si="10"/>
        <v>79.1369161</v>
      </c>
      <c r="L460" s="4"/>
      <c r="M460" s="4"/>
      <c r="N460" s="4"/>
      <c r="O460" s="4"/>
      <c r="P460" s="4"/>
      <c r="Q460" s="4"/>
      <c r="R460" s="4"/>
      <c r="S460" s="4"/>
      <c r="T460" s="4"/>
      <c r="U460" s="4"/>
      <c r="V460" s="4"/>
      <c r="W460" s="4"/>
    </row>
    <row r="461" ht="15.75" customHeight="1">
      <c r="A461" s="13">
        <f t="shared" si="9"/>
        <v>458</v>
      </c>
      <c r="B461" s="18">
        <f>A461/'Orbit Info'!$G$10</f>
        <v>4.840748178</v>
      </c>
      <c r="C461" s="13">
        <f t="shared" si="2"/>
        <v>1</v>
      </c>
      <c r="D461" s="13">
        <f t="shared" si="3"/>
        <v>0</v>
      </c>
      <c r="E461" s="13">
        <f t="shared" si="4"/>
        <v>0</v>
      </c>
      <c r="F461" s="13">
        <f t="shared" si="5"/>
        <v>0</v>
      </c>
      <c r="G461" s="13">
        <f t="shared" si="6"/>
        <v>1</v>
      </c>
      <c r="H461" s="13">
        <f>'Orbit Info'!C460*((C461*$O$2)+(D461*$O$3)+(E461*$O$4)+(F461*$O$5))</f>
        <v>0</v>
      </c>
      <c r="I461" s="13">
        <f t="shared" si="7"/>
        <v>7.17578</v>
      </c>
      <c r="J461" s="18">
        <f t="shared" si="8"/>
        <v>-0.1195963333</v>
      </c>
      <c r="K461" s="18">
        <f t="shared" si="10"/>
        <v>79.01731977</v>
      </c>
      <c r="L461" s="4"/>
      <c r="M461" s="4"/>
      <c r="N461" s="4"/>
      <c r="O461" s="4"/>
      <c r="P461" s="4"/>
      <c r="Q461" s="4"/>
      <c r="R461" s="4"/>
      <c r="S461" s="4"/>
      <c r="T461" s="4"/>
      <c r="U461" s="4"/>
      <c r="V461" s="4"/>
      <c r="W461" s="4"/>
    </row>
    <row r="462" ht="15.75" customHeight="1">
      <c r="A462" s="13">
        <f t="shared" si="9"/>
        <v>459</v>
      </c>
      <c r="B462" s="18">
        <f>A462/'Orbit Info'!$G$10</f>
        <v>4.851317497</v>
      </c>
      <c r="C462" s="13">
        <f t="shared" si="2"/>
        <v>1</v>
      </c>
      <c r="D462" s="13">
        <f t="shared" si="3"/>
        <v>0</v>
      </c>
      <c r="E462" s="13">
        <f t="shared" si="4"/>
        <v>0</v>
      </c>
      <c r="F462" s="13">
        <f t="shared" si="5"/>
        <v>0</v>
      </c>
      <c r="G462" s="13">
        <f t="shared" si="6"/>
        <v>1</v>
      </c>
      <c r="H462" s="13">
        <f>'Orbit Info'!C461*((C462*$O$2)+(D462*$O$3)+(E462*$O$4)+(F462*$O$5))</f>
        <v>0</v>
      </c>
      <c r="I462" s="13">
        <f t="shared" si="7"/>
        <v>7.17578</v>
      </c>
      <c r="J462" s="18">
        <f t="shared" si="8"/>
        <v>-0.1195963333</v>
      </c>
      <c r="K462" s="18">
        <f t="shared" si="10"/>
        <v>78.89772343</v>
      </c>
      <c r="L462" s="4"/>
      <c r="M462" s="4"/>
      <c r="N462" s="4"/>
      <c r="O462" s="4"/>
      <c r="P462" s="4"/>
      <c r="Q462" s="4"/>
      <c r="R462" s="4"/>
      <c r="S462" s="4"/>
      <c r="T462" s="4"/>
      <c r="U462" s="4"/>
      <c r="V462" s="4"/>
      <c r="W462" s="4"/>
    </row>
    <row r="463" ht="15.75" customHeight="1">
      <c r="A463" s="13">
        <f t="shared" si="9"/>
        <v>460</v>
      </c>
      <c r="B463" s="18">
        <f>A463/'Orbit Info'!$G$10</f>
        <v>4.861886816</v>
      </c>
      <c r="C463" s="13">
        <f t="shared" si="2"/>
        <v>1</v>
      </c>
      <c r="D463" s="13">
        <f t="shared" si="3"/>
        <v>0</v>
      </c>
      <c r="E463" s="13">
        <f t="shared" si="4"/>
        <v>0</v>
      </c>
      <c r="F463" s="13">
        <f t="shared" si="5"/>
        <v>0</v>
      </c>
      <c r="G463" s="13">
        <f t="shared" si="6"/>
        <v>1</v>
      </c>
      <c r="H463" s="13">
        <f>'Orbit Info'!C462*((C463*$O$2)+(D463*$O$3)+(E463*$O$4)+(F463*$O$5))</f>
        <v>0</v>
      </c>
      <c r="I463" s="13">
        <f t="shared" si="7"/>
        <v>7.17578</v>
      </c>
      <c r="J463" s="18">
        <f t="shared" si="8"/>
        <v>-0.1195963333</v>
      </c>
      <c r="K463" s="18">
        <f t="shared" si="10"/>
        <v>78.7781271</v>
      </c>
      <c r="L463" s="4"/>
      <c r="M463" s="4"/>
      <c r="N463" s="4"/>
      <c r="O463" s="4"/>
      <c r="P463" s="4"/>
      <c r="Q463" s="4"/>
      <c r="R463" s="4"/>
      <c r="S463" s="4"/>
      <c r="T463" s="4"/>
      <c r="U463" s="4"/>
      <c r="V463" s="4"/>
      <c r="W463" s="4"/>
    </row>
    <row r="464" ht="15.75" customHeight="1">
      <c r="A464" s="13">
        <f t="shared" si="9"/>
        <v>461</v>
      </c>
      <c r="B464" s="18">
        <f>A464/'Orbit Info'!$G$10</f>
        <v>4.872456135</v>
      </c>
      <c r="C464" s="13">
        <f t="shared" si="2"/>
        <v>1</v>
      </c>
      <c r="D464" s="13">
        <f t="shared" si="3"/>
        <v>0</v>
      </c>
      <c r="E464" s="13">
        <f t="shared" si="4"/>
        <v>0</v>
      </c>
      <c r="F464" s="13">
        <f t="shared" si="5"/>
        <v>0</v>
      </c>
      <c r="G464" s="13">
        <f t="shared" si="6"/>
        <v>1</v>
      </c>
      <c r="H464" s="13">
        <f>'Orbit Info'!C463*((C464*$O$2)+(D464*$O$3)+(E464*$O$4)+(F464*$O$5))</f>
        <v>0</v>
      </c>
      <c r="I464" s="13">
        <f t="shared" si="7"/>
        <v>7.17578</v>
      </c>
      <c r="J464" s="18">
        <f t="shared" si="8"/>
        <v>-0.1195963333</v>
      </c>
      <c r="K464" s="18">
        <f t="shared" si="10"/>
        <v>78.65853077</v>
      </c>
      <c r="L464" s="4"/>
      <c r="M464" s="4"/>
      <c r="N464" s="4"/>
      <c r="O464" s="4"/>
      <c r="P464" s="4"/>
      <c r="Q464" s="4"/>
      <c r="R464" s="4"/>
      <c r="S464" s="4"/>
      <c r="T464" s="4"/>
      <c r="U464" s="4"/>
      <c r="V464" s="4"/>
      <c r="W464" s="4"/>
    </row>
    <row r="465" ht="15.75" customHeight="1">
      <c r="A465" s="13">
        <f t="shared" si="9"/>
        <v>462</v>
      </c>
      <c r="B465" s="18">
        <f>A465/'Orbit Info'!$G$10</f>
        <v>4.883025455</v>
      </c>
      <c r="C465" s="13">
        <f t="shared" si="2"/>
        <v>1</v>
      </c>
      <c r="D465" s="13">
        <f t="shared" si="3"/>
        <v>0</v>
      </c>
      <c r="E465" s="13">
        <f t="shared" si="4"/>
        <v>0</v>
      </c>
      <c r="F465" s="13">
        <f t="shared" si="5"/>
        <v>0</v>
      </c>
      <c r="G465" s="13">
        <f t="shared" si="6"/>
        <v>1</v>
      </c>
      <c r="H465" s="13">
        <f>'Orbit Info'!C464*((C465*$O$2)+(D465*$O$3)+(E465*$O$4)+(F465*$O$5))</f>
        <v>0</v>
      </c>
      <c r="I465" s="13">
        <f t="shared" si="7"/>
        <v>7.17578</v>
      </c>
      <c r="J465" s="18">
        <f t="shared" si="8"/>
        <v>-0.1195963333</v>
      </c>
      <c r="K465" s="18">
        <f t="shared" si="10"/>
        <v>78.53893443</v>
      </c>
      <c r="L465" s="4"/>
      <c r="M465" s="4"/>
      <c r="N465" s="4"/>
      <c r="O465" s="4"/>
      <c r="P465" s="4"/>
      <c r="Q465" s="4"/>
      <c r="R465" s="4"/>
      <c r="S465" s="4"/>
      <c r="T465" s="4"/>
      <c r="U465" s="4"/>
      <c r="V465" s="4"/>
      <c r="W465" s="4"/>
    </row>
    <row r="466" ht="15.75" customHeight="1">
      <c r="A466" s="13">
        <f t="shared" si="9"/>
        <v>463</v>
      </c>
      <c r="B466" s="18">
        <f>A466/'Orbit Info'!$G$10</f>
        <v>4.893594774</v>
      </c>
      <c r="C466" s="13">
        <f t="shared" si="2"/>
        <v>1</v>
      </c>
      <c r="D466" s="13">
        <f t="shared" si="3"/>
        <v>0</v>
      </c>
      <c r="E466" s="13">
        <f t="shared" si="4"/>
        <v>0</v>
      </c>
      <c r="F466" s="13">
        <f t="shared" si="5"/>
        <v>0</v>
      </c>
      <c r="G466" s="13">
        <f t="shared" si="6"/>
        <v>1</v>
      </c>
      <c r="H466" s="13">
        <f>'Orbit Info'!C465*((C466*$O$2)+(D466*$O$3)+(E466*$O$4)+(F466*$O$5))</f>
        <v>0</v>
      </c>
      <c r="I466" s="13">
        <f t="shared" si="7"/>
        <v>7.17578</v>
      </c>
      <c r="J466" s="18">
        <f t="shared" si="8"/>
        <v>-0.1195963333</v>
      </c>
      <c r="K466" s="18">
        <f t="shared" si="10"/>
        <v>78.4193381</v>
      </c>
      <c r="L466" s="4"/>
      <c r="M466" s="4"/>
      <c r="N466" s="4"/>
      <c r="O466" s="4"/>
      <c r="P466" s="4"/>
      <c r="Q466" s="4"/>
      <c r="R466" s="4"/>
      <c r="S466" s="4"/>
      <c r="T466" s="4"/>
      <c r="U466" s="4"/>
      <c r="V466" s="4"/>
      <c r="W466" s="4"/>
    </row>
    <row r="467" ht="15.75" customHeight="1">
      <c r="A467" s="13">
        <f t="shared" si="9"/>
        <v>464</v>
      </c>
      <c r="B467" s="18">
        <f>A467/'Orbit Info'!$G$10</f>
        <v>4.904164093</v>
      </c>
      <c r="C467" s="13">
        <f t="shared" si="2"/>
        <v>1</v>
      </c>
      <c r="D467" s="13">
        <f t="shared" si="3"/>
        <v>0</v>
      </c>
      <c r="E467" s="13">
        <f t="shared" si="4"/>
        <v>0</v>
      </c>
      <c r="F467" s="13">
        <f t="shared" si="5"/>
        <v>0</v>
      </c>
      <c r="G467" s="13">
        <f t="shared" si="6"/>
        <v>1</v>
      </c>
      <c r="H467" s="13">
        <f>'Orbit Info'!C466*((C467*$O$2)+(D467*$O$3)+(E467*$O$4)+(F467*$O$5))</f>
        <v>0</v>
      </c>
      <c r="I467" s="13">
        <f t="shared" si="7"/>
        <v>7.17578</v>
      </c>
      <c r="J467" s="18">
        <f t="shared" si="8"/>
        <v>-0.1195963333</v>
      </c>
      <c r="K467" s="18">
        <f t="shared" si="10"/>
        <v>78.29974177</v>
      </c>
      <c r="L467" s="4"/>
      <c r="M467" s="4"/>
      <c r="N467" s="4"/>
      <c r="O467" s="4"/>
      <c r="P467" s="4"/>
      <c r="Q467" s="4"/>
      <c r="R467" s="4"/>
      <c r="S467" s="4"/>
      <c r="T467" s="4"/>
      <c r="U467" s="4"/>
      <c r="V467" s="4"/>
      <c r="W467" s="4"/>
    </row>
    <row r="468" ht="15.75" customHeight="1">
      <c r="A468" s="13">
        <f t="shared" si="9"/>
        <v>465</v>
      </c>
      <c r="B468" s="18">
        <f>A468/'Orbit Info'!$G$10</f>
        <v>4.914733412</v>
      </c>
      <c r="C468" s="13">
        <f t="shared" si="2"/>
        <v>1</v>
      </c>
      <c r="D468" s="13">
        <f t="shared" si="3"/>
        <v>0</v>
      </c>
      <c r="E468" s="13">
        <f t="shared" si="4"/>
        <v>0</v>
      </c>
      <c r="F468" s="13">
        <f t="shared" si="5"/>
        <v>0</v>
      </c>
      <c r="G468" s="13">
        <f t="shared" si="6"/>
        <v>1</v>
      </c>
      <c r="H468" s="13">
        <f>'Orbit Info'!C467*((C468*$O$2)+(D468*$O$3)+(E468*$O$4)+(F468*$O$5))</f>
        <v>0</v>
      </c>
      <c r="I468" s="13">
        <f t="shared" si="7"/>
        <v>7.17578</v>
      </c>
      <c r="J468" s="18">
        <f t="shared" si="8"/>
        <v>-0.1195963333</v>
      </c>
      <c r="K468" s="18">
        <f t="shared" si="10"/>
        <v>78.18014543</v>
      </c>
      <c r="L468" s="4"/>
      <c r="M468" s="4"/>
      <c r="N468" s="4"/>
      <c r="O468" s="4"/>
      <c r="P468" s="4"/>
      <c r="Q468" s="4"/>
      <c r="R468" s="4"/>
      <c r="S468" s="4"/>
      <c r="T468" s="4"/>
      <c r="U468" s="4"/>
      <c r="V468" s="4"/>
      <c r="W468" s="4"/>
    </row>
    <row r="469" ht="15.75" customHeight="1">
      <c r="A469" s="13">
        <f t="shared" si="9"/>
        <v>466</v>
      </c>
      <c r="B469" s="18">
        <f>A469/'Orbit Info'!$G$10</f>
        <v>4.925302731</v>
      </c>
      <c r="C469" s="13">
        <f t="shared" si="2"/>
        <v>1</v>
      </c>
      <c r="D469" s="13">
        <f t="shared" si="3"/>
        <v>0</v>
      </c>
      <c r="E469" s="13">
        <f t="shared" si="4"/>
        <v>0</v>
      </c>
      <c r="F469" s="13">
        <f t="shared" si="5"/>
        <v>0</v>
      </c>
      <c r="G469" s="13">
        <f t="shared" si="6"/>
        <v>1</v>
      </c>
      <c r="H469" s="13">
        <f>'Orbit Info'!C468*((C469*$O$2)+(D469*$O$3)+(E469*$O$4)+(F469*$O$5))</f>
        <v>0</v>
      </c>
      <c r="I469" s="13">
        <f t="shared" si="7"/>
        <v>7.17578</v>
      </c>
      <c r="J469" s="18">
        <f t="shared" si="8"/>
        <v>-0.1195963333</v>
      </c>
      <c r="K469" s="18">
        <f t="shared" si="10"/>
        <v>78.0605491</v>
      </c>
      <c r="L469" s="4"/>
      <c r="M469" s="4"/>
      <c r="N469" s="4"/>
      <c r="O469" s="4"/>
      <c r="P469" s="4"/>
      <c r="Q469" s="4"/>
      <c r="R469" s="4"/>
      <c r="S469" s="4"/>
      <c r="T469" s="4"/>
      <c r="U469" s="4"/>
      <c r="V469" s="4"/>
      <c r="W469" s="4"/>
    </row>
    <row r="470" ht="15.75" customHeight="1">
      <c r="A470" s="13">
        <f t="shared" si="9"/>
        <v>467</v>
      </c>
      <c r="B470" s="18">
        <f>A470/'Orbit Info'!$G$10</f>
        <v>4.93587205</v>
      </c>
      <c r="C470" s="13">
        <f t="shared" si="2"/>
        <v>1</v>
      </c>
      <c r="D470" s="13">
        <f t="shared" si="3"/>
        <v>0</v>
      </c>
      <c r="E470" s="13">
        <f t="shared" si="4"/>
        <v>0</v>
      </c>
      <c r="F470" s="13">
        <f t="shared" si="5"/>
        <v>0</v>
      </c>
      <c r="G470" s="13">
        <f t="shared" si="6"/>
        <v>1</v>
      </c>
      <c r="H470" s="13">
        <f>'Orbit Info'!C469*((C470*$O$2)+(D470*$O$3)+(E470*$O$4)+(F470*$O$5))</f>
        <v>0</v>
      </c>
      <c r="I470" s="13">
        <f t="shared" si="7"/>
        <v>7.17578</v>
      </c>
      <c r="J470" s="18">
        <f t="shared" si="8"/>
        <v>-0.1195963333</v>
      </c>
      <c r="K470" s="18">
        <f t="shared" si="10"/>
        <v>77.94095277</v>
      </c>
      <c r="L470" s="4"/>
      <c r="M470" s="4"/>
      <c r="N470" s="4"/>
      <c r="O470" s="4"/>
      <c r="P470" s="4"/>
      <c r="Q470" s="4"/>
      <c r="R470" s="4"/>
      <c r="S470" s="4"/>
      <c r="T470" s="4"/>
      <c r="U470" s="4"/>
      <c r="V470" s="4"/>
      <c r="W470" s="4"/>
    </row>
    <row r="471" ht="15.75" customHeight="1">
      <c r="A471" s="13">
        <f t="shared" si="9"/>
        <v>468</v>
      </c>
      <c r="B471" s="18">
        <f>A471/'Orbit Info'!$G$10</f>
        <v>4.94644137</v>
      </c>
      <c r="C471" s="13">
        <f t="shared" si="2"/>
        <v>1</v>
      </c>
      <c r="D471" s="13">
        <f t="shared" si="3"/>
        <v>0</v>
      </c>
      <c r="E471" s="13">
        <f t="shared" si="4"/>
        <v>0</v>
      </c>
      <c r="F471" s="13">
        <f t="shared" si="5"/>
        <v>0</v>
      </c>
      <c r="G471" s="13">
        <f t="shared" si="6"/>
        <v>1</v>
      </c>
      <c r="H471" s="13">
        <f>'Orbit Info'!C470*((C471*$O$2)+(D471*$O$3)+(E471*$O$4)+(F471*$O$5))</f>
        <v>0</v>
      </c>
      <c r="I471" s="13">
        <f t="shared" si="7"/>
        <v>7.17578</v>
      </c>
      <c r="J471" s="18">
        <f t="shared" si="8"/>
        <v>-0.1195963333</v>
      </c>
      <c r="K471" s="18">
        <f t="shared" si="10"/>
        <v>77.82135643</v>
      </c>
      <c r="L471" s="4"/>
      <c r="M471" s="4"/>
      <c r="N471" s="4"/>
      <c r="O471" s="4"/>
      <c r="P471" s="4"/>
      <c r="Q471" s="4"/>
      <c r="R471" s="4"/>
      <c r="S471" s="4"/>
      <c r="T471" s="4"/>
      <c r="U471" s="4"/>
      <c r="V471" s="4"/>
      <c r="W471" s="4"/>
    </row>
    <row r="472" ht="15.75" customHeight="1">
      <c r="A472" s="13">
        <f t="shared" si="9"/>
        <v>469</v>
      </c>
      <c r="B472" s="18">
        <f>A472/'Orbit Info'!$G$10</f>
        <v>4.957010689</v>
      </c>
      <c r="C472" s="13">
        <f t="shared" si="2"/>
        <v>1</v>
      </c>
      <c r="D472" s="13">
        <f t="shared" si="3"/>
        <v>0</v>
      </c>
      <c r="E472" s="13">
        <f t="shared" si="4"/>
        <v>0</v>
      </c>
      <c r="F472" s="13">
        <f t="shared" si="5"/>
        <v>0</v>
      </c>
      <c r="G472" s="13">
        <f t="shared" si="6"/>
        <v>1</v>
      </c>
      <c r="H472" s="13">
        <f>'Orbit Info'!C471*((C472*$O$2)+(D472*$O$3)+(E472*$O$4)+(F472*$O$5))</f>
        <v>0</v>
      </c>
      <c r="I472" s="13">
        <f t="shared" si="7"/>
        <v>7.17578</v>
      </c>
      <c r="J472" s="18">
        <f t="shared" si="8"/>
        <v>-0.1195963333</v>
      </c>
      <c r="K472" s="18">
        <f t="shared" si="10"/>
        <v>77.7017601</v>
      </c>
      <c r="L472" s="4"/>
      <c r="M472" s="4"/>
      <c r="N472" s="4"/>
      <c r="O472" s="4"/>
      <c r="P472" s="4"/>
      <c r="Q472" s="4"/>
      <c r="R472" s="4"/>
      <c r="S472" s="4"/>
      <c r="T472" s="4"/>
      <c r="U472" s="4"/>
      <c r="V472" s="4"/>
      <c r="W472" s="4"/>
    </row>
    <row r="473" ht="15.75" customHeight="1">
      <c r="A473" s="13">
        <f t="shared" si="9"/>
        <v>470</v>
      </c>
      <c r="B473" s="18">
        <f>A473/'Orbit Info'!$G$10</f>
        <v>4.967580008</v>
      </c>
      <c r="C473" s="13">
        <f t="shared" si="2"/>
        <v>1</v>
      </c>
      <c r="D473" s="13">
        <f t="shared" si="3"/>
        <v>0</v>
      </c>
      <c r="E473" s="13">
        <f t="shared" si="4"/>
        <v>0</v>
      </c>
      <c r="F473" s="13">
        <f t="shared" si="5"/>
        <v>0</v>
      </c>
      <c r="G473" s="13">
        <f t="shared" si="6"/>
        <v>1</v>
      </c>
      <c r="H473" s="13">
        <f>'Orbit Info'!C472*((C473*$O$2)+(D473*$O$3)+(E473*$O$4)+(F473*$O$5))</f>
        <v>0</v>
      </c>
      <c r="I473" s="13">
        <f t="shared" si="7"/>
        <v>7.17578</v>
      </c>
      <c r="J473" s="18">
        <f t="shared" si="8"/>
        <v>-0.1195963333</v>
      </c>
      <c r="K473" s="18">
        <f t="shared" si="10"/>
        <v>77.58216377</v>
      </c>
      <c r="L473" s="4"/>
      <c r="M473" s="4"/>
      <c r="N473" s="4"/>
      <c r="O473" s="4"/>
      <c r="P473" s="4"/>
      <c r="Q473" s="4"/>
      <c r="R473" s="4"/>
      <c r="S473" s="4"/>
      <c r="T473" s="4"/>
      <c r="U473" s="4"/>
      <c r="V473" s="4"/>
      <c r="W473" s="4"/>
    </row>
    <row r="474" ht="15.75" customHeight="1">
      <c r="A474" s="13">
        <f t="shared" si="9"/>
        <v>471</v>
      </c>
      <c r="B474" s="18">
        <f>A474/'Orbit Info'!$G$10</f>
        <v>4.978149327</v>
      </c>
      <c r="C474" s="13">
        <f t="shared" si="2"/>
        <v>1</v>
      </c>
      <c r="D474" s="13">
        <f t="shared" si="3"/>
        <v>0</v>
      </c>
      <c r="E474" s="13">
        <f t="shared" si="4"/>
        <v>0</v>
      </c>
      <c r="F474" s="13">
        <f t="shared" si="5"/>
        <v>0</v>
      </c>
      <c r="G474" s="13">
        <f t="shared" si="6"/>
        <v>1</v>
      </c>
      <c r="H474" s="13">
        <f>'Orbit Info'!C473*((C474*$O$2)+(D474*$O$3)+(E474*$O$4)+(F474*$O$5))</f>
        <v>0</v>
      </c>
      <c r="I474" s="13">
        <f t="shared" si="7"/>
        <v>7.17578</v>
      </c>
      <c r="J474" s="18">
        <f t="shared" si="8"/>
        <v>-0.1195963333</v>
      </c>
      <c r="K474" s="18">
        <f t="shared" si="10"/>
        <v>77.46256743</v>
      </c>
      <c r="L474" s="4"/>
      <c r="M474" s="4"/>
      <c r="N474" s="4"/>
      <c r="O474" s="4"/>
      <c r="P474" s="4"/>
      <c r="Q474" s="4"/>
      <c r="R474" s="4"/>
      <c r="S474" s="4"/>
      <c r="T474" s="4"/>
      <c r="U474" s="4"/>
      <c r="V474" s="4"/>
      <c r="W474" s="4"/>
    </row>
    <row r="475" ht="15.75" customHeight="1">
      <c r="A475" s="13">
        <f t="shared" si="9"/>
        <v>472</v>
      </c>
      <c r="B475" s="18">
        <f>A475/'Orbit Info'!$G$10</f>
        <v>4.988718646</v>
      </c>
      <c r="C475" s="13">
        <f t="shared" si="2"/>
        <v>1</v>
      </c>
      <c r="D475" s="13">
        <f t="shared" si="3"/>
        <v>0</v>
      </c>
      <c r="E475" s="13">
        <f t="shared" si="4"/>
        <v>0</v>
      </c>
      <c r="F475" s="13">
        <f t="shared" si="5"/>
        <v>0</v>
      </c>
      <c r="G475" s="13">
        <f t="shared" si="6"/>
        <v>1</v>
      </c>
      <c r="H475" s="13">
        <f>'Orbit Info'!C474*((C475*$O$2)+(D475*$O$3)+(E475*$O$4)+(F475*$O$5))</f>
        <v>0</v>
      </c>
      <c r="I475" s="13">
        <f t="shared" si="7"/>
        <v>7.17578</v>
      </c>
      <c r="J475" s="18">
        <f t="shared" si="8"/>
        <v>-0.1195963333</v>
      </c>
      <c r="K475" s="18">
        <f t="shared" si="10"/>
        <v>77.3429711</v>
      </c>
      <c r="L475" s="4"/>
      <c r="M475" s="4"/>
      <c r="N475" s="4"/>
      <c r="O475" s="4"/>
      <c r="P475" s="4"/>
      <c r="Q475" s="4"/>
      <c r="R475" s="4"/>
      <c r="S475" s="4"/>
      <c r="T475" s="4"/>
      <c r="U475" s="4"/>
      <c r="V475" s="4"/>
      <c r="W475" s="4"/>
    </row>
    <row r="476" ht="15.75" customHeight="1">
      <c r="A476" s="13">
        <f t="shared" si="9"/>
        <v>473</v>
      </c>
      <c r="B476" s="18">
        <f>A476/'Orbit Info'!$G$10</f>
        <v>4.999287965</v>
      </c>
      <c r="C476" s="13">
        <f t="shared" si="2"/>
        <v>1</v>
      </c>
      <c r="D476" s="13">
        <f t="shared" si="3"/>
        <v>0</v>
      </c>
      <c r="E476" s="13">
        <f t="shared" si="4"/>
        <v>0</v>
      </c>
      <c r="F476" s="13">
        <f t="shared" si="5"/>
        <v>0</v>
      </c>
      <c r="G476" s="13">
        <f t="shared" si="6"/>
        <v>1</v>
      </c>
      <c r="H476" s="13">
        <f>'Orbit Info'!C475*((C476*$O$2)+(D476*$O$3)+(E476*$O$4)+(F476*$O$5))</f>
        <v>0</v>
      </c>
      <c r="I476" s="13">
        <f t="shared" si="7"/>
        <v>7.17578</v>
      </c>
      <c r="J476" s="18">
        <f t="shared" si="8"/>
        <v>-0.1195963333</v>
      </c>
      <c r="K476" s="18">
        <f t="shared" si="10"/>
        <v>77.22337477</v>
      </c>
      <c r="L476" s="4"/>
      <c r="M476" s="4"/>
      <c r="N476" s="4"/>
      <c r="O476" s="4"/>
      <c r="P476" s="4"/>
      <c r="Q476" s="4"/>
      <c r="R476" s="4"/>
      <c r="S476" s="4"/>
      <c r="T476" s="4"/>
      <c r="U476" s="4"/>
      <c r="V476" s="4"/>
      <c r="W476" s="4"/>
    </row>
    <row r="477" ht="15.75" customHeight="1">
      <c r="A477" s="13">
        <f t="shared" si="9"/>
        <v>474</v>
      </c>
      <c r="B477" s="18">
        <f>A477/'Orbit Info'!$G$10</f>
        <v>5.009857285</v>
      </c>
      <c r="C477" s="13">
        <f t="shared" si="2"/>
        <v>1</v>
      </c>
      <c r="D477" s="13">
        <f t="shared" si="3"/>
        <v>0</v>
      </c>
      <c r="E477" s="13">
        <f t="shared" si="4"/>
        <v>0</v>
      </c>
      <c r="F477" s="13">
        <f t="shared" si="5"/>
        <v>0</v>
      </c>
      <c r="G477" s="13">
        <f t="shared" si="6"/>
        <v>1</v>
      </c>
      <c r="H477" s="13">
        <f>'Orbit Info'!C476*((C477*$O$2)+(D477*$O$3)+(E477*$O$4)+(F477*$O$5))</f>
        <v>15.628032</v>
      </c>
      <c r="I477" s="13">
        <f t="shared" si="7"/>
        <v>7.17578</v>
      </c>
      <c r="J477" s="18">
        <f t="shared" si="8"/>
        <v>0.1408708667</v>
      </c>
      <c r="K477" s="18">
        <f t="shared" si="10"/>
        <v>77.36424563</v>
      </c>
      <c r="L477" s="4"/>
      <c r="M477" s="4"/>
      <c r="N477" s="4"/>
      <c r="O477" s="4"/>
      <c r="P477" s="4"/>
      <c r="Q477" s="4"/>
      <c r="R477" s="4"/>
      <c r="S477" s="4"/>
      <c r="T477" s="4"/>
      <c r="U477" s="4"/>
      <c r="V477" s="4"/>
      <c r="W477" s="4"/>
    </row>
    <row r="478" ht="15.75" customHeight="1">
      <c r="A478" s="13">
        <f t="shared" si="9"/>
        <v>475</v>
      </c>
      <c r="B478" s="18">
        <f>A478/'Orbit Info'!$G$10</f>
        <v>5.020426604</v>
      </c>
      <c r="C478" s="13">
        <f t="shared" si="2"/>
        <v>1</v>
      </c>
      <c r="D478" s="13">
        <f t="shared" si="3"/>
        <v>0</v>
      </c>
      <c r="E478" s="13">
        <f t="shared" si="4"/>
        <v>0</v>
      </c>
      <c r="F478" s="13">
        <f t="shared" si="5"/>
        <v>0</v>
      </c>
      <c r="G478" s="13">
        <f t="shared" si="6"/>
        <v>1</v>
      </c>
      <c r="H478" s="13">
        <f>'Orbit Info'!C477*((C478*$O$2)+(D478*$O$3)+(E478*$O$4)+(F478*$O$5))</f>
        <v>15.628032</v>
      </c>
      <c r="I478" s="13">
        <f t="shared" si="7"/>
        <v>7.17578</v>
      </c>
      <c r="J478" s="18">
        <f t="shared" si="8"/>
        <v>0.1408708667</v>
      </c>
      <c r="K478" s="18">
        <f t="shared" si="10"/>
        <v>77.5051165</v>
      </c>
      <c r="L478" s="4"/>
      <c r="M478" s="4"/>
      <c r="N478" s="4"/>
      <c r="O478" s="4"/>
      <c r="P478" s="4"/>
      <c r="Q478" s="4"/>
      <c r="R478" s="4"/>
      <c r="S478" s="4"/>
      <c r="T478" s="4"/>
      <c r="U478" s="4"/>
      <c r="V478" s="4"/>
      <c r="W478" s="4"/>
    </row>
    <row r="479" ht="15.75" customHeight="1">
      <c r="A479" s="13">
        <f t="shared" si="9"/>
        <v>476</v>
      </c>
      <c r="B479" s="18">
        <f>A479/'Orbit Info'!$G$10</f>
        <v>5.030995923</v>
      </c>
      <c r="C479" s="13">
        <f t="shared" si="2"/>
        <v>1</v>
      </c>
      <c r="D479" s="13">
        <f t="shared" si="3"/>
        <v>0</v>
      </c>
      <c r="E479" s="13">
        <f t="shared" si="4"/>
        <v>0</v>
      </c>
      <c r="F479" s="13">
        <f t="shared" si="5"/>
        <v>0</v>
      </c>
      <c r="G479" s="13">
        <f t="shared" si="6"/>
        <v>1</v>
      </c>
      <c r="H479" s="13">
        <f>'Orbit Info'!C478*((C479*$O$2)+(D479*$O$3)+(E479*$O$4)+(F479*$O$5))</f>
        <v>15.628032</v>
      </c>
      <c r="I479" s="13">
        <f t="shared" si="7"/>
        <v>7.17578</v>
      </c>
      <c r="J479" s="18">
        <f t="shared" si="8"/>
        <v>0.1408708667</v>
      </c>
      <c r="K479" s="18">
        <f t="shared" si="10"/>
        <v>77.64598737</v>
      </c>
      <c r="L479" s="4"/>
      <c r="M479" s="4"/>
      <c r="N479" s="4"/>
      <c r="O479" s="4"/>
      <c r="P479" s="4"/>
      <c r="Q479" s="4"/>
      <c r="R479" s="4"/>
      <c r="S479" s="4"/>
      <c r="T479" s="4"/>
      <c r="U479" s="4"/>
      <c r="V479" s="4"/>
      <c r="W479" s="4"/>
    </row>
    <row r="480" ht="15.75" customHeight="1">
      <c r="A480" s="13">
        <f t="shared" si="9"/>
        <v>477</v>
      </c>
      <c r="B480" s="18">
        <f>A480/'Orbit Info'!$G$10</f>
        <v>5.041565242</v>
      </c>
      <c r="C480" s="13">
        <f t="shared" si="2"/>
        <v>1</v>
      </c>
      <c r="D480" s="13">
        <f t="shared" si="3"/>
        <v>0</v>
      </c>
      <c r="E480" s="13">
        <f t="shared" si="4"/>
        <v>0</v>
      </c>
      <c r="F480" s="13">
        <f t="shared" si="5"/>
        <v>0</v>
      </c>
      <c r="G480" s="13">
        <f t="shared" si="6"/>
        <v>1</v>
      </c>
      <c r="H480" s="13">
        <f>'Orbit Info'!C479*((C480*$O$2)+(D480*$O$3)+(E480*$O$4)+(F480*$O$5))</f>
        <v>15.628032</v>
      </c>
      <c r="I480" s="13">
        <f t="shared" si="7"/>
        <v>7.17578</v>
      </c>
      <c r="J480" s="18">
        <f t="shared" si="8"/>
        <v>0.1408708667</v>
      </c>
      <c r="K480" s="18">
        <f t="shared" si="10"/>
        <v>77.78685823</v>
      </c>
      <c r="L480" s="4"/>
      <c r="M480" s="4"/>
      <c r="N480" s="4"/>
      <c r="O480" s="4"/>
      <c r="P480" s="4"/>
      <c r="Q480" s="4"/>
      <c r="R480" s="4"/>
      <c r="S480" s="4"/>
      <c r="T480" s="4"/>
      <c r="U480" s="4"/>
      <c r="V480" s="4"/>
      <c r="W480" s="4"/>
    </row>
    <row r="481" ht="15.75" customHeight="1">
      <c r="A481" s="13">
        <f t="shared" si="9"/>
        <v>478</v>
      </c>
      <c r="B481" s="18">
        <f>A481/'Orbit Info'!$G$10</f>
        <v>5.052134561</v>
      </c>
      <c r="C481" s="13">
        <f t="shared" si="2"/>
        <v>1</v>
      </c>
      <c r="D481" s="13">
        <f t="shared" si="3"/>
        <v>0</v>
      </c>
      <c r="E481" s="13">
        <f t="shared" si="4"/>
        <v>0</v>
      </c>
      <c r="F481" s="13">
        <f t="shared" si="5"/>
        <v>0</v>
      </c>
      <c r="G481" s="13">
        <f t="shared" si="6"/>
        <v>1</v>
      </c>
      <c r="H481" s="13">
        <f>'Orbit Info'!C480*((C481*$O$2)+(D481*$O$3)+(E481*$O$4)+(F481*$O$5))</f>
        <v>15.628032</v>
      </c>
      <c r="I481" s="13">
        <f t="shared" si="7"/>
        <v>7.17578</v>
      </c>
      <c r="J481" s="18">
        <f t="shared" si="8"/>
        <v>0.1408708667</v>
      </c>
      <c r="K481" s="18">
        <f t="shared" si="10"/>
        <v>77.9277291</v>
      </c>
      <c r="L481" s="4"/>
      <c r="M481" s="4"/>
      <c r="N481" s="4"/>
      <c r="O481" s="4"/>
      <c r="P481" s="4"/>
      <c r="Q481" s="4"/>
      <c r="R481" s="4"/>
      <c r="S481" s="4"/>
      <c r="T481" s="4"/>
      <c r="U481" s="4"/>
      <c r="V481" s="4"/>
      <c r="W481" s="4"/>
    </row>
    <row r="482" ht="15.75" customHeight="1">
      <c r="A482" s="13">
        <f t="shared" si="9"/>
        <v>479</v>
      </c>
      <c r="B482" s="18">
        <f>A482/'Orbit Info'!$G$10</f>
        <v>5.06270388</v>
      </c>
      <c r="C482" s="13">
        <f t="shared" si="2"/>
        <v>1</v>
      </c>
      <c r="D482" s="13">
        <f t="shared" si="3"/>
        <v>0</v>
      </c>
      <c r="E482" s="13">
        <f t="shared" si="4"/>
        <v>0</v>
      </c>
      <c r="F482" s="13">
        <f t="shared" si="5"/>
        <v>0</v>
      </c>
      <c r="G482" s="13">
        <f t="shared" si="6"/>
        <v>1</v>
      </c>
      <c r="H482" s="13">
        <f>'Orbit Info'!C481*((C482*$O$2)+(D482*$O$3)+(E482*$O$4)+(F482*$O$5))</f>
        <v>15.628032</v>
      </c>
      <c r="I482" s="13">
        <f t="shared" si="7"/>
        <v>7.17578</v>
      </c>
      <c r="J482" s="18">
        <f t="shared" si="8"/>
        <v>0.1408708667</v>
      </c>
      <c r="K482" s="18">
        <f t="shared" si="10"/>
        <v>78.06859997</v>
      </c>
      <c r="L482" s="4"/>
      <c r="M482" s="4"/>
      <c r="N482" s="4"/>
      <c r="O482" s="4"/>
      <c r="P482" s="4"/>
      <c r="Q482" s="4"/>
      <c r="R482" s="4"/>
      <c r="S482" s="4"/>
      <c r="T482" s="4"/>
      <c r="U482" s="4"/>
      <c r="V482" s="4"/>
      <c r="W482" s="4"/>
    </row>
    <row r="483" ht="15.75" customHeight="1">
      <c r="A483" s="13">
        <f t="shared" si="9"/>
        <v>480</v>
      </c>
      <c r="B483" s="18">
        <f>A483/'Orbit Info'!$G$10</f>
        <v>5.0732732</v>
      </c>
      <c r="C483" s="13">
        <f t="shared" si="2"/>
        <v>1</v>
      </c>
      <c r="D483" s="13">
        <f t="shared" si="3"/>
        <v>0</v>
      </c>
      <c r="E483" s="13">
        <f t="shared" si="4"/>
        <v>0</v>
      </c>
      <c r="F483" s="13">
        <f t="shared" si="5"/>
        <v>0</v>
      </c>
      <c r="G483" s="13">
        <f t="shared" si="6"/>
        <v>1</v>
      </c>
      <c r="H483" s="13">
        <f>'Orbit Info'!C482*((C483*$O$2)+(D483*$O$3)+(E483*$O$4)+(F483*$O$5))</f>
        <v>15.628032</v>
      </c>
      <c r="I483" s="13">
        <f t="shared" si="7"/>
        <v>7.17578</v>
      </c>
      <c r="J483" s="18">
        <f t="shared" si="8"/>
        <v>0.1408708667</v>
      </c>
      <c r="K483" s="18">
        <f t="shared" si="10"/>
        <v>78.20947083</v>
      </c>
      <c r="L483" s="4"/>
      <c r="M483" s="4"/>
      <c r="N483" s="4"/>
      <c r="O483" s="4"/>
      <c r="P483" s="4"/>
      <c r="Q483" s="4"/>
      <c r="R483" s="4"/>
      <c r="S483" s="4"/>
      <c r="T483" s="4"/>
      <c r="U483" s="4"/>
      <c r="V483" s="4"/>
      <c r="W483" s="4"/>
    </row>
    <row r="484" ht="15.75" customHeight="1">
      <c r="A484" s="13">
        <f t="shared" si="9"/>
        <v>481</v>
      </c>
      <c r="B484" s="18">
        <f>A484/'Orbit Info'!$G$10</f>
        <v>5.083842519</v>
      </c>
      <c r="C484" s="13">
        <f t="shared" si="2"/>
        <v>1</v>
      </c>
      <c r="D484" s="13">
        <f t="shared" si="3"/>
        <v>0</v>
      </c>
      <c r="E484" s="13">
        <f t="shared" si="4"/>
        <v>0</v>
      </c>
      <c r="F484" s="13">
        <f t="shared" si="5"/>
        <v>0</v>
      </c>
      <c r="G484" s="13">
        <f t="shared" si="6"/>
        <v>1</v>
      </c>
      <c r="H484" s="13">
        <f>'Orbit Info'!C483*((C484*$O$2)+(D484*$O$3)+(E484*$O$4)+(F484*$O$5))</f>
        <v>15.628032</v>
      </c>
      <c r="I484" s="13">
        <f t="shared" si="7"/>
        <v>7.17578</v>
      </c>
      <c r="J484" s="18">
        <f t="shared" si="8"/>
        <v>0.1408708667</v>
      </c>
      <c r="K484" s="18">
        <f t="shared" si="10"/>
        <v>78.3503417</v>
      </c>
      <c r="L484" s="4"/>
      <c r="M484" s="4"/>
      <c r="N484" s="4"/>
      <c r="O484" s="4"/>
      <c r="P484" s="4"/>
      <c r="Q484" s="4"/>
      <c r="R484" s="4"/>
      <c r="S484" s="4"/>
      <c r="T484" s="4"/>
      <c r="U484" s="4"/>
      <c r="V484" s="4"/>
      <c r="W484" s="4"/>
    </row>
    <row r="485" ht="15.75" customHeight="1">
      <c r="A485" s="13">
        <f t="shared" si="9"/>
        <v>482</v>
      </c>
      <c r="B485" s="18">
        <f>A485/'Orbit Info'!$G$10</f>
        <v>5.094411838</v>
      </c>
      <c r="C485" s="13">
        <f t="shared" si="2"/>
        <v>1</v>
      </c>
      <c r="D485" s="13">
        <f t="shared" si="3"/>
        <v>0</v>
      </c>
      <c r="E485" s="13">
        <f t="shared" si="4"/>
        <v>0</v>
      </c>
      <c r="F485" s="13">
        <f t="shared" si="5"/>
        <v>0</v>
      </c>
      <c r="G485" s="13">
        <f t="shared" si="6"/>
        <v>1</v>
      </c>
      <c r="H485" s="13">
        <f>'Orbit Info'!C484*((C485*$O$2)+(D485*$O$3)+(E485*$O$4)+(F485*$O$5))</f>
        <v>15.628032</v>
      </c>
      <c r="I485" s="13">
        <f t="shared" si="7"/>
        <v>7.17578</v>
      </c>
      <c r="J485" s="18">
        <f t="shared" si="8"/>
        <v>0.1408708667</v>
      </c>
      <c r="K485" s="18">
        <f t="shared" si="10"/>
        <v>78.49121257</v>
      </c>
      <c r="L485" s="4"/>
      <c r="M485" s="4"/>
      <c r="N485" s="4"/>
      <c r="O485" s="4"/>
      <c r="P485" s="4"/>
      <c r="Q485" s="4"/>
      <c r="R485" s="4"/>
      <c r="S485" s="4"/>
      <c r="T485" s="4"/>
      <c r="U485" s="4"/>
      <c r="V485" s="4"/>
      <c r="W485" s="4"/>
    </row>
    <row r="486" ht="15.75" customHeight="1">
      <c r="A486" s="13">
        <f t="shared" si="9"/>
        <v>483</v>
      </c>
      <c r="B486" s="18">
        <f>A486/'Orbit Info'!$G$10</f>
        <v>5.104981157</v>
      </c>
      <c r="C486" s="13">
        <f t="shared" si="2"/>
        <v>1</v>
      </c>
      <c r="D486" s="13">
        <f t="shared" si="3"/>
        <v>0</v>
      </c>
      <c r="E486" s="13">
        <f t="shared" si="4"/>
        <v>0</v>
      </c>
      <c r="F486" s="13">
        <f t="shared" si="5"/>
        <v>0</v>
      </c>
      <c r="G486" s="13">
        <f t="shared" si="6"/>
        <v>1</v>
      </c>
      <c r="H486" s="13">
        <f>'Orbit Info'!C485*((C486*$O$2)+(D486*$O$3)+(E486*$O$4)+(F486*$O$5))</f>
        <v>15.628032</v>
      </c>
      <c r="I486" s="13">
        <f t="shared" si="7"/>
        <v>7.17578</v>
      </c>
      <c r="J486" s="18">
        <f t="shared" si="8"/>
        <v>0.1408708667</v>
      </c>
      <c r="K486" s="18">
        <f t="shared" si="10"/>
        <v>78.63208343</v>
      </c>
      <c r="L486" s="4"/>
      <c r="M486" s="4"/>
      <c r="N486" s="4"/>
      <c r="O486" s="4"/>
      <c r="P486" s="4"/>
      <c r="Q486" s="4"/>
      <c r="R486" s="4"/>
      <c r="S486" s="4"/>
      <c r="T486" s="4"/>
      <c r="U486" s="4"/>
      <c r="V486" s="4"/>
      <c r="W486" s="4"/>
    </row>
    <row r="487" ht="15.75" customHeight="1">
      <c r="A487" s="13">
        <f t="shared" si="9"/>
        <v>484</v>
      </c>
      <c r="B487" s="18">
        <f>A487/'Orbit Info'!$G$10</f>
        <v>5.115550476</v>
      </c>
      <c r="C487" s="13">
        <f t="shared" si="2"/>
        <v>1</v>
      </c>
      <c r="D487" s="13">
        <f t="shared" si="3"/>
        <v>0</v>
      </c>
      <c r="E487" s="13">
        <f t="shared" si="4"/>
        <v>0</v>
      </c>
      <c r="F487" s="13">
        <f t="shared" si="5"/>
        <v>0</v>
      </c>
      <c r="G487" s="13">
        <f t="shared" si="6"/>
        <v>1</v>
      </c>
      <c r="H487" s="13">
        <f>'Orbit Info'!C486*((C487*$O$2)+(D487*$O$3)+(E487*$O$4)+(F487*$O$5))</f>
        <v>15.628032</v>
      </c>
      <c r="I487" s="13">
        <f t="shared" si="7"/>
        <v>7.17578</v>
      </c>
      <c r="J487" s="18">
        <f t="shared" si="8"/>
        <v>0.1408708667</v>
      </c>
      <c r="K487" s="18">
        <f t="shared" si="10"/>
        <v>78.7729543</v>
      </c>
      <c r="L487" s="4"/>
      <c r="M487" s="4"/>
      <c r="N487" s="4"/>
      <c r="O487" s="4"/>
      <c r="P487" s="4"/>
      <c r="Q487" s="4"/>
      <c r="R487" s="4"/>
      <c r="S487" s="4"/>
      <c r="T487" s="4"/>
      <c r="U487" s="4"/>
      <c r="V487" s="4"/>
      <c r="W487" s="4"/>
    </row>
    <row r="488" ht="15.75" customHeight="1">
      <c r="A488" s="13">
        <f t="shared" si="9"/>
        <v>485</v>
      </c>
      <c r="B488" s="18">
        <f>A488/'Orbit Info'!$G$10</f>
        <v>5.126119795</v>
      </c>
      <c r="C488" s="13">
        <f t="shared" si="2"/>
        <v>1</v>
      </c>
      <c r="D488" s="13">
        <f t="shared" si="3"/>
        <v>0</v>
      </c>
      <c r="E488" s="13">
        <f t="shared" si="4"/>
        <v>0</v>
      </c>
      <c r="F488" s="13">
        <f t="shared" si="5"/>
        <v>0</v>
      </c>
      <c r="G488" s="13">
        <f t="shared" si="6"/>
        <v>1</v>
      </c>
      <c r="H488" s="13">
        <f>'Orbit Info'!C487*((C488*$O$2)+(D488*$O$3)+(E488*$O$4)+(F488*$O$5))</f>
        <v>15.628032</v>
      </c>
      <c r="I488" s="13">
        <f t="shared" si="7"/>
        <v>7.17578</v>
      </c>
      <c r="J488" s="18">
        <f t="shared" si="8"/>
        <v>0.1408708667</v>
      </c>
      <c r="K488" s="18">
        <f t="shared" si="10"/>
        <v>78.91382517</v>
      </c>
      <c r="L488" s="4"/>
      <c r="M488" s="4"/>
      <c r="N488" s="4"/>
      <c r="O488" s="4"/>
      <c r="P488" s="4"/>
      <c r="Q488" s="4"/>
      <c r="R488" s="4"/>
      <c r="S488" s="4"/>
      <c r="T488" s="4"/>
      <c r="U488" s="4"/>
      <c r="V488" s="4"/>
      <c r="W488" s="4"/>
    </row>
    <row r="489" ht="15.75" customHeight="1">
      <c r="A489" s="13">
        <f t="shared" si="9"/>
        <v>486</v>
      </c>
      <c r="B489" s="18">
        <f>A489/'Orbit Info'!$G$10</f>
        <v>5.136689115</v>
      </c>
      <c r="C489" s="13">
        <f t="shared" si="2"/>
        <v>1</v>
      </c>
      <c r="D489" s="13">
        <f t="shared" si="3"/>
        <v>0</v>
      </c>
      <c r="E489" s="13">
        <f t="shared" si="4"/>
        <v>0</v>
      </c>
      <c r="F489" s="13">
        <f t="shared" si="5"/>
        <v>0</v>
      </c>
      <c r="G489" s="13">
        <f t="shared" si="6"/>
        <v>1</v>
      </c>
      <c r="H489" s="13">
        <f>'Orbit Info'!C488*((C489*$O$2)+(D489*$O$3)+(E489*$O$4)+(F489*$O$5))</f>
        <v>15.628032</v>
      </c>
      <c r="I489" s="13">
        <f t="shared" si="7"/>
        <v>7.17578</v>
      </c>
      <c r="J489" s="18">
        <f t="shared" si="8"/>
        <v>0.1408708667</v>
      </c>
      <c r="K489" s="18">
        <f t="shared" si="10"/>
        <v>79.05469603</v>
      </c>
      <c r="L489" s="4"/>
      <c r="M489" s="4"/>
      <c r="N489" s="4"/>
      <c r="O489" s="4"/>
      <c r="P489" s="4"/>
      <c r="Q489" s="4"/>
      <c r="R489" s="4"/>
      <c r="S489" s="4"/>
      <c r="T489" s="4"/>
      <c r="U489" s="4"/>
      <c r="V489" s="4"/>
      <c r="W489" s="4"/>
    </row>
    <row r="490" ht="15.75" customHeight="1">
      <c r="A490" s="13">
        <f t="shared" si="9"/>
        <v>487</v>
      </c>
      <c r="B490" s="18">
        <f>A490/'Orbit Info'!$G$10</f>
        <v>5.147258434</v>
      </c>
      <c r="C490" s="13">
        <f t="shared" si="2"/>
        <v>1</v>
      </c>
      <c r="D490" s="13">
        <f t="shared" si="3"/>
        <v>0</v>
      </c>
      <c r="E490" s="13">
        <f t="shared" si="4"/>
        <v>0</v>
      </c>
      <c r="F490" s="13">
        <f t="shared" si="5"/>
        <v>0</v>
      </c>
      <c r="G490" s="13">
        <f t="shared" si="6"/>
        <v>1</v>
      </c>
      <c r="H490" s="13">
        <f>'Orbit Info'!C489*((C490*$O$2)+(D490*$O$3)+(E490*$O$4)+(F490*$O$5))</f>
        <v>15.628032</v>
      </c>
      <c r="I490" s="13">
        <f t="shared" si="7"/>
        <v>7.17578</v>
      </c>
      <c r="J490" s="18">
        <f t="shared" si="8"/>
        <v>0.1408708667</v>
      </c>
      <c r="K490" s="18">
        <f t="shared" si="10"/>
        <v>79.1955669</v>
      </c>
      <c r="L490" s="4"/>
      <c r="M490" s="4"/>
      <c r="N490" s="4"/>
      <c r="O490" s="4"/>
      <c r="P490" s="4"/>
      <c r="Q490" s="4"/>
      <c r="R490" s="4"/>
      <c r="S490" s="4"/>
      <c r="T490" s="4"/>
      <c r="U490" s="4"/>
      <c r="V490" s="4"/>
      <c r="W490" s="4"/>
    </row>
    <row r="491" ht="15.75" customHeight="1">
      <c r="A491" s="13">
        <f t="shared" si="9"/>
        <v>488</v>
      </c>
      <c r="B491" s="18">
        <f>A491/'Orbit Info'!$G$10</f>
        <v>5.157827753</v>
      </c>
      <c r="C491" s="13">
        <f t="shared" si="2"/>
        <v>1</v>
      </c>
      <c r="D491" s="13">
        <f t="shared" si="3"/>
        <v>0</v>
      </c>
      <c r="E491" s="13">
        <f t="shared" si="4"/>
        <v>0</v>
      </c>
      <c r="F491" s="13">
        <f t="shared" si="5"/>
        <v>0</v>
      </c>
      <c r="G491" s="13">
        <f t="shared" si="6"/>
        <v>1</v>
      </c>
      <c r="H491" s="13">
        <f>'Orbit Info'!C490*((C491*$O$2)+(D491*$O$3)+(E491*$O$4)+(F491*$O$5))</f>
        <v>15.628032</v>
      </c>
      <c r="I491" s="13">
        <f t="shared" si="7"/>
        <v>7.17578</v>
      </c>
      <c r="J491" s="18">
        <f t="shared" si="8"/>
        <v>0.1408708667</v>
      </c>
      <c r="K491" s="18">
        <f t="shared" si="10"/>
        <v>79.33643777</v>
      </c>
      <c r="L491" s="4"/>
      <c r="M491" s="4"/>
      <c r="N491" s="4"/>
      <c r="O491" s="4"/>
      <c r="P491" s="4"/>
      <c r="Q491" s="4"/>
      <c r="R491" s="4"/>
      <c r="S491" s="4"/>
      <c r="T491" s="4"/>
      <c r="U491" s="4"/>
      <c r="V491" s="4"/>
      <c r="W491" s="4"/>
    </row>
    <row r="492" ht="15.75" customHeight="1">
      <c r="A492" s="13">
        <f t="shared" si="9"/>
        <v>489</v>
      </c>
      <c r="B492" s="18">
        <f>A492/'Orbit Info'!$G$10</f>
        <v>5.168397072</v>
      </c>
      <c r="C492" s="13">
        <f t="shared" si="2"/>
        <v>1</v>
      </c>
      <c r="D492" s="13">
        <f t="shared" si="3"/>
        <v>0</v>
      </c>
      <c r="E492" s="13">
        <f t="shared" si="4"/>
        <v>0</v>
      </c>
      <c r="F492" s="13">
        <f t="shared" si="5"/>
        <v>0</v>
      </c>
      <c r="G492" s="13">
        <f t="shared" si="6"/>
        <v>1</v>
      </c>
      <c r="H492" s="13">
        <f>'Orbit Info'!C491*((C492*$O$2)+(D492*$O$3)+(E492*$O$4)+(F492*$O$5))</f>
        <v>15.628032</v>
      </c>
      <c r="I492" s="13">
        <f t="shared" si="7"/>
        <v>7.17578</v>
      </c>
      <c r="J492" s="18">
        <f t="shared" si="8"/>
        <v>0.1408708667</v>
      </c>
      <c r="K492" s="18">
        <f t="shared" si="10"/>
        <v>79.47730863</v>
      </c>
      <c r="L492" s="4"/>
      <c r="M492" s="4"/>
      <c r="N492" s="4"/>
      <c r="O492" s="4"/>
      <c r="P492" s="4"/>
      <c r="Q492" s="4"/>
      <c r="R492" s="4"/>
      <c r="S492" s="4"/>
      <c r="T492" s="4"/>
      <c r="U492" s="4"/>
      <c r="V492" s="4"/>
      <c r="W492" s="4"/>
    </row>
    <row r="493" ht="15.75" customHeight="1">
      <c r="A493" s="13">
        <f t="shared" si="9"/>
        <v>490</v>
      </c>
      <c r="B493" s="18">
        <f>A493/'Orbit Info'!$G$10</f>
        <v>5.178966391</v>
      </c>
      <c r="C493" s="13">
        <f t="shared" si="2"/>
        <v>1</v>
      </c>
      <c r="D493" s="13">
        <f t="shared" si="3"/>
        <v>0</v>
      </c>
      <c r="E493" s="13">
        <f t="shared" si="4"/>
        <v>0</v>
      </c>
      <c r="F493" s="13">
        <f t="shared" si="5"/>
        <v>0</v>
      </c>
      <c r="G493" s="13">
        <f t="shared" si="6"/>
        <v>1</v>
      </c>
      <c r="H493" s="13">
        <f>'Orbit Info'!C492*((C493*$O$2)+(D493*$O$3)+(E493*$O$4)+(F493*$O$5))</f>
        <v>15.628032</v>
      </c>
      <c r="I493" s="13">
        <f t="shared" si="7"/>
        <v>7.17578</v>
      </c>
      <c r="J493" s="18">
        <f t="shared" si="8"/>
        <v>0.1408708667</v>
      </c>
      <c r="K493" s="18">
        <f t="shared" si="10"/>
        <v>79.6181795</v>
      </c>
      <c r="L493" s="4"/>
      <c r="M493" s="4"/>
      <c r="N493" s="4"/>
      <c r="O493" s="4"/>
      <c r="P493" s="4"/>
      <c r="Q493" s="4"/>
      <c r="R493" s="4"/>
      <c r="S493" s="4"/>
      <c r="T493" s="4"/>
      <c r="U493" s="4"/>
      <c r="V493" s="4"/>
      <c r="W493" s="4"/>
    </row>
    <row r="494" ht="15.75" customHeight="1">
      <c r="A494" s="13">
        <f t="shared" si="9"/>
        <v>491</v>
      </c>
      <c r="B494" s="18">
        <f>A494/'Orbit Info'!$G$10</f>
        <v>5.18953571</v>
      </c>
      <c r="C494" s="13">
        <f t="shared" si="2"/>
        <v>1</v>
      </c>
      <c r="D494" s="13">
        <f t="shared" si="3"/>
        <v>0</v>
      </c>
      <c r="E494" s="13">
        <f t="shared" si="4"/>
        <v>0</v>
      </c>
      <c r="F494" s="13">
        <f t="shared" si="5"/>
        <v>0</v>
      </c>
      <c r="G494" s="13">
        <f t="shared" si="6"/>
        <v>1</v>
      </c>
      <c r="H494" s="13">
        <f>'Orbit Info'!C493*((C494*$O$2)+(D494*$O$3)+(E494*$O$4)+(F494*$O$5))</f>
        <v>15.628032</v>
      </c>
      <c r="I494" s="13">
        <f t="shared" si="7"/>
        <v>7.17578</v>
      </c>
      <c r="J494" s="18">
        <f t="shared" si="8"/>
        <v>0.1408708667</v>
      </c>
      <c r="K494" s="18">
        <f t="shared" si="10"/>
        <v>79.75905037</v>
      </c>
      <c r="L494" s="4"/>
      <c r="M494" s="4"/>
      <c r="N494" s="4"/>
      <c r="O494" s="4"/>
      <c r="P494" s="4"/>
      <c r="Q494" s="4"/>
      <c r="R494" s="4"/>
      <c r="S494" s="4"/>
      <c r="T494" s="4"/>
      <c r="U494" s="4"/>
      <c r="V494" s="4"/>
      <c r="W494" s="4"/>
    </row>
    <row r="495" ht="15.75" customHeight="1">
      <c r="A495" s="13">
        <f t="shared" si="9"/>
        <v>492</v>
      </c>
      <c r="B495" s="18">
        <f>A495/'Orbit Info'!$G$10</f>
        <v>5.20010503</v>
      </c>
      <c r="C495" s="13">
        <f t="shared" si="2"/>
        <v>1</v>
      </c>
      <c r="D495" s="13">
        <f t="shared" si="3"/>
        <v>0</v>
      </c>
      <c r="E495" s="13">
        <f t="shared" si="4"/>
        <v>0</v>
      </c>
      <c r="F495" s="13">
        <f t="shared" si="5"/>
        <v>0</v>
      </c>
      <c r="G495" s="13">
        <f t="shared" si="6"/>
        <v>1</v>
      </c>
      <c r="H495" s="13">
        <f>'Orbit Info'!C494*((C495*$O$2)+(D495*$O$3)+(E495*$O$4)+(F495*$O$5))</f>
        <v>15.628032</v>
      </c>
      <c r="I495" s="13">
        <f t="shared" si="7"/>
        <v>7.17578</v>
      </c>
      <c r="J495" s="18">
        <f t="shared" si="8"/>
        <v>0.1408708667</v>
      </c>
      <c r="K495" s="18">
        <f t="shared" si="10"/>
        <v>79.89992123</v>
      </c>
      <c r="L495" s="4"/>
      <c r="M495" s="4"/>
      <c r="N495" s="4"/>
      <c r="O495" s="4"/>
      <c r="P495" s="4"/>
      <c r="Q495" s="4"/>
      <c r="R495" s="4"/>
      <c r="S495" s="4"/>
      <c r="T495" s="4"/>
      <c r="U495" s="4"/>
      <c r="V495" s="4"/>
      <c r="W495" s="4"/>
    </row>
    <row r="496" ht="15.75" customHeight="1">
      <c r="A496" s="13">
        <f t="shared" si="9"/>
        <v>493</v>
      </c>
      <c r="B496" s="18">
        <f>A496/'Orbit Info'!$G$10</f>
        <v>5.210674349</v>
      </c>
      <c r="C496" s="13">
        <f t="shared" si="2"/>
        <v>1</v>
      </c>
      <c r="D496" s="13">
        <f t="shared" si="3"/>
        <v>0</v>
      </c>
      <c r="E496" s="13">
        <f t="shared" si="4"/>
        <v>0</v>
      </c>
      <c r="F496" s="13">
        <f t="shared" si="5"/>
        <v>0</v>
      </c>
      <c r="G496" s="13">
        <f t="shared" si="6"/>
        <v>1</v>
      </c>
      <c r="H496" s="13">
        <f>'Orbit Info'!C495*((C496*$O$2)+(D496*$O$3)+(E496*$O$4)+(F496*$O$5))</f>
        <v>15.628032</v>
      </c>
      <c r="I496" s="13">
        <f t="shared" si="7"/>
        <v>7.17578</v>
      </c>
      <c r="J496" s="18">
        <f t="shared" si="8"/>
        <v>0.1408708667</v>
      </c>
      <c r="K496" s="18">
        <f t="shared" si="10"/>
        <v>80.0407921</v>
      </c>
      <c r="L496" s="4"/>
      <c r="M496" s="4"/>
      <c r="N496" s="4"/>
      <c r="O496" s="4"/>
      <c r="P496" s="4"/>
      <c r="Q496" s="4"/>
      <c r="R496" s="4"/>
      <c r="S496" s="4"/>
      <c r="T496" s="4"/>
      <c r="U496" s="4"/>
      <c r="V496" s="4"/>
      <c r="W496" s="4"/>
    </row>
    <row r="497" ht="15.75" customHeight="1">
      <c r="A497" s="13">
        <f t="shared" si="9"/>
        <v>494</v>
      </c>
      <c r="B497" s="18">
        <f>A497/'Orbit Info'!$G$10</f>
        <v>5.221243668</v>
      </c>
      <c r="C497" s="13">
        <f t="shared" si="2"/>
        <v>1</v>
      </c>
      <c r="D497" s="13">
        <f t="shared" si="3"/>
        <v>0</v>
      </c>
      <c r="E497" s="13">
        <f t="shared" si="4"/>
        <v>0</v>
      </c>
      <c r="F497" s="13">
        <f t="shared" si="5"/>
        <v>0</v>
      </c>
      <c r="G497" s="13">
        <f t="shared" si="6"/>
        <v>1</v>
      </c>
      <c r="H497" s="13">
        <f>'Orbit Info'!C496*((C497*$O$2)+(D497*$O$3)+(E497*$O$4)+(F497*$O$5))</f>
        <v>15.628032</v>
      </c>
      <c r="I497" s="13">
        <f t="shared" si="7"/>
        <v>7.17578</v>
      </c>
      <c r="J497" s="18">
        <f t="shared" si="8"/>
        <v>0.1408708667</v>
      </c>
      <c r="K497" s="18">
        <f t="shared" si="10"/>
        <v>80.18166297</v>
      </c>
      <c r="L497" s="4"/>
      <c r="M497" s="4"/>
      <c r="N497" s="4"/>
      <c r="O497" s="4"/>
      <c r="P497" s="4"/>
      <c r="Q497" s="4"/>
      <c r="R497" s="4"/>
      <c r="S497" s="4"/>
      <c r="T497" s="4"/>
      <c r="U497" s="4"/>
      <c r="V497" s="4"/>
      <c r="W497" s="4"/>
    </row>
    <row r="498" ht="15.75" customHeight="1">
      <c r="A498" s="13">
        <f t="shared" si="9"/>
        <v>495</v>
      </c>
      <c r="B498" s="18">
        <f>A498/'Orbit Info'!$G$10</f>
        <v>5.231812987</v>
      </c>
      <c r="C498" s="13">
        <f t="shared" si="2"/>
        <v>1</v>
      </c>
      <c r="D498" s="13">
        <f t="shared" si="3"/>
        <v>0</v>
      </c>
      <c r="E498" s="13">
        <f t="shared" si="4"/>
        <v>0</v>
      </c>
      <c r="F498" s="13">
        <f t="shared" si="5"/>
        <v>0</v>
      </c>
      <c r="G498" s="13">
        <f t="shared" si="6"/>
        <v>1</v>
      </c>
      <c r="H498" s="13">
        <f>'Orbit Info'!C497*((C498*$O$2)+(D498*$O$3)+(E498*$O$4)+(F498*$O$5))</f>
        <v>15.628032</v>
      </c>
      <c r="I498" s="13">
        <f t="shared" si="7"/>
        <v>7.17578</v>
      </c>
      <c r="J498" s="18">
        <f t="shared" si="8"/>
        <v>0.1408708667</v>
      </c>
      <c r="K498" s="18">
        <f t="shared" si="10"/>
        <v>80.32253383</v>
      </c>
      <c r="L498" s="4"/>
      <c r="M498" s="4"/>
      <c r="N498" s="4"/>
      <c r="O498" s="4"/>
      <c r="P498" s="4"/>
      <c r="Q498" s="4"/>
      <c r="R498" s="4"/>
      <c r="S498" s="4"/>
      <c r="T498" s="4"/>
      <c r="U498" s="4"/>
      <c r="V498" s="4"/>
      <c r="W498" s="4"/>
    </row>
    <row r="499" ht="15.75" customHeight="1">
      <c r="A499" s="13">
        <f t="shared" si="9"/>
        <v>496</v>
      </c>
      <c r="B499" s="18">
        <f>A499/'Orbit Info'!$G$10</f>
        <v>5.242382306</v>
      </c>
      <c r="C499" s="13">
        <f t="shared" si="2"/>
        <v>1</v>
      </c>
      <c r="D499" s="13">
        <f t="shared" si="3"/>
        <v>0</v>
      </c>
      <c r="E499" s="13">
        <f t="shared" si="4"/>
        <v>0</v>
      </c>
      <c r="F499" s="13">
        <f t="shared" si="5"/>
        <v>0</v>
      </c>
      <c r="G499" s="13">
        <f t="shared" si="6"/>
        <v>1</v>
      </c>
      <c r="H499" s="13">
        <f>'Orbit Info'!C498*((C499*$O$2)+(D499*$O$3)+(E499*$O$4)+(F499*$O$5))</f>
        <v>15.628032</v>
      </c>
      <c r="I499" s="13">
        <f t="shared" si="7"/>
        <v>7.17578</v>
      </c>
      <c r="J499" s="18">
        <f t="shared" si="8"/>
        <v>0.1408708667</v>
      </c>
      <c r="K499" s="18">
        <f t="shared" si="10"/>
        <v>80.4634047</v>
      </c>
      <c r="L499" s="4"/>
      <c r="M499" s="4"/>
      <c r="N499" s="4"/>
      <c r="O499" s="4"/>
      <c r="P499" s="4"/>
      <c r="Q499" s="4"/>
      <c r="R499" s="4"/>
      <c r="S499" s="4"/>
      <c r="T499" s="4"/>
      <c r="U499" s="4"/>
      <c r="V499" s="4"/>
      <c r="W499" s="4"/>
    </row>
    <row r="500" ht="15.75" customHeight="1">
      <c r="A500" s="13">
        <f t="shared" si="9"/>
        <v>497</v>
      </c>
      <c r="B500" s="18">
        <f>A500/'Orbit Info'!$G$10</f>
        <v>5.252951625</v>
      </c>
      <c r="C500" s="13">
        <f t="shared" si="2"/>
        <v>1</v>
      </c>
      <c r="D500" s="13">
        <f t="shared" si="3"/>
        <v>0</v>
      </c>
      <c r="E500" s="13">
        <f t="shared" si="4"/>
        <v>0</v>
      </c>
      <c r="F500" s="13">
        <f t="shared" si="5"/>
        <v>0</v>
      </c>
      <c r="G500" s="13">
        <f t="shared" si="6"/>
        <v>1</v>
      </c>
      <c r="H500" s="13">
        <f>'Orbit Info'!C499*((C500*$O$2)+(D500*$O$3)+(E500*$O$4)+(F500*$O$5))</f>
        <v>15.628032</v>
      </c>
      <c r="I500" s="13">
        <f t="shared" si="7"/>
        <v>7.17578</v>
      </c>
      <c r="J500" s="18">
        <f t="shared" si="8"/>
        <v>0.1408708667</v>
      </c>
      <c r="K500" s="18">
        <f t="shared" si="10"/>
        <v>80.60427557</v>
      </c>
      <c r="L500" s="4"/>
      <c r="M500" s="4"/>
      <c r="N500" s="4"/>
      <c r="O500" s="4"/>
      <c r="P500" s="4"/>
      <c r="Q500" s="4"/>
      <c r="R500" s="4"/>
      <c r="S500" s="4"/>
      <c r="T500" s="4"/>
      <c r="U500" s="4"/>
      <c r="V500" s="4"/>
      <c r="W500" s="4"/>
    </row>
    <row r="501" ht="15.75" customHeight="1">
      <c r="A501" s="13">
        <f t="shared" si="9"/>
        <v>498</v>
      </c>
      <c r="B501" s="18">
        <f>A501/'Orbit Info'!$G$10</f>
        <v>5.263520945</v>
      </c>
      <c r="C501" s="13">
        <f t="shared" si="2"/>
        <v>1</v>
      </c>
      <c r="D501" s="13">
        <f t="shared" si="3"/>
        <v>0</v>
      </c>
      <c r="E501" s="13">
        <f t="shared" si="4"/>
        <v>0</v>
      </c>
      <c r="F501" s="13">
        <f t="shared" si="5"/>
        <v>0</v>
      </c>
      <c r="G501" s="13">
        <f t="shared" si="6"/>
        <v>1</v>
      </c>
      <c r="H501" s="13">
        <f>'Orbit Info'!C500*((C501*$O$2)+(D501*$O$3)+(E501*$O$4)+(F501*$O$5))</f>
        <v>15.628032</v>
      </c>
      <c r="I501" s="13">
        <f t="shared" si="7"/>
        <v>7.17578</v>
      </c>
      <c r="J501" s="18">
        <f t="shared" si="8"/>
        <v>0.1408708667</v>
      </c>
      <c r="K501" s="18">
        <f t="shared" si="10"/>
        <v>80.74514643</v>
      </c>
      <c r="L501" s="4"/>
      <c r="M501" s="4"/>
      <c r="N501" s="4"/>
      <c r="O501" s="4"/>
      <c r="P501" s="4"/>
      <c r="Q501" s="4"/>
      <c r="R501" s="4"/>
      <c r="S501" s="4"/>
      <c r="T501" s="4"/>
      <c r="U501" s="4"/>
      <c r="V501" s="4"/>
      <c r="W501" s="4"/>
    </row>
    <row r="502" ht="15.75" customHeight="1">
      <c r="A502" s="13">
        <f t="shared" si="9"/>
        <v>499</v>
      </c>
      <c r="B502" s="18">
        <f>A502/'Orbit Info'!$G$10</f>
        <v>5.274090264</v>
      </c>
      <c r="C502" s="13">
        <f t="shared" si="2"/>
        <v>1</v>
      </c>
      <c r="D502" s="13">
        <f t="shared" si="3"/>
        <v>0</v>
      </c>
      <c r="E502" s="13">
        <f t="shared" si="4"/>
        <v>0</v>
      </c>
      <c r="F502" s="13">
        <f t="shared" si="5"/>
        <v>0</v>
      </c>
      <c r="G502" s="13">
        <f t="shared" si="6"/>
        <v>1</v>
      </c>
      <c r="H502" s="13">
        <f>'Orbit Info'!C501*((C502*$O$2)+(D502*$O$3)+(E502*$O$4)+(F502*$O$5))</f>
        <v>15.628032</v>
      </c>
      <c r="I502" s="13">
        <f t="shared" si="7"/>
        <v>7.17578</v>
      </c>
      <c r="J502" s="18">
        <f t="shared" si="8"/>
        <v>0.1408708667</v>
      </c>
      <c r="K502" s="18">
        <f t="shared" si="10"/>
        <v>80.8860173</v>
      </c>
      <c r="L502" s="4"/>
      <c r="M502" s="4"/>
      <c r="N502" s="4"/>
      <c r="O502" s="4"/>
      <c r="P502" s="4"/>
      <c r="Q502" s="4"/>
      <c r="R502" s="4"/>
      <c r="S502" s="4"/>
      <c r="T502" s="4"/>
      <c r="U502" s="4"/>
      <c r="V502" s="4"/>
      <c r="W502" s="4"/>
    </row>
    <row r="503" ht="15.75" customHeight="1">
      <c r="A503" s="13">
        <f t="shared" si="9"/>
        <v>500</v>
      </c>
      <c r="B503" s="18">
        <f>A503/'Orbit Info'!$G$10</f>
        <v>5.284659583</v>
      </c>
      <c r="C503" s="13">
        <f t="shared" si="2"/>
        <v>1</v>
      </c>
      <c r="D503" s="13">
        <f t="shared" si="3"/>
        <v>0</v>
      </c>
      <c r="E503" s="13">
        <f t="shared" si="4"/>
        <v>0</v>
      </c>
      <c r="F503" s="13">
        <f t="shared" si="5"/>
        <v>0</v>
      </c>
      <c r="G503" s="13">
        <f t="shared" si="6"/>
        <v>1</v>
      </c>
      <c r="H503" s="13">
        <f>'Orbit Info'!C502*((C503*$O$2)+(D503*$O$3)+(E503*$O$4)+(F503*$O$5))</f>
        <v>15.628032</v>
      </c>
      <c r="I503" s="13">
        <f t="shared" si="7"/>
        <v>7.17578</v>
      </c>
      <c r="J503" s="18">
        <f t="shared" si="8"/>
        <v>0.1408708667</v>
      </c>
      <c r="K503" s="18">
        <f t="shared" si="10"/>
        <v>81.02688817</v>
      </c>
      <c r="L503" s="4"/>
      <c r="M503" s="4"/>
      <c r="N503" s="4"/>
      <c r="O503" s="4"/>
      <c r="P503" s="4"/>
      <c r="Q503" s="4"/>
      <c r="R503" s="4"/>
      <c r="S503" s="4"/>
      <c r="T503" s="4"/>
      <c r="U503" s="4"/>
      <c r="V503" s="4"/>
      <c r="W503" s="4"/>
    </row>
    <row r="504" ht="15.75" customHeight="1">
      <c r="A504" s="13">
        <f t="shared" si="9"/>
        <v>501</v>
      </c>
      <c r="B504" s="18">
        <f>A504/'Orbit Info'!$G$10</f>
        <v>5.295228902</v>
      </c>
      <c r="C504" s="13">
        <f t="shared" si="2"/>
        <v>1</v>
      </c>
      <c r="D504" s="13">
        <f t="shared" si="3"/>
        <v>0</v>
      </c>
      <c r="E504" s="13">
        <f t="shared" si="4"/>
        <v>0</v>
      </c>
      <c r="F504" s="13">
        <f t="shared" si="5"/>
        <v>0</v>
      </c>
      <c r="G504" s="13">
        <f t="shared" si="6"/>
        <v>1</v>
      </c>
      <c r="H504" s="13">
        <f>'Orbit Info'!C503*((C504*$O$2)+(D504*$O$3)+(E504*$O$4)+(F504*$O$5))</f>
        <v>15.628032</v>
      </c>
      <c r="I504" s="13">
        <f t="shared" si="7"/>
        <v>7.17578</v>
      </c>
      <c r="J504" s="18">
        <f t="shared" si="8"/>
        <v>0.1408708667</v>
      </c>
      <c r="K504" s="18">
        <f t="shared" si="10"/>
        <v>81.16775903</v>
      </c>
      <c r="L504" s="4"/>
      <c r="M504" s="4"/>
      <c r="N504" s="4"/>
      <c r="O504" s="4"/>
      <c r="P504" s="4"/>
      <c r="Q504" s="4"/>
      <c r="R504" s="4"/>
      <c r="S504" s="4"/>
      <c r="T504" s="4"/>
      <c r="U504" s="4"/>
      <c r="V504" s="4"/>
      <c r="W504" s="4"/>
    </row>
    <row r="505" ht="15.75" customHeight="1">
      <c r="A505" s="13">
        <f t="shared" si="9"/>
        <v>502</v>
      </c>
      <c r="B505" s="18">
        <f>A505/'Orbit Info'!$G$10</f>
        <v>5.305798221</v>
      </c>
      <c r="C505" s="13">
        <f t="shared" si="2"/>
        <v>1</v>
      </c>
      <c r="D505" s="13">
        <f t="shared" si="3"/>
        <v>0</v>
      </c>
      <c r="E505" s="13">
        <f t="shared" si="4"/>
        <v>0</v>
      </c>
      <c r="F505" s="13">
        <f t="shared" si="5"/>
        <v>0</v>
      </c>
      <c r="G505" s="13">
        <f t="shared" si="6"/>
        <v>1</v>
      </c>
      <c r="H505" s="13">
        <f>'Orbit Info'!C504*((C505*$O$2)+(D505*$O$3)+(E505*$O$4)+(F505*$O$5))</f>
        <v>15.628032</v>
      </c>
      <c r="I505" s="13">
        <f t="shared" si="7"/>
        <v>7.17578</v>
      </c>
      <c r="J505" s="18">
        <f t="shared" si="8"/>
        <v>0.1408708667</v>
      </c>
      <c r="K505" s="18">
        <f t="shared" si="10"/>
        <v>81.3086299</v>
      </c>
      <c r="L505" s="4"/>
      <c r="M505" s="4"/>
      <c r="N505" s="4"/>
      <c r="O505" s="4"/>
      <c r="P505" s="4"/>
      <c r="Q505" s="4"/>
      <c r="R505" s="4"/>
      <c r="S505" s="4"/>
      <c r="T505" s="4"/>
      <c r="U505" s="4"/>
      <c r="V505" s="4"/>
      <c r="W505" s="4"/>
    </row>
    <row r="506" ht="15.75" customHeight="1">
      <c r="A506" s="13">
        <f t="shared" si="9"/>
        <v>503</v>
      </c>
      <c r="B506" s="18">
        <f>A506/'Orbit Info'!$G$10</f>
        <v>5.31636754</v>
      </c>
      <c r="C506" s="13">
        <f t="shared" si="2"/>
        <v>1</v>
      </c>
      <c r="D506" s="13">
        <f t="shared" si="3"/>
        <v>0</v>
      </c>
      <c r="E506" s="13">
        <f t="shared" si="4"/>
        <v>0</v>
      </c>
      <c r="F506" s="13">
        <f t="shared" si="5"/>
        <v>0</v>
      </c>
      <c r="G506" s="13">
        <f t="shared" si="6"/>
        <v>1</v>
      </c>
      <c r="H506" s="13">
        <f>'Orbit Info'!C505*((C506*$O$2)+(D506*$O$3)+(E506*$O$4)+(F506*$O$5))</f>
        <v>15.628032</v>
      </c>
      <c r="I506" s="13">
        <f t="shared" si="7"/>
        <v>7.17578</v>
      </c>
      <c r="J506" s="18">
        <f t="shared" si="8"/>
        <v>0.1408708667</v>
      </c>
      <c r="K506" s="18">
        <f t="shared" si="10"/>
        <v>81.44950077</v>
      </c>
      <c r="L506" s="4"/>
      <c r="M506" s="4"/>
      <c r="N506" s="4"/>
      <c r="O506" s="4"/>
      <c r="P506" s="4"/>
      <c r="Q506" s="4"/>
      <c r="R506" s="4"/>
      <c r="S506" s="4"/>
      <c r="T506" s="4"/>
      <c r="U506" s="4"/>
      <c r="V506" s="4"/>
      <c r="W506" s="4"/>
    </row>
    <row r="507" ht="15.75" customHeight="1">
      <c r="A507" s="13">
        <f t="shared" si="9"/>
        <v>504</v>
      </c>
      <c r="B507" s="18">
        <f>A507/'Orbit Info'!$G$10</f>
        <v>5.32693686</v>
      </c>
      <c r="C507" s="13">
        <f t="shared" si="2"/>
        <v>1</v>
      </c>
      <c r="D507" s="13">
        <f t="shared" si="3"/>
        <v>0</v>
      </c>
      <c r="E507" s="13">
        <f t="shared" si="4"/>
        <v>0</v>
      </c>
      <c r="F507" s="13">
        <f t="shared" si="5"/>
        <v>0</v>
      </c>
      <c r="G507" s="13">
        <f t="shared" si="6"/>
        <v>1</v>
      </c>
      <c r="H507" s="13">
        <f>'Orbit Info'!C506*((C507*$O$2)+(D507*$O$3)+(E507*$O$4)+(F507*$O$5))</f>
        <v>15.628032</v>
      </c>
      <c r="I507" s="13">
        <f t="shared" si="7"/>
        <v>7.17578</v>
      </c>
      <c r="J507" s="18">
        <f t="shared" si="8"/>
        <v>0.1408708667</v>
      </c>
      <c r="K507" s="18">
        <f t="shared" si="10"/>
        <v>81.59037163</v>
      </c>
      <c r="L507" s="4"/>
      <c r="M507" s="4"/>
      <c r="N507" s="4"/>
      <c r="O507" s="4"/>
      <c r="P507" s="4"/>
      <c r="Q507" s="4"/>
      <c r="R507" s="4"/>
      <c r="S507" s="4"/>
      <c r="T507" s="4"/>
      <c r="U507" s="4"/>
      <c r="V507" s="4"/>
      <c r="W507" s="4"/>
    </row>
    <row r="508" ht="15.75" customHeight="1">
      <c r="A508" s="13">
        <f t="shared" si="9"/>
        <v>505</v>
      </c>
      <c r="B508" s="18">
        <f>A508/'Orbit Info'!$G$10</f>
        <v>5.337506179</v>
      </c>
      <c r="C508" s="13">
        <f t="shared" si="2"/>
        <v>1</v>
      </c>
      <c r="D508" s="13">
        <f t="shared" si="3"/>
        <v>0</v>
      </c>
      <c r="E508" s="13">
        <f t="shared" si="4"/>
        <v>0</v>
      </c>
      <c r="F508" s="13">
        <f t="shared" si="5"/>
        <v>0</v>
      </c>
      <c r="G508" s="13">
        <f t="shared" si="6"/>
        <v>1</v>
      </c>
      <c r="H508" s="13">
        <f>'Orbit Info'!C507*((C508*$O$2)+(D508*$O$3)+(E508*$O$4)+(F508*$O$5))</f>
        <v>15.628032</v>
      </c>
      <c r="I508" s="13">
        <f t="shared" si="7"/>
        <v>7.17578</v>
      </c>
      <c r="J508" s="18">
        <f t="shared" si="8"/>
        <v>0.1408708667</v>
      </c>
      <c r="K508" s="18">
        <f t="shared" si="10"/>
        <v>81.7312425</v>
      </c>
      <c r="L508" s="4"/>
      <c r="M508" s="4"/>
      <c r="N508" s="4"/>
      <c r="O508" s="4"/>
      <c r="P508" s="4"/>
      <c r="Q508" s="4"/>
      <c r="R508" s="4"/>
      <c r="S508" s="4"/>
      <c r="T508" s="4"/>
      <c r="U508" s="4"/>
      <c r="V508" s="4"/>
      <c r="W508" s="4"/>
    </row>
    <row r="509" ht="15.75" customHeight="1">
      <c r="A509" s="13">
        <f t="shared" si="9"/>
        <v>506</v>
      </c>
      <c r="B509" s="18">
        <f>A509/'Orbit Info'!$G$10</f>
        <v>5.348075498</v>
      </c>
      <c r="C509" s="13">
        <f t="shared" si="2"/>
        <v>1</v>
      </c>
      <c r="D509" s="13">
        <f t="shared" si="3"/>
        <v>0</v>
      </c>
      <c r="E509" s="13">
        <f t="shared" si="4"/>
        <v>0</v>
      </c>
      <c r="F509" s="13">
        <f t="shared" si="5"/>
        <v>0</v>
      </c>
      <c r="G509" s="13">
        <f t="shared" si="6"/>
        <v>1</v>
      </c>
      <c r="H509" s="13">
        <f>'Orbit Info'!C508*((C509*$O$2)+(D509*$O$3)+(E509*$O$4)+(F509*$O$5))</f>
        <v>15.628032</v>
      </c>
      <c r="I509" s="13">
        <f t="shared" si="7"/>
        <v>7.17578</v>
      </c>
      <c r="J509" s="18">
        <f t="shared" si="8"/>
        <v>0.1408708667</v>
      </c>
      <c r="K509" s="18">
        <f t="shared" si="10"/>
        <v>81.87211337</v>
      </c>
      <c r="L509" s="4"/>
      <c r="M509" s="4"/>
      <c r="N509" s="4"/>
      <c r="O509" s="4"/>
      <c r="P509" s="4"/>
      <c r="Q509" s="4"/>
      <c r="R509" s="4"/>
      <c r="S509" s="4"/>
      <c r="T509" s="4"/>
      <c r="U509" s="4"/>
      <c r="V509" s="4"/>
      <c r="W509" s="4"/>
    </row>
    <row r="510" ht="15.75" customHeight="1">
      <c r="A510" s="13">
        <f t="shared" si="9"/>
        <v>507</v>
      </c>
      <c r="B510" s="18">
        <f>A510/'Orbit Info'!$G$10</f>
        <v>5.358644817</v>
      </c>
      <c r="C510" s="13">
        <f t="shared" si="2"/>
        <v>1</v>
      </c>
      <c r="D510" s="13">
        <f t="shared" si="3"/>
        <v>0</v>
      </c>
      <c r="E510" s="13">
        <f t="shared" si="4"/>
        <v>0</v>
      </c>
      <c r="F510" s="13">
        <f t="shared" si="5"/>
        <v>0</v>
      </c>
      <c r="G510" s="13">
        <f t="shared" si="6"/>
        <v>1</v>
      </c>
      <c r="H510" s="13">
        <f>'Orbit Info'!C509*((C510*$O$2)+(D510*$O$3)+(E510*$O$4)+(F510*$O$5))</f>
        <v>15.628032</v>
      </c>
      <c r="I510" s="13">
        <f t="shared" si="7"/>
        <v>7.17578</v>
      </c>
      <c r="J510" s="18">
        <f t="shared" si="8"/>
        <v>0.1408708667</v>
      </c>
      <c r="K510" s="18">
        <f t="shared" si="10"/>
        <v>82.01298423</v>
      </c>
      <c r="L510" s="4"/>
      <c r="M510" s="4"/>
      <c r="N510" s="4"/>
      <c r="O510" s="4"/>
      <c r="P510" s="4"/>
      <c r="Q510" s="4"/>
      <c r="R510" s="4"/>
      <c r="S510" s="4"/>
      <c r="T510" s="4"/>
      <c r="U510" s="4"/>
      <c r="V510" s="4"/>
      <c r="W510" s="4"/>
    </row>
    <row r="511" ht="15.75" customHeight="1">
      <c r="A511" s="13">
        <f t="shared" si="9"/>
        <v>508</v>
      </c>
      <c r="B511" s="18">
        <f>A511/'Orbit Info'!$G$10</f>
        <v>5.369214136</v>
      </c>
      <c r="C511" s="13">
        <f t="shared" si="2"/>
        <v>1</v>
      </c>
      <c r="D511" s="13">
        <f t="shared" si="3"/>
        <v>0</v>
      </c>
      <c r="E511" s="13">
        <f t="shared" si="4"/>
        <v>0</v>
      </c>
      <c r="F511" s="13">
        <f t="shared" si="5"/>
        <v>0</v>
      </c>
      <c r="G511" s="13">
        <f t="shared" si="6"/>
        <v>1</v>
      </c>
      <c r="H511" s="13">
        <f>'Orbit Info'!C510*((C511*$O$2)+(D511*$O$3)+(E511*$O$4)+(F511*$O$5))</f>
        <v>15.628032</v>
      </c>
      <c r="I511" s="13">
        <f t="shared" si="7"/>
        <v>7.17578</v>
      </c>
      <c r="J511" s="18">
        <f t="shared" si="8"/>
        <v>0.1408708667</v>
      </c>
      <c r="K511" s="18">
        <f t="shared" si="10"/>
        <v>82.1538551</v>
      </c>
      <c r="L511" s="4"/>
      <c r="M511" s="4"/>
      <c r="N511" s="4"/>
      <c r="O511" s="4"/>
      <c r="P511" s="4"/>
      <c r="Q511" s="4"/>
      <c r="R511" s="4"/>
      <c r="S511" s="4"/>
      <c r="T511" s="4"/>
      <c r="U511" s="4"/>
      <c r="V511" s="4"/>
      <c r="W511" s="4"/>
    </row>
    <row r="512" ht="15.75" customHeight="1">
      <c r="A512" s="13">
        <f t="shared" si="9"/>
        <v>509</v>
      </c>
      <c r="B512" s="18">
        <f>A512/'Orbit Info'!$G$10</f>
        <v>5.379783455</v>
      </c>
      <c r="C512" s="13">
        <f t="shared" si="2"/>
        <v>1</v>
      </c>
      <c r="D512" s="13">
        <f t="shared" si="3"/>
        <v>0</v>
      </c>
      <c r="E512" s="13">
        <f t="shared" si="4"/>
        <v>0</v>
      </c>
      <c r="F512" s="13">
        <f t="shared" si="5"/>
        <v>0</v>
      </c>
      <c r="G512" s="13">
        <f t="shared" si="6"/>
        <v>1</v>
      </c>
      <c r="H512" s="13">
        <f>'Orbit Info'!C511*((C512*$O$2)+(D512*$O$3)+(E512*$O$4)+(F512*$O$5))</f>
        <v>15.628032</v>
      </c>
      <c r="I512" s="13">
        <f t="shared" si="7"/>
        <v>7.17578</v>
      </c>
      <c r="J512" s="18">
        <f t="shared" si="8"/>
        <v>0.1408708667</v>
      </c>
      <c r="K512" s="18">
        <f t="shared" si="10"/>
        <v>82.29472597</v>
      </c>
      <c r="L512" s="4"/>
      <c r="M512" s="4"/>
      <c r="N512" s="4"/>
      <c r="O512" s="4"/>
      <c r="P512" s="4"/>
      <c r="Q512" s="4"/>
      <c r="R512" s="4"/>
      <c r="S512" s="4"/>
      <c r="T512" s="4"/>
      <c r="U512" s="4"/>
      <c r="V512" s="4"/>
      <c r="W512" s="4"/>
    </row>
    <row r="513" ht="15.75" customHeight="1">
      <c r="A513" s="13">
        <f t="shared" si="9"/>
        <v>510</v>
      </c>
      <c r="B513" s="18">
        <f>A513/'Orbit Info'!$G$10</f>
        <v>5.390352775</v>
      </c>
      <c r="C513" s="13">
        <f t="shared" si="2"/>
        <v>1</v>
      </c>
      <c r="D513" s="13">
        <f t="shared" si="3"/>
        <v>0</v>
      </c>
      <c r="E513" s="13">
        <f t="shared" si="4"/>
        <v>0</v>
      </c>
      <c r="F513" s="13">
        <f t="shared" si="5"/>
        <v>0</v>
      </c>
      <c r="G513" s="13">
        <f t="shared" si="6"/>
        <v>1</v>
      </c>
      <c r="H513" s="13">
        <f>'Orbit Info'!C512*((C513*$O$2)+(D513*$O$3)+(E513*$O$4)+(F513*$O$5))</f>
        <v>15.628032</v>
      </c>
      <c r="I513" s="13">
        <f t="shared" si="7"/>
        <v>7.17578</v>
      </c>
      <c r="J513" s="18">
        <f t="shared" si="8"/>
        <v>0.1408708667</v>
      </c>
      <c r="K513" s="18">
        <f t="shared" si="10"/>
        <v>82.43559683</v>
      </c>
      <c r="L513" s="4"/>
      <c r="M513" s="4"/>
      <c r="N513" s="4"/>
      <c r="O513" s="4"/>
      <c r="P513" s="4"/>
      <c r="Q513" s="4"/>
      <c r="R513" s="4"/>
      <c r="S513" s="4"/>
      <c r="T513" s="4"/>
      <c r="U513" s="4"/>
      <c r="V513" s="4"/>
      <c r="W513" s="4"/>
    </row>
    <row r="514" ht="15.75" customHeight="1">
      <c r="A514" s="13">
        <f t="shared" si="9"/>
        <v>511</v>
      </c>
      <c r="B514" s="18">
        <f>A514/'Orbit Info'!$G$10</f>
        <v>5.400922094</v>
      </c>
      <c r="C514" s="13">
        <f t="shared" si="2"/>
        <v>1</v>
      </c>
      <c r="D514" s="13">
        <f t="shared" si="3"/>
        <v>0</v>
      </c>
      <c r="E514" s="13">
        <f t="shared" si="4"/>
        <v>0</v>
      </c>
      <c r="F514" s="13">
        <f t="shared" si="5"/>
        <v>0</v>
      </c>
      <c r="G514" s="13">
        <f t="shared" si="6"/>
        <v>1</v>
      </c>
      <c r="H514" s="13">
        <f>'Orbit Info'!C513*((C514*$O$2)+(D514*$O$3)+(E514*$O$4)+(F514*$O$5))</f>
        <v>15.628032</v>
      </c>
      <c r="I514" s="13">
        <f t="shared" si="7"/>
        <v>7.17578</v>
      </c>
      <c r="J514" s="18">
        <f t="shared" si="8"/>
        <v>0.1408708667</v>
      </c>
      <c r="K514" s="18">
        <f t="shared" si="10"/>
        <v>82.5764677</v>
      </c>
      <c r="L514" s="4"/>
      <c r="M514" s="4"/>
      <c r="N514" s="4"/>
      <c r="O514" s="4"/>
      <c r="P514" s="4"/>
      <c r="Q514" s="4"/>
      <c r="R514" s="4"/>
      <c r="S514" s="4"/>
      <c r="T514" s="4"/>
      <c r="U514" s="4"/>
      <c r="V514" s="4"/>
      <c r="W514" s="4"/>
    </row>
    <row r="515" ht="15.75" customHeight="1">
      <c r="A515" s="13">
        <f t="shared" si="9"/>
        <v>512</v>
      </c>
      <c r="B515" s="18">
        <f>A515/'Orbit Info'!$G$10</f>
        <v>5.411491413</v>
      </c>
      <c r="C515" s="13">
        <f t="shared" si="2"/>
        <v>1</v>
      </c>
      <c r="D515" s="13">
        <f t="shared" si="3"/>
        <v>0</v>
      </c>
      <c r="E515" s="13">
        <f t="shared" si="4"/>
        <v>0</v>
      </c>
      <c r="F515" s="13">
        <f t="shared" si="5"/>
        <v>0</v>
      </c>
      <c r="G515" s="13">
        <f t="shared" si="6"/>
        <v>1</v>
      </c>
      <c r="H515" s="13">
        <f>'Orbit Info'!C514*((C515*$O$2)+(D515*$O$3)+(E515*$O$4)+(F515*$O$5))</f>
        <v>15.628032</v>
      </c>
      <c r="I515" s="13">
        <f t="shared" si="7"/>
        <v>7.17578</v>
      </c>
      <c r="J515" s="18">
        <f t="shared" si="8"/>
        <v>0.1408708667</v>
      </c>
      <c r="K515" s="18">
        <f t="shared" si="10"/>
        <v>82.71733857</v>
      </c>
      <c r="L515" s="4"/>
      <c r="M515" s="4"/>
      <c r="N515" s="4"/>
      <c r="O515" s="4"/>
      <c r="P515" s="4"/>
      <c r="Q515" s="4"/>
      <c r="R515" s="4"/>
      <c r="S515" s="4"/>
      <c r="T515" s="4"/>
      <c r="U515" s="4"/>
      <c r="V515" s="4"/>
      <c r="W515" s="4"/>
    </row>
    <row r="516" ht="15.75" customHeight="1">
      <c r="A516" s="13">
        <f t="shared" si="9"/>
        <v>513</v>
      </c>
      <c r="B516" s="18">
        <f>A516/'Orbit Info'!$G$10</f>
        <v>5.422060732</v>
      </c>
      <c r="C516" s="13">
        <f t="shared" si="2"/>
        <v>1</v>
      </c>
      <c r="D516" s="13">
        <f t="shared" si="3"/>
        <v>0</v>
      </c>
      <c r="E516" s="13">
        <f t="shared" si="4"/>
        <v>0</v>
      </c>
      <c r="F516" s="13">
        <f t="shared" si="5"/>
        <v>0</v>
      </c>
      <c r="G516" s="13">
        <f t="shared" si="6"/>
        <v>1</v>
      </c>
      <c r="H516" s="13">
        <f>'Orbit Info'!C515*((C516*$O$2)+(D516*$O$3)+(E516*$O$4)+(F516*$O$5))</f>
        <v>15.628032</v>
      </c>
      <c r="I516" s="13">
        <f t="shared" si="7"/>
        <v>7.17578</v>
      </c>
      <c r="J516" s="18">
        <f t="shared" si="8"/>
        <v>0.1408708667</v>
      </c>
      <c r="K516" s="18">
        <f t="shared" si="10"/>
        <v>82.85820943</v>
      </c>
      <c r="L516" s="4"/>
      <c r="M516" s="4"/>
      <c r="N516" s="4"/>
      <c r="O516" s="4"/>
      <c r="P516" s="4"/>
      <c r="Q516" s="4"/>
      <c r="R516" s="4"/>
      <c r="S516" s="4"/>
      <c r="T516" s="4"/>
      <c r="U516" s="4"/>
      <c r="V516" s="4"/>
      <c r="W516" s="4"/>
    </row>
    <row r="517" ht="15.75" customHeight="1">
      <c r="A517" s="13">
        <f t="shared" si="9"/>
        <v>514</v>
      </c>
      <c r="B517" s="18">
        <f>A517/'Orbit Info'!$G$10</f>
        <v>5.432630051</v>
      </c>
      <c r="C517" s="13">
        <f t="shared" si="2"/>
        <v>1</v>
      </c>
      <c r="D517" s="13">
        <f t="shared" si="3"/>
        <v>0</v>
      </c>
      <c r="E517" s="13">
        <f t="shared" si="4"/>
        <v>0</v>
      </c>
      <c r="F517" s="13">
        <f t="shared" si="5"/>
        <v>0</v>
      </c>
      <c r="G517" s="13">
        <f t="shared" si="6"/>
        <v>1</v>
      </c>
      <c r="H517" s="13">
        <f>'Orbit Info'!C516*((C517*$O$2)+(D517*$O$3)+(E517*$O$4)+(F517*$O$5))</f>
        <v>15.628032</v>
      </c>
      <c r="I517" s="13">
        <f t="shared" si="7"/>
        <v>7.17578</v>
      </c>
      <c r="J517" s="18">
        <f t="shared" si="8"/>
        <v>0.1408708667</v>
      </c>
      <c r="K517" s="18">
        <f t="shared" si="10"/>
        <v>82.9990803</v>
      </c>
      <c r="L517" s="4"/>
      <c r="M517" s="4"/>
      <c r="N517" s="4"/>
      <c r="O517" s="4"/>
      <c r="P517" s="4"/>
      <c r="Q517" s="4"/>
      <c r="R517" s="4"/>
      <c r="S517" s="4"/>
      <c r="T517" s="4"/>
      <c r="U517" s="4"/>
      <c r="V517" s="4"/>
      <c r="W517" s="4"/>
    </row>
    <row r="518" ht="15.75" customHeight="1">
      <c r="A518" s="13">
        <f t="shared" si="9"/>
        <v>515</v>
      </c>
      <c r="B518" s="18">
        <f>A518/'Orbit Info'!$G$10</f>
        <v>5.44319937</v>
      </c>
      <c r="C518" s="13">
        <f t="shared" si="2"/>
        <v>1</v>
      </c>
      <c r="D518" s="13">
        <f t="shared" si="3"/>
        <v>0</v>
      </c>
      <c r="E518" s="13">
        <f t="shared" si="4"/>
        <v>0</v>
      </c>
      <c r="F518" s="13">
        <f t="shared" si="5"/>
        <v>0</v>
      </c>
      <c r="G518" s="13">
        <f t="shared" si="6"/>
        <v>1</v>
      </c>
      <c r="H518" s="13">
        <f>'Orbit Info'!C517*((C518*$O$2)+(D518*$O$3)+(E518*$O$4)+(F518*$O$5))</f>
        <v>15.628032</v>
      </c>
      <c r="I518" s="13">
        <f t="shared" si="7"/>
        <v>7.17578</v>
      </c>
      <c r="J518" s="18">
        <f t="shared" si="8"/>
        <v>0.1408708667</v>
      </c>
      <c r="K518" s="18">
        <f t="shared" si="10"/>
        <v>83.13995117</v>
      </c>
      <c r="L518" s="4"/>
      <c r="M518" s="4"/>
      <c r="N518" s="4"/>
      <c r="O518" s="4"/>
      <c r="P518" s="4"/>
      <c r="Q518" s="4"/>
      <c r="R518" s="4"/>
      <c r="S518" s="4"/>
      <c r="T518" s="4"/>
      <c r="U518" s="4"/>
      <c r="V518" s="4"/>
      <c r="W518" s="4"/>
    </row>
    <row r="519" ht="15.75" customHeight="1">
      <c r="A519" s="13">
        <f t="shared" si="9"/>
        <v>516</v>
      </c>
      <c r="B519" s="18">
        <f>A519/'Orbit Info'!$G$10</f>
        <v>5.45376869</v>
      </c>
      <c r="C519" s="13">
        <f t="shared" si="2"/>
        <v>1</v>
      </c>
      <c r="D519" s="13">
        <f t="shared" si="3"/>
        <v>0</v>
      </c>
      <c r="E519" s="13">
        <f t="shared" si="4"/>
        <v>0</v>
      </c>
      <c r="F519" s="13">
        <f t="shared" si="5"/>
        <v>0</v>
      </c>
      <c r="G519" s="13">
        <f t="shared" si="6"/>
        <v>1</v>
      </c>
      <c r="H519" s="13">
        <f>'Orbit Info'!C518*((C519*$O$2)+(D519*$O$3)+(E519*$O$4)+(F519*$O$5))</f>
        <v>15.628032</v>
      </c>
      <c r="I519" s="13">
        <f t="shared" si="7"/>
        <v>7.17578</v>
      </c>
      <c r="J519" s="18">
        <f t="shared" si="8"/>
        <v>0.1408708667</v>
      </c>
      <c r="K519" s="18">
        <f t="shared" si="10"/>
        <v>83.28082203</v>
      </c>
      <c r="L519" s="4"/>
      <c r="M519" s="4"/>
      <c r="N519" s="4"/>
      <c r="O519" s="4"/>
      <c r="P519" s="4"/>
      <c r="Q519" s="4"/>
      <c r="R519" s="4"/>
      <c r="S519" s="4"/>
      <c r="T519" s="4"/>
      <c r="U519" s="4"/>
      <c r="V519" s="4"/>
      <c r="W519" s="4"/>
    </row>
    <row r="520" ht="15.75" customHeight="1">
      <c r="A520" s="13">
        <f t="shared" si="9"/>
        <v>517</v>
      </c>
      <c r="B520" s="18">
        <f>A520/'Orbit Info'!$G$10</f>
        <v>5.464338009</v>
      </c>
      <c r="C520" s="13">
        <f t="shared" si="2"/>
        <v>1</v>
      </c>
      <c r="D520" s="13">
        <f t="shared" si="3"/>
        <v>0</v>
      </c>
      <c r="E520" s="13">
        <f t="shared" si="4"/>
        <v>0</v>
      </c>
      <c r="F520" s="13">
        <f t="shared" si="5"/>
        <v>0</v>
      </c>
      <c r="G520" s="13">
        <f t="shared" si="6"/>
        <v>1</v>
      </c>
      <c r="H520" s="13">
        <f>'Orbit Info'!C519*((C520*$O$2)+(D520*$O$3)+(E520*$O$4)+(F520*$O$5))</f>
        <v>15.628032</v>
      </c>
      <c r="I520" s="13">
        <f t="shared" si="7"/>
        <v>7.17578</v>
      </c>
      <c r="J520" s="18">
        <f t="shared" si="8"/>
        <v>0.1408708667</v>
      </c>
      <c r="K520" s="18">
        <f t="shared" si="10"/>
        <v>83.4216929</v>
      </c>
      <c r="L520" s="4"/>
      <c r="M520" s="4"/>
      <c r="N520" s="4"/>
      <c r="O520" s="4"/>
      <c r="P520" s="4"/>
      <c r="Q520" s="4"/>
      <c r="R520" s="4"/>
      <c r="S520" s="4"/>
      <c r="T520" s="4"/>
      <c r="U520" s="4"/>
      <c r="V520" s="4"/>
      <c r="W520" s="4"/>
    </row>
    <row r="521" ht="15.75" customHeight="1">
      <c r="A521" s="13">
        <f t="shared" si="9"/>
        <v>518</v>
      </c>
      <c r="B521" s="18">
        <f>A521/'Orbit Info'!$G$10</f>
        <v>5.474907328</v>
      </c>
      <c r="C521" s="13">
        <f t="shared" si="2"/>
        <v>1</v>
      </c>
      <c r="D521" s="13">
        <f t="shared" si="3"/>
        <v>0</v>
      </c>
      <c r="E521" s="13">
        <f t="shared" si="4"/>
        <v>0</v>
      </c>
      <c r="F521" s="13">
        <f t="shared" si="5"/>
        <v>0</v>
      </c>
      <c r="G521" s="13">
        <f t="shared" si="6"/>
        <v>1</v>
      </c>
      <c r="H521" s="13">
        <f>'Orbit Info'!C520*((C521*$O$2)+(D521*$O$3)+(E521*$O$4)+(F521*$O$5))</f>
        <v>15.628032</v>
      </c>
      <c r="I521" s="13">
        <f t="shared" si="7"/>
        <v>7.17578</v>
      </c>
      <c r="J521" s="18">
        <f t="shared" si="8"/>
        <v>0.1408708667</v>
      </c>
      <c r="K521" s="18">
        <f t="shared" si="10"/>
        <v>83.56256377</v>
      </c>
      <c r="L521" s="4"/>
      <c r="M521" s="4"/>
      <c r="N521" s="4"/>
      <c r="O521" s="4"/>
      <c r="P521" s="4"/>
      <c r="Q521" s="4"/>
      <c r="R521" s="4"/>
      <c r="S521" s="4"/>
      <c r="T521" s="4"/>
      <c r="U521" s="4"/>
      <c r="V521" s="4"/>
      <c r="W521" s="4"/>
    </row>
    <row r="522" ht="15.75" customHeight="1">
      <c r="A522" s="13">
        <f t="shared" si="9"/>
        <v>519</v>
      </c>
      <c r="B522" s="18">
        <f>A522/'Orbit Info'!$G$10</f>
        <v>5.485476647</v>
      </c>
      <c r="C522" s="13">
        <f t="shared" si="2"/>
        <v>1</v>
      </c>
      <c r="D522" s="13">
        <f t="shared" si="3"/>
        <v>0</v>
      </c>
      <c r="E522" s="13">
        <f t="shared" si="4"/>
        <v>0</v>
      </c>
      <c r="F522" s="13">
        <f t="shared" si="5"/>
        <v>0</v>
      </c>
      <c r="G522" s="13">
        <f t="shared" si="6"/>
        <v>1</v>
      </c>
      <c r="H522" s="13">
        <f>'Orbit Info'!C521*((C522*$O$2)+(D522*$O$3)+(E522*$O$4)+(F522*$O$5))</f>
        <v>15.628032</v>
      </c>
      <c r="I522" s="13">
        <f t="shared" si="7"/>
        <v>7.17578</v>
      </c>
      <c r="J522" s="18">
        <f t="shared" si="8"/>
        <v>0.1408708667</v>
      </c>
      <c r="K522" s="18">
        <f t="shared" si="10"/>
        <v>83.70343463</v>
      </c>
      <c r="L522" s="4"/>
      <c r="M522" s="4"/>
      <c r="N522" s="4"/>
      <c r="O522" s="4"/>
      <c r="P522" s="4"/>
      <c r="Q522" s="4"/>
      <c r="R522" s="4"/>
      <c r="S522" s="4"/>
      <c r="T522" s="4"/>
      <c r="U522" s="4"/>
      <c r="V522" s="4"/>
      <c r="W522" s="4"/>
    </row>
    <row r="523" ht="15.75" customHeight="1">
      <c r="A523" s="13">
        <f t="shared" si="9"/>
        <v>520</v>
      </c>
      <c r="B523" s="18">
        <f>A523/'Orbit Info'!$G$10</f>
        <v>5.496045966</v>
      </c>
      <c r="C523" s="13">
        <f t="shared" si="2"/>
        <v>1</v>
      </c>
      <c r="D523" s="13">
        <f t="shared" si="3"/>
        <v>0</v>
      </c>
      <c r="E523" s="13">
        <f t="shared" si="4"/>
        <v>0</v>
      </c>
      <c r="F523" s="13">
        <f t="shared" si="5"/>
        <v>0</v>
      </c>
      <c r="G523" s="13">
        <f t="shared" si="6"/>
        <v>1</v>
      </c>
      <c r="H523" s="13">
        <f>'Orbit Info'!C522*((C523*$O$2)+(D523*$O$3)+(E523*$O$4)+(F523*$O$5))</f>
        <v>15.628032</v>
      </c>
      <c r="I523" s="13">
        <f t="shared" si="7"/>
        <v>7.17578</v>
      </c>
      <c r="J523" s="18">
        <f t="shared" si="8"/>
        <v>0.1408708667</v>
      </c>
      <c r="K523" s="18">
        <f t="shared" si="10"/>
        <v>83.8443055</v>
      </c>
      <c r="L523" s="4"/>
      <c r="M523" s="4"/>
      <c r="N523" s="4"/>
      <c r="O523" s="4"/>
      <c r="P523" s="4"/>
      <c r="Q523" s="4"/>
      <c r="R523" s="4"/>
      <c r="S523" s="4"/>
      <c r="T523" s="4"/>
      <c r="U523" s="4"/>
      <c r="V523" s="4"/>
      <c r="W523" s="4"/>
    </row>
    <row r="524" ht="15.75" customHeight="1">
      <c r="A524" s="13">
        <f t="shared" si="9"/>
        <v>521</v>
      </c>
      <c r="B524" s="18">
        <f>A524/'Orbit Info'!$G$10</f>
        <v>5.506615285</v>
      </c>
      <c r="C524" s="13">
        <f t="shared" si="2"/>
        <v>1</v>
      </c>
      <c r="D524" s="13">
        <f t="shared" si="3"/>
        <v>0</v>
      </c>
      <c r="E524" s="13">
        <f t="shared" si="4"/>
        <v>0</v>
      </c>
      <c r="F524" s="13">
        <f t="shared" si="5"/>
        <v>0</v>
      </c>
      <c r="G524" s="13">
        <f t="shared" si="6"/>
        <v>1</v>
      </c>
      <c r="H524" s="13">
        <f>'Orbit Info'!C523*((C524*$O$2)+(D524*$O$3)+(E524*$O$4)+(F524*$O$5))</f>
        <v>15.628032</v>
      </c>
      <c r="I524" s="13">
        <f t="shared" si="7"/>
        <v>7.17578</v>
      </c>
      <c r="J524" s="18">
        <f t="shared" si="8"/>
        <v>0.1408708667</v>
      </c>
      <c r="K524" s="18">
        <f t="shared" si="10"/>
        <v>83.98517637</v>
      </c>
      <c r="L524" s="4"/>
      <c r="M524" s="4"/>
      <c r="N524" s="4"/>
      <c r="O524" s="4"/>
      <c r="P524" s="4"/>
      <c r="Q524" s="4"/>
      <c r="R524" s="4"/>
      <c r="S524" s="4"/>
      <c r="T524" s="4"/>
      <c r="U524" s="4"/>
      <c r="V524" s="4"/>
      <c r="W524" s="4"/>
    </row>
    <row r="525" ht="15.75" customHeight="1">
      <c r="A525" s="13">
        <f t="shared" si="9"/>
        <v>522</v>
      </c>
      <c r="B525" s="18">
        <f>A525/'Orbit Info'!$G$10</f>
        <v>5.517184605</v>
      </c>
      <c r="C525" s="13">
        <f t="shared" si="2"/>
        <v>1</v>
      </c>
      <c r="D525" s="13">
        <f t="shared" si="3"/>
        <v>0</v>
      </c>
      <c r="E525" s="13">
        <f t="shared" si="4"/>
        <v>0</v>
      </c>
      <c r="F525" s="13">
        <f t="shared" si="5"/>
        <v>0</v>
      </c>
      <c r="G525" s="13">
        <f t="shared" si="6"/>
        <v>1</v>
      </c>
      <c r="H525" s="13">
        <f>'Orbit Info'!C524*((C525*$O$2)+(D525*$O$3)+(E525*$O$4)+(F525*$O$5))</f>
        <v>15.628032</v>
      </c>
      <c r="I525" s="13">
        <f t="shared" si="7"/>
        <v>7.17578</v>
      </c>
      <c r="J525" s="18">
        <f t="shared" si="8"/>
        <v>0.1408708667</v>
      </c>
      <c r="K525" s="18">
        <f t="shared" si="10"/>
        <v>84.12604723</v>
      </c>
      <c r="L525" s="4"/>
      <c r="M525" s="4"/>
      <c r="N525" s="4"/>
      <c r="O525" s="4"/>
      <c r="P525" s="4"/>
      <c r="Q525" s="4"/>
      <c r="R525" s="4"/>
      <c r="S525" s="4"/>
      <c r="T525" s="4"/>
      <c r="U525" s="4"/>
      <c r="V525" s="4"/>
      <c r="W525" s="4"/>
    </row>
    <row r="526" ht="15.75" customHeight="1">
      <c r="A526" s="13">
        <f t="shared" si="9"/>
        <v>523</v>
      </c>
      <c r="B526" s="18">
        <f>A526/'Orbit Info'!$G$10</f>
        <v>5.527753924</v>
      </c>
      <c r="C526" s="13">
        <f t="shared" si="2"/>
        <v>1</v>
      </c>
      <c r="D526" s="13">
        <f t="shared" si="3"/>
        <v>0</v>
      </c>
      <c r="E526" s="13">
        <f t="shared" si="4"/>
        <v>0</v>
      </c>
      <c r="F526" s="13">
        <f t="shared" si="5"/>
        <v>0</v>
      </c>
      <c r="G526" s="13">
        <f t="shared" si="6"/>
        <v>1</v>
      </c>
      <c r="H526" s="13">
        <f>'Orbit Info'!C525*((C526*$O$2)+(D526*$O$3)+(E526*$O$4)+(F526*$O$5))</f>
        <v>15.628032</v>
      </c>
      <c r="I526" s="13">
        <f t="shared" si="7"/>
        <v>7.17578</v>
      </c>
      <c r="J526" s="18">
        <f t="shared" si="8"/>
        <v>0.1408708667</v>
      </c>
      <c r="K526" s="18">
        <f t="shared" si="10"/>
        <v>84.2669181</v>
      </c>
      <c r="L526" s="4"/>
      <c r="M526" s="4"/>
      <c r="N526" s="4"/>
      <c r="O526" s="4"/>
      <c r="P526" s="4"/>
      <c r="Q526" s="4"/>
      <c r="R526" s="4"/>
      <c r="S526" s="4"/>
      <c r="T526" s="4"/>
      <c r="U526" s="4"/>
      <c r="V526" s="4"/>
      <c r="W526" s="4"/>
    </row>
    <row r="527" ht="15.75" customHeight="1">
      <c r="A527" s="13">
        <f t="shared" si="9"/>
        <v>524</v>
      </c>
      <c r="B527" s="18">
        <f>A527/'Orbit Info'!$G$10</f>
        <v>5.538323243</v>
      </c>
      <c r="C527" s="13">
        <f t="shared" si="2"/>
        <v>1</v>
      </c>
      <c r="D527" s="13">
        <f t="shared" si="3"/>
        <v>0</v>
      </c>
      <c r="E527" s="13">
        <f t="shared" si="4"/>
        <v>0</v>
      </c>
      <c r="F527" s="13">
        <f t="shared" si="5"/>
        <v>0</v>
      </c>
      <c r="G527" s="13">
        <f t="shared" si="6"/>
        <v>1</v>
      </c>
      <c r="H527" s="13">
        <f>'Orbit Info'!C526*((C527*$O$2)+(D527*$O$3)+(E527*$O$4)+(F527*$O$5))</f>
        <v>15.628032</v>
      </c>
      <c r="I527" s="13">
        <f t="shared" si="7"/>
        <v>7.17578</v>
      </c>
      <c r="J527" s="18">
        <f t="shared" si="8"/>
        <v>0.1408708667</v>
      </c>
      <c r="K527" s="18">
        <f t="shared" si="10"/>
        <v>84.40778897</v>
      </c>
      <c r="L527" s="4"/>
      <c r="M527" s="4"/>
      <c r="N527" s="4"/>
      <c r="O527" s="4"/>
      <c r="P527" s="4"/>
      <c r="Q527" s="4"/>
      <c r="R527" s="4"/>
      <c r="S527" s="4"/>
      <c r="T527" s="4"/>
      <c r="U527" s="4"/>
      <c r="V527" s="4"/>
      <c r="W527" s="4"/>
    </row>
    <row r="528" ht="15.75" customHeight="1">
      <c r="A528" s="13">
        <f t="shared" si="9"/>
        <v>525</v>
      </c>
      <c r="B528" s="18">
        <f>A528/'Orbit Info'!$G$10</f>
        <v>5.548892562</v>
      </c>
      <c r="C528" s="13">
        <f t="shared" si="2"/>
        <v>1</v>
      </c>
      <c r="D528" s="13">
        <f t="shared" si="3"/>
        <v>0</v>
      </c>
      <c r="E528" s="13">
        <f t="shared" si="4"/>
        <v>0</v>
      </c>
      <c r="F528" s="13">
        <f t="shared" si="5"/>
        <v>0</v>
      </c>
      <c r="G528" s="13">
        <f t="shared" si="6"/>
        <v>1</v>
      </c>
      <c r="H528" s="13">
        <f>'Orbit Info'!C527*((C528*$O$2)+(D528*$O$3)+(E528*$O$4)+(F528*$O$5))</f>
        <v>15.628032</v>
      </c>
      <c r="I528" s="13">
        <f t="shared" si="7"/>
        <v>7.17578</v>
      </c>
      <c r="J528" s="18">
        <f t="shared" si="8"/>
        <v>0.1408708667</v>
      </c>
      <c r="K528" s="18">
        <f t="shared" si="10"/>
        <v>84.54865983</v>
      </c>
      <c r="L528" s="4"/>
      <c r="M528" s="4"/>
      <c r="N528" s="4"/>
      <c r="O528" s="4"/>
      <c r="P528" s="4"/>
      <c r="Q528" s="4"/>
      <c r="R528" s="4"/>
      <c r="S528" s="4"/>
      <c r="T528" s="4"/>
      <c r="U528" s="4"/>
      <c r="V528" s="4"/>
      <c r="W528" s="4"/>
    </row>
    <row r="529" ht="15.75" customHeight="1">
      <c r="A529" s="13">
        <f t="shared" si="9"/>
        <v>526</v>
      </c>
      <c r="B529" s="18">
        <f>A529/'Orbit Info'!$G$10</f>
        <v>5.559461881</v>
      </c>
      <c r="C529" s="13">
        <f t="shared" si="2"/>
        <v>1</v>
      </c>
      <c r="D529" s="13">
        <f t="shared" si="3"/>
        <v>0</v>
      </c>
      <c r="E529" s="13">
        <f t="shared" si="4"/>
        <v>0</v>
      </c>
      <c r="F529" s="13">
        <f t="shared" si="5"/>
        <v>0</v>
      </c>
      <c r="G529" s="13">
        <f t="shared" si="6"/>
        <v>1</v>
      </c>
      <c r="H529" s="13">
        <f>'Orbit Info'!C528*((C529*$O$2)+(D529*$O$3)+(E529*$O$4)+(F529*$O$5))</f>
        <v>15.628032</v>
      </c>
      <c r="I529" s="13">
        <f t="shared" si="7"/>
        <v>7.17578</v>
      </c>
      <c r="J529" s="18">
        <f t="shared" si="8"/>
        <v>0.1408708667</v>
      </c>
      <c r="K529" s="18">
        <f t="shared" si="10"/>
        <v>84.6895307</v>
      </c>
      <c r="L529" s="4"/>
      <c r="M529" s="4"/>
      <c r="N529" s="4"/>
      <c r="O529" s="4"/>
      <c r="P529" s="4"/>
      <c r="Q529" s="4"/>
      <c r="R529" s="4"/>
      <c r="S529" s="4"/>
      <c r="T529" s="4"/>
      <c r="U529" s="4"/>
      <c r="V529" s="4"/>
      <c r="W529" s="4"/>
    </row>
    <row r="530" ht="15.75" customHeight="1">
      <c r="A530" s="13">
        <f t="shared" si="9"/>
        <v>527</v>
      </c>
      <c r="B530" s="18">
        <f>A530/'Orbit Info'!$G$10</f>
        <v>5.5700312</v>
      </c>
      <c r="C530" s="13">
        <f t="shared" si="2"/>
        <v>1</v>
      </c>
      <c r="D530" s="13">
        <f t="shared" si="3"/>
        <v>0</v>
      </c>
      <c r="E530" s="13">
        <f t="shared" si="4"/>
        <v>0</v>
      </c>
      <c r="F530" s="13">
        <f t="shared" si="5"/>
        <v>0</v>
      </c>
      <c r="G530" s="13">
        <f t="shared" si="6"/>
        <v>1</v>
      </c>
      <c r="H530" s="13">
        <f>'Orbit Info'!C529*((C530*$O$2)+(D530*$O$3)+(E530*$O$4)+(F530*$O$5))</f>
        <v>15.628032</v>
      </c>
      <c r="I530" s="13">
        <f t="shared" si="7"/>
        <v>7.17578</v>
      </c>
      <c r="J530" s="18">
        <f t="shared" si="8"/>
        <v>0.1408708667</v>
      </c>
      <c r="K530" s="18">
        <f t="shared" si="10"/>
        <v>84.83040157</v>
      </c>
      <c r="L530" s="4"/>
      <c r="M530" s="4"/>
      <c r="N530" s="4"/>
      <c r="O530" s="4"/>
      <c r="P530" s="4"/>
      <c r="Q530" s="4"/>
      <c r="R530" s="4"/>
      <c r="S530" s="4"/>
      <c r="T530" s="4"/>
      <c r="U530" s="4"/>
      <c r="V530" s="4"/>
      <c r="W530" s="4"/>
    </row>
    <row r="531" ht="15.75" customHeight="1">
      <c r="A531" s="13">
        <f t="shared" si="9"/>
        <v>528</v>
      </c>
      <c r="B531" s="18">
        <f>A531/'Orbit Info'!$G$10</f>
        <v>5.58060052</v>
      </c>
      <c r="C531" s="13">
        <f t="shared" si="2"/>
        <v>1</v>
      </c>
      <c r="D531" s="13">
        <f t="shared" si="3"/>
        <v>0</v>
      </c>
      <c r="E531" s="13">
        <f t="shared" si="4"/>
        <v>0</v>
      </c>
      <c r="F531" s="13">
        <f t="shared" si="5"/>
        <v>0</v>
      </c>
      <c r="G531" s="13">
        <f t="shared" si="6"/>
        <v>1</v>
      </c>
      <c r="H531" s="13">
        <f>'Orbit Info'!C530*((C531*$O$2)+(D531*$O$3)+(E531*$O$4)+(F531*$O$5))</f>
        <v>15.628032</v>
      </c>
      <c r="I531" s="13">
        <f t="shared" si="7"/>
        <v>7.17578</v>
      </c>
      <c r="J531" s="18">
        <f t="shared" si="8"/>
        <v>0.1408708667</v>
      </c>
      <c r="K531" s="18">
        <f t="shared" si="10"/>
        <v>84.97127243</v>
      </c>
      <c r="L531" s="4"/>
      <c r="M531" s="4"/>
      <c r="N531" s="4"/>
      <c r="O531" s="4"/>
      <c r="P531" s="4"/>
      <c r="Q531" s="4"/>
      <c r="R531" s="4"/>
      <c r="S531" s="4"/>
      <c r="T531" s="4"/>
      <c r="U531" s="4"/>
      <c r="V531" s="4"/>
      <c r="W531" s="4"/>
    </row>
    <row r="532" ht="15.75" customHeight="1">
      <c r="A532" s="13">
        <f t="shared" si="9"/>
        <v>529</v>
      </c>
      <c r="B532" s="18">
        <f>A532/'Orbit Info'!$G$10</f>
        <v>5.591169839</v>
      </c>
      <c r="C532" s="13">
        <f t="shared" si="2"/>
        <v>1</v>
      </c>
      <c r="D532" s="13">
        <f t="shared" si="3"/>
        <v>0</v>
      </c>
      <c r="E532" s="13">
        <f t="shared" si="4"/>
        <v>0</v>
      </c>
      <c r="F532" s="13">
        <f t="shared" si="5"/>
        <v>0</v>
      </c>
      <c r="G532" s="13">
        <f t="shared" si="6"/>
        <v>1</v>
      </c>
      <c r="H532" s="13">
        <f>'Orbit Info'!C531*((C532*$O$2)+(D532*$O$3)+(E532*$O$4)+(F532*$O$5))</f>
        <v>15.628032</v>
      </c>
      <c r="I532" s="13">
        <f t="shared" si="7"/>
        <v>7.17578</v>
      </c>
      <c r="J532" s="18">
        <f t="shared" si="8"/>
        <v>0.1408708667</v>
      </c>
      <c r="K532" s="18">
        <f t="shared" si="10"/>
        <v>85.1121433</v>
      </c>
      <c r="L532" s="4"/>
      <c r="M532" s="4"/>
      <c r="N532" s="4"/>
      <c r="O532" s="4"/>
      <c r="P532" s="4"/>
      <c r="Q532" s="4"/>
      <c r="R532" s="4"/>
      <c r="S532" s="4"/>
      <c r="T532" s="4"/>
      <c r="U532" s="4"/>
      <c r="V532" s="4"/>
      <c r="W532" s="4"/>
    </row>
    <row r="533" ht="15.75" customHeight="1">
      <c r="A533" s="13">
        <f t="shared" si="9"/>
        <v>530</v>
      </c>
      <c r="B533" s="18">
        <f>A533/'Orbit Info'!$G$10</f>
        <v>5.601739158</v>
      </c>
      <c r="C533" s="13">
        <f t="shared" si="2"/>
        <v>1</v>
      </c>
      <c r="D533" s="13">
        <f t="shared" si="3"/>
        <v>0</v>
      </c>
      <c r="E533" s="13">
        <f t="shared" si="4"/>
        <v>0</v>
      </c>
      <c r="F533" s="13">
        <f t="shared" si="5"/>
        <v>0</v>
      </c>
      <c r="G533" s="13">
        <f t="shared" si="6"/>
        <v>1</v>
      </c>
      <c r="H533" s="13">
        <f>'Orbit Info'!C532*((C533*$O$2)+(D533*$O$3)+(E533*$O$4)+(F533*$O$5))</f>
        <v>15.628032</v>
      </c>
      <c r="I533" s="13">
        <f t="shared" si="7"/>
        <v>7.17578</v>
      </c>
      <c r="J533" s="18">
        <f t="shared" si="8"/>
        <v>0.1408708667</v>
      </c>
      <c r="K533" s="18">
        <f t="shared" si="10"/>
        <v>85.25301417</v>
      </c>
      <c r="L533" s="4"/>
      <c r="M533" s="4"/>
      <c r="N533" s="4"/>
      <c r="O533" s="4"/>
      <c r="P533" s="4"/>
      <c r="Q533" s="4"/>
      <c r="R533" s="4"/>
      <c r="S533" s="4"/>
      <c r="T533" s="4"/>
      <c r="U533" s="4"/>
      <c r="V533" s="4"/>
      <c r="W533" s="4"/>
    </row>
    <row r="534" ht="15.75" customHeight="1">
      <c r="A534" s="13">
        <f t="shared" si="9"/>
        <v>531</v>
      </c>
      <c r="B534" s="18">
        <f>A534/'Orbit Info'!$G$10</f>
        <v>5.612308477</v>
      </c>
      <c r="C534" s="13">
        <f t="shared" si="2"/>
        <v>1</v>
      </c>
      <c r="D534" s="13">
        <f t="shared" si="3"/>
        <v>0</v>
      </c>
      <c r="E534" s="13">
        <f t="shared" si="4"/>
        <v>0</v>
      </c>
      <c r="F534" s="13">
        <f t="shared" si="5"/>
        <v>0</v>
      </c>
      <c r="G534" s="13">
        <f t="shared" si="6"/>
        <v>1</v>
      </c>
      <c r="H534" s="13">
        <f>'Orbit Info'!C533*((C534*$O$2)+(D534*$O$3)+(E534*$O$4)+(F534*$O$5))</f>
        <v>15.628032</v>
      </c>
      <c r="I534" s="13">
        <f t="shared" si="7"/>
        <v>7.17578</v>
      </c>
      <c r="J534" s="18">
        <f t="shared" si="8"/>
        <v>0.1408708667</v>
      </c>
      <c r="K534" s="18">
        <f t="shared" si="10"/>
        <v>85.39388503</v>
      </c>
      <c r="L534" s="4"/>
      <c r="M534" s="4"/>
      <c r="N534" s="4"/>
      <c r="O534" s="4"/>
      <c r="P534" s="4"/>
      <c r="Q534" s="4"/>
      <c r="R534" s="4"/>
      <c r="S534" s="4"/>
      <c r="T534" s="4"/>
      <c r="U534" s="4"/>
      <c r="V534" s="4"/>
      <c r="W534" s="4"/>
    </row>
    <row r="535" ht="15.75" customHeight="1">
      <c r="A535" s="13">
        <f t="shared" si="9"/>
        <v>532</v>
      </c>
      <c r="B535" s="18">
        <f>A535/'Orbit Info'!$G$10</f>
        <v>5.622877796</v>
      </c>
      <c r="C535" s="13">
        <f t="shared" si="2"/>
        <v>1</v>
      </c>
      <c r="D535" s="13">
        <f t="shared" si="3"/>
        <v>0</v>
      </c>
      <c r="E535" s="13">
        <f t="shared" si="4"/>
        <v>0</v>
      </c>
      <c r="F535" s="13">
        <f t="shared" si="5"/>
        <v>0</v>
      </c>
      <c r="G535" s="13">
        <f t="shared" si="6"/>
        <v>1</v>
      </c>
      <c r="H535" s="13">
        <f>'Orbit Info'!C534*((C535*$O$2)+(D535*$O$3)+(E535*$O$4)+(F535*$O$5))</f>
        <v>0</v>
      </c>
      <c r="I535" s="13">
        <f t="shared" si="7"/>
        <v>7.17578</v>
      </c>
      <c r="J535" s="18">
        <f t="shared" si="8"/>
        <v>-0.1195963333</v>
      </c>
      <c r="K535" s="18">
        <f t="shared" si="10"/>
        <v>85.2742887</v>
      </c>
      <c r="L535" s="4"/>
      <c r="M535" s="4"/>
      <c r="N535" s="4"/>
      <c r="O535" s="4"/>
      <c r="P535" s="4"/>
      <c r="Q535" s="4"/>
      <c r="R535" s="4"/>
      <c r="S535" s="4"/>
      <c r="T535" s="4"/>
      <c r="U535" s="4"/>
      <c r="V535" s="4"/>
      <c r="W535" s="4"/>
    </row>
    <row r="536" ht="15.75" customHeight="1">
      <c r="A536" s="13">
        <f t="shared" si="9"/>
        <v>533</v>
      </c>
      <c r="B536" s="18">
        <f>A536/'Orbit Info'!$G$10</f>
        <v>5.633447115</v>
      </c>
      <c r="C536" s="13">
        <f t="shared" si="2"/>
        <v>1</v>
      </c>
      <c r="D536" s="13">
        <f t="shared" si="3"/>
        <v>0</v>
      </c>
      <c r="E536" s="13">
        <f t="shared" si="4"/>
        <v>0</v>
      </c>
      <c r="F536" s="13">
        <f t="shared" si="5"/>
        <v>0</v>
      </c>
      <c r="G536" s="13">
        <f t="shared" si="6"/>
        <v>1</v>
      </c>
      <c r="H536" s="13">
        <f>'Orbit Info'!C535*((C536*$O$2)+(D536*$O$3)+(E536*$O$4)+(F536*$O$5))</f>
        <v>0</v>
      </c>
      <c r="I536" s="13">
        <f t="shared" si="7"/>
        <v>7.17578</v>
      </c>
      <c r="J536" s="18">
        <f t="shared" si="8"/>
        <v>-0.1195963333</v>
      </c>
      <c r="K536" s="18">
        <f t="shared" si="10"/>
        <v>85.15469237</v>
      </c>
      <c r="L536" s="4"/>
      <c r="M536" s="4"/>
      <c r="N536" s="4"/>
      <c r="O536" s="4"/>
      <c r="P536" s="4"/>
      <c r="Q536" s="4"/>
      <c r="R536" s="4"/>
      <c r="S536" s="4"/>
      <c r="T536" s="4"/>
      <c r="U536" s="4"/>
      <c r="V536" s="4"/>
      <c r="W536" s="4"/>
    </row>
    <row r="537" ht="15.75" customHeight="1">
      <c r="A537" s="13">
        <f t="shared" si="9"/>
        <v>534</v>
      </c>
      <c r="B537" s="18">
        <f>A537/'Orbit Info'!$G$10</f>
        <v>5.644016435</v>
      </c>
      <c r="C537" s="13">
        <f t="shared" si="2"/>
        <v>1</v>
      </c>
      <c r="D537" s="13">
        <f t="shared" si="3"/>
        <v>0</v>
      </c>
      <c r="E537" s="13">
        <f t="shared" si="4"/>
        <v>0</v>
      </c>
      <c r="F537" s="13">
        <f t="shared" si="5"/>
        <v>0</v>
      </c>
      <c r="G537" s="13">
        <f t="shared" si="6"/>
        <v>1</v>
      </c>
      <c r="H537" s="13">
        <f>'Orbit Info'!C536*((C537*$O$2)+(D537*$O$3)+(E537*$O$4)+(F537*$O$5))</f>
        <v>0</v>
      </c>
      <c r="I537" s="13">
        <f t="shared" si="7"/>
        <v>7.17578</v>
      </c>
      <c r="J537" s="18">
        <f t="shared" si="8"/>
        <v>-0.1195963333</v>
      </c>
      <c r="K537" s="18">
        <f t="shared" si="10"/>
        <v>85.03509603</v>
      </c>
      <c r="L537" s="4"/>
      <c r="M537" s="4"/>
      <c r="N537" s="4"/>
      <c r="O537" s="4"/>
      <c r="P537" s="4"/>
      <c r="Q537" s="4"/>
      <c r="R537" s="4"/>
      <c r="S537" s="4"/>
      <c r="T537" s="4"/>
      <c r="U537" s="4"/>
      <c r="V537" s="4"/>
      <c r="W537" s="4"/>
    </row>
    <row r="538" ht="15.75" customHeight="1">
      <c r="A538" s="13">
        <f t="shared" si="9"/>
        <v>535</v>
      </c>
      <c r="B538" s="18">
        <f>A538/'Orbit Info'!$G$10</f>
        <v>5.654585754</v>
      </c>
      <c r="C538" s="13">
        <f t="shared" si="2"/>
        <v>1</v>
      </c>
      <c r="D538" s="13">
        <f t="shared" si="3"/>
        <v>0</v>
      </c>
      <c r="E538" s="13">
        <f t="shared" si="4"/>
        <v>0</v>
      </c>
      <c r="F538" s="13">
        <f t="shared" si="5"/>
        <v>0</v>
      </c>
      <c r="G538" s="13">
        <f t="shared" si="6"/>
        <v>1</v>
      </c>
      <c r="H538" s="13">
        <f>'Orbit Info'!C537*((C538*$O$2)+(D538*$O$3)+(E538*$O$4)+(F538*$O$5))</f>
        <v>0</v>
      </c>
      <c r="I538" s="13">
        <f t="shared" si="7"/>
        <v>7.17578</v>
      </c>
      <c r="J538" s="18">
        <f t="shared" si="8"/>
        <v>-0.1195963333</v>
      </c>
      <c r="K538" s="18">
        <f t="shared" si="10"/>
        <v>84.9154997</v>
      </c>
      <c r="L538" s="4"/>
      <c r="M538" s="4"/>
      <c r="N538" s="4"/>
      <c r="O538" s="4"/>
      <c r="P538" s="4"/>
      <c r="Q538" s="4"/>
      <c r="R538" s="4"/>
      <c r="S538" s="4"/>
      <c r="T538" s="4"/>
      <c r="U538" s="4"/>
      <c r="V538" s="4"/>
      <c r="W538" s="4"/>
    </row>
    <row r="539" ht="15.75" customHeight="1">
      <c r="A539" s="13">
        <f t="shared" si="9"/>
        <v>536</v>
      </c>
      <c r="B539" s="18">
        <f>A539/'Orbit Info'!$G$10</f>
        <v>5.665155073</v>
      </c>
      <c r="C539" s="13">
        <f t="shared" si="2"/>
        <v>1</v>
      </c>
      <c r="D539" s="13">
        <f t="shared" si="3"/>
        <v>0</v>
      </c>
      <c r="E539" s="13">
        <f t="shared" si="4"/>
        <v>0</v>
      </c>
      <c r="F539" s="13">
        <f t="shared" si="5"/>
        <v>0</v>
      </c>
      <c r="G539" s="13">
        <f t="shared" si="6"/>
        <v>1</v>
      </c>
      <c r="H539" s="13">
        <f>'Orbit Info'!C538*((C539*$O$2)+(D539*$O$3)+(E539*$O$4)+(F539*$O$5))</f>
        <v>0</v>
      </c>
      <c r="I539" s="13">
        <f t="shared" si="7"/>
        <v>7.17578</v>
      </c>
      <c r="J539" s="18">
        <f t="shared" si="8"/>
        <v>-0.1195963333</v>
      </c>
      <c r="K539" s="18">
        <f t="shared" si="10"/>
        <v>84.79590337</v>
      </c>
      <c r="L539" s="4"/>
      <c r="M539" s="4"/>
      <c r="N539" s="4"/>
      <c r="O539" s="4"/>
      <c r="P539" s="4"/>
      <c r="Q539" s="4"/>
      <c r="R539" s="4"/>
      <c r="S539" s="4"/>
      <c r="T539" s="4"/>
      <c r="U539" s="4"/>
      <c r="V539" s="4"/>
      <c r="W539" s="4"/>
    </row>
    <row r="540" ht="15.75" customHeight="1">
      <c r="A540" s="13">
        <f t="shared" si="9"/>
        <v>537</v>
      </c>
      <c r="B540" s="18">
        <f>A540/'Orbit Info'!$G$10</f>
        <v>5.675724392</v>
      </c>
      <c r="C540" s="13">
        <f t="shared" si="2"/>
        <v>1</v>
      </c>
      <c r="D540" s="13">
        <f t="shared" si="3"/>
        <v>0</v>
      </c>
      <c r="E540" s="13">
        <f t="shared" si="4"/>
        <v>0</v>
      </c>
      <c r="F540" s="13">
        <f t="shared" si="5"/>
        <v>0</v>
      </c>
      <c r="G540" s="13">
        <f t="shared" si="6"/>
        <v>1</v>
      </c>
      <c r="H540" s="13">
        <f>'Orbit Info'!C539*((C540*$O$2)+(D540*$O$3)+(E540*$O$4)+(F540*$O$5))</f>
        <v>0</v>
      </c>
      <c r="I540" s="13">
        <f t="shared" si="7"/>
        <v>7.17578</v>
      </c>
      <c r="J540" s="18">
        <f t="shared" si="8"/>
        <v>-0.1195963333</v>
      </c>
      <c r="K540" s="18">
        <f t="shared" si="10"/>
        <v>84.67630703</v>
      </c>
      <c r="L540" s="4"/>
      <c r="M540" s="4"/>
      <c r="N540" s="4"/>
      <c r="O540" s="4"/>
      <c r="P540" s="4"/>
      <c r="Q540" s="4"/>
      <c r="R540" s="4"/>
      <c r="S540" s="4"/>
      <c r="T540" s="4"/>
      <c r="U540" s="4"/>
      <c r="V540" s="4"/>
      <c r="W540" s="4"/>
    </row>
    <row r="541" ht="15.75" customHeight="1">
      <c r="A541" s="13">
        <f t="shared" si="9"/>
        <v>538</v>
      </c>
      <c r="B541" s="18">
        <f>A541/'Orbit Info'!$G$10</f>
        <v>5.686293711</v>
      </c>
      <c r="C541" s="13">
        <f t="shared" si="2"/>
        <v>1</v>
      </c>
      <c r="D541" s="13">
        <f t="shared" si="3"/>
        <v>0</v>
      </c>
      <c r="E541" s="13">
        <f t="shared" si="4"/>
        <v>0</v>
      </c>
      <c r="F541" s="13">
        <f t="shared" si="5"/>
        <v>0</v>
      </c>
      <c r="G541" s="13">
        <f t="shared" si="6"/>
        <v>1</v>
      </c>
      <c r="H541" s="13">
        <f>'Orbit Info'!C540*((C541*$O$2)+(D541*$O$3)+(E541*$O$4)+(F541*$O$5))</f>
        <v>0</v>
      </c>
      <c r="I541" s="13">
        <f t="shared" si="7"/>
        <v>7.17578</v>
      </c>
      <c r="J541" s="18">
        <f t="shared" si="8"/>
        <v>-0.1195963333</v>
      </c>
      <c r="K541" s="18">
        <f t="shared" si="10"/>
        <v>84.5567107</v>
      </c>
      <c r="L541" s="4"/>
      <c r="M541" s="4"/>
      <c r="N541" s="4"/>
      <c r="O541" s="4"/>
      <c r="P541" s="4"/>
      <c r="Q541" s="4"/>
      <c r="R541" s="4"/>
      <c r="S541" s="4"/>
      <c r="T541" s="4"/>
      <c r="U541" s="4"/>
      <c r="V541" s="4"/>
      <c r="W541" s="4"/>
    </row>
    <row r="542" ht="15.75" customHeight="1">
      <c r="A542" s="13">
        <f t="shared" si="9"/>
        <v>539</v>
      </c>
      <c r="B542" s="18">
        <f>A542/'Orbit Info'!$G$10</f>
        <v>5.69686303</v>
      </c>
      <c r="C542" s="13">
        <f t="shared" si="2"/>
        <v>1</v>
      </c>
      <c r="D542" s="13">
        <f t="shared" si="3"/>
        <v>0</v>
      </c>
      <c r="E542" s="13">
        <f t="shared" si="4"/>
        <v>0</v>
      </c>
      <c r="F542" s="13">
        <f t="shared" si="5"/>
        <v>0</v>
      </c>
      <c r="G542" s="13">
        <f t="shared" si="6"/>
        <v>1</v>
      </c>
      <c r="H542" s="13">
        <f>'Orbit Info'!C541*((C542*$O$2)+(D542*$O$3)+(E542*$O$4)+(F542*$O$5))</f>
        <v>0</v>
      </c>
      <c r="I542" s="13">
        <f t="shared" si="7"/>
        <v>7.17578</v>
      </c>
      <c r="J542" s="18">
        <f t="shared" si="8"/>
        <v>-0.1195963333</v>
      </c>
      <c r="K542" s="18">
        <f t="shared" si="10"/>
        <v>84.43711437</v>
      </c>
      <c r="L542" s="4"/>
      <c r="M542" s="4"/>
      <c r="N542" s="4"/>
      <c r="O542" s="4"/>
      <c r="P542" s="4"/>
      <c r="Q542" s="4"/>
      <c r="R542" s="4"/>
      <c r="S542" s="4"/>
      <c r="T542" s="4"/>
      <c r="U542" s="4"/>
      <c r="V542" s="4"/>
      <c r="W542" s="4"/>
    </row>
    <row r="543" ht="15.75" customHeight="1">
      <c r="A543" s="13">
        <f t="shared" si="9"/>
        <v>540</v>
      </c>
      <c r="B543" s="18">
        <f>A543/'Orbit Info'!$G$10</f>
        <v>5.70743235</v>
      </c>
      <c r="C543" s="13">
        <f t="shared" si="2"/>
        <v>1</v>
      </c>
      <c r="D543" s="13">
        <f t="shared" si="3"/>
        <v>0</v>
      </c>
      <c r="E543" s="13">
        <f t="shared" si="4"/>
        <v>0</v>
      </c>
      <c r="F543" s="13">
        <f t="shared" si="5"/>
        <v>0</v>
      </c>
      <c r="G543" s="13">
        <f t="shared" si="6"/>
        <v>1</v>
      </c>
      <c r="H543" s="13">
        <f>'Orbit Info'!C542*((C543*$O$2)+(D543*$O$3)+(E543*$O$4)+(F543*$O$5))</f>
        <v>0</v>
      </c>
      <c r="I543" s="13">
        <f t="shared" si="7"/>
        <v>7.17578</v>
      </c>
      <c r="J543" s="18">
        <f t="shared" si="8"/>
        <v>-0.1195963333</v>
      </c>
      <c r="K543" s="18">
        <f t="shared" si="10"/>
        <v>84.31751803</v>
      </c>
      <c r="L543" s="4"/>
      <c r="M543" s="4"/>
      <c r="N543" s="4"/>
      <c r="O543" s="4"/>
      <c r="P543" s="4"/>
      <c r="Q543" s="4"/>
      <c r="R543" s="4"/>
      <c r="S543" s="4"/>
      <c r="T543" s="4"/>
      <c r="U543" s="4"/>
      <c r="V543" s="4"/>
      <c r="W543" s="4"/>
    </row>
    <row r="544" ht="15.75" customHeight="1">
      <c r="A544" s="13">
        <f t="shared" si="9"/>
        <v>541</v>
      </c>
      <c r="B544" s="18">
        <f>A544/'Orbit Info'!$G$10</f>
        <v>5.718001669</v>
      </c>
      <c r="C544" s="13">
        <f t="shared" si="2"/>
        <v>1</v>
      </c>
      <c r="D544" s="13">
        <f t="shared" si="3"/>
        <v>0</v>
      </c>
      <c r="E544" s="13">
        <f t="shared" si="4"/>
        <v>0</v>
      </c>
      <c r="F544" s="13">
        <f t="shared" si="5"/>
        <v>0</v>
      </c>
      <c r="G544" s="13">
        <f t="shared" si="6"/>
        <v>1</v>
      </c>
      <c r="H544" s="13">
        <f>'Orbit Info'!C543*((C544*$O$2)+(D544*$O$3)+(E544*$O$4)+(F544*$O$5))</f>
        <v>0</v>
      </c>
      <c r="I544" s="13">
        <f t="shared" si="7"/>
        <v>7.17578</v>
      </c>
      <c r="J544" s="18">
        <f t="shared" si="8"/>
        <v>-0.1195963333</v>
      </c>
      <c r="K544" s="18">
        <f t="shared" si="10"/>
        <v>84.1979217</v>
      </c>
      <c r="L544" s="4"/>
      <c r="M544" s="4"/>
      <c r="N544" s="4"/>
      <c r="O544" s="4"/>
      <c r="P544" s="4"/>
      <c r="Q544" s="4"/>
      <c r="R544" s="4"/>
      <c r="S544" s="4"/>
      <c r="T544" s="4"/>
      <c r="U544" s="4"/>
      <c r="V544" s="4"/>
      <c r="W544" s="4"/>
    </row>
    <row r="545" ht="15.75" customHeight="1">
      <c r="A545" s="13">
        <f t="shared" si="9"/>
        <v>542</v>
      </c>
      <c r="B545" s="18">
        <f>A545/'Orbit Info'!$G$10</f>
        <v>5.728570988</v>
      </c>
      <c r="C545" s="13">
        <f t="shared" si="2"/>
        <v>1</v>
      </c>
      <c r="D545" s="13">
        <f t="shared" si="3"/>
        <v>0</v>
      </c>
      <c r="E545" s="13">
        <f t="shared" si="4"/>
        <v>0</v>
      </c>
      <c r="F545" s="13">
        <f t="shared" si="5"/>
        <v>0</v>
      </c>
      <c r="G545" s="13">
        <f t="shared" si="6"/>
        <v>1</v>
      </c>
      <c r="H545" s="13">
        <f>'Orbit Info'!C544*((C545*$O$2)+(D545*$O$3)+(E545*$O$4)+(F545*$O$5))</f>
        <v>0</v>
      </c>
      <c r="I545" s="13">
        <f t="shared" si="7"/>
        <v>7.17578</v>
      </c>
      <c r="J545" s="18">
        <f t="shared" si="8"/>
        <v>-0.1195963333</v>
      </c>
      <c r="K545" s="18">
        <f t="shared" si="10"/>
        <v>84.07832537</v>
      </c>
      <c r="L545" s="4"/>
      <c r="M545" s="4"/>
      <c r="N545" s="4"/>
      <c r="O545" s="4"/>
      <c r="P545" s="4"/>
      <c r="Q545" s="4"/>
      <c r="R545" s="4"/>
      <c r="S545" s="4"/>
      <c r="T545" s="4"/>
      <c r="U545" s="4"/>
      <c r="V545" s="4"/>
      <c r="W545" s="4"/>
    </row>
    <row r="546" ht="15.75" customHeight="1">
      <c r="A546" s="13">
        <f t="shared" si="9"/>
        <v>543</v>
      </c>
      <c r="B546" s="18">
        <f>A546/'Orbit Info'!$G$10</f>
        <v>5.739140307</v>
      </c>
      <c r="C546" s="13">
        <f t="shared" si="2"/>
        <v>1</v>
      </c>
      <c r="D546" s="13">
        <f t="shared" si="3"/>
        <v>0</v>
      </c>
      <c r="E546" s="13">
        <f t="shared" si="4"/>
        <v>0</v>
      </c>
      <c r="F546" s="13">
        <f t="shared" si="5"/>
        <v>0</v>
      </c>
      <c r="G546" s="13">
        <f t="shared" si="6"/>
        <v>1</v>
      </c>
      <c r="H546" s="13">
        <f>'Orbit Info'!C545*((C546*$O$2)+(D546*$O$3)+(E546*$O$4)+(F546*$O$5))</f>
        <v>0</v>
      </c>
      <c r="I546" s="13">
        <f t="shared" si="7"/>
        <v>7.17578</v>
      </c>
      <c r="J546" s="18">
        <f t="shared" si="8"/>
        <v>-0.1195963333</v>
      </c>
      <c r="K546" s="18">
        <f t="shared" si="10"/>
        <v>83.95872903</v>
      </c>
      <c r="L546" s="4"/>
      <c r="M546" s="4"/>
      <c r="N546" s="4"/>
      <c r="O546" s="4"/>
      <c r="P546" s="4"/>
      <c r="Q546" s="4"/>
      <c r="R546" s="4"/>
      <c r="S546" s="4"/>
      <c r="T546" s="4"/>
      <c r="U546" s="4"/>
      <c r="V546" s="4"/>
      <c r="W546" s="4"/>
    </row>
    <row r="547" ht="15.75" customHeight="1">
      <c r="A547" s="13">
        <f t="shared" si="9"/>
        <v>544</v>
      </c>
      <c r="B547" s="18">
        <f>A547/'Orbit Info'!$G$10</f>
        <v>5.749709626</v>
      </c>
      <c r="C547" s="13">
        <f t="shared" si="2"/>
        <v>1</v>
      </c>
      <c r="D547" s="13">
        <f t="shared" si="3"/>
        <v>0</v>
      </c>
      <c r="E547" s="13">
        <f t="shared" si="4"/>
        <v>0</v>
      </c>
      <c r="F547" s="13">
        <f t="shared" si="5"/>
        <v>0</v>
      </c>
      <c r="G547" s="13">
        <f t="shared" si="6"/>
        <v>1</v>
      </c>
      <c r="H547" s="13">
        <f>'Orbit Info'!C546*((C547*$O$2)+(D547*$O$3)+(E547*$O$4)+(F547*$O$5))</f>
        <v>0</v>
      </c>
      <c r="I547" s="13">
        <f t="shared" si="7"/>
        <v>7.17578</v>
      </c>
      <c r="J547" s="18">
        <f t="shared" si="8"/>
        <v>-0.1195963333</v>
      </c>
      <c r="K547" s="18">
        <f t="shared" si="10"/>
        <v>83.8391327</v>
      </c>
      <c r="L547" s="4"/>
      <c r="M547" s="4"/>
      <c r="N547" s="4"/>
      <c r="O547" s="4"/>
      <c r="P547" s="4"/>
      <c r="Q547" s="4"/>
      <c r="R547" s="4"/>
      <c r="S547" s="4"/>
      <c r="T547" s="4"/>
      <c r="U547" s="4"/>
      <c r="V547" s="4"/>
      <c r="W547" s="4"/>
    </row>
    <row r="548" ht="15.75" customHeight="1">
      <c r="A548" s="13">
        <f t="shared" si="9"/>
        <v>545</v>
      </c>
      <c r="B548" s="18">
        <f>A548/'Orbit Info'!$G$10</f>
        <v>5.760278945</v>
      </c>
      <c r="C548" s="13">
        <f t="shared" si="2"/>
        <v>1</v>
      </c>
      <c r="D548" s="13">
        <f t="shared" si="3"/>
        <v>0</v>
      </c>
      <c r="E548" s="13">
        <f t="shared" si="4"/>
        <v>0</v>
      </c>
      <c r="F548" s="13">
        <f t="shared" si="5"/>
        <v>0</v>
      </c>
      <c r="G548" s="13">
        <f t="shared" si="6"/>
        <v>1</v>
      </c>
      <c r="H548" s="13">
        <f>'Orbit Info'!C547*((C548*$O$2)+(D548*$O$3)+(E548*$O$4)+(F548*$O$5))</f>
        <v>0</v>
      </c>
      <c r="I548" s="13">
        <f t="shared" si="7"/>
        <v>7.17578</v>
      </c>
      <c r="J548" s="18">
        <f t="shared" si="8"/>
        <v>-0.1195963333</v>
      </c>
      <c r="K548" s="18">
        <f t="shared" si="10"/>
        <v>83.71953637</v>
      </c>
      <c r="L548" s="4"/>
      <c r="M548" s="4"/>
      <c r="N548" s="4"/>
      <c r="O548" s="4"/>
      <c r="P548" s="4"/>
      <c r="Q548" s="4"/>
      <c r="R548" s="4"/>
      <c r="S548" s="4"/>
      <c r="T548" s="4"/>
      <c r="U548" s="4"/>
      <c r="V548" s="4"/>
      <c r="W548" s="4"/>
    </row>
    <row r="549" ht="15.75" customHeight="1">
      <c r="A549" s="13">
        <f t="shared" si="9"/>
        <v>546</v>
      </c>
      <c r="B549" s="18">
        <f>A549/'Orbit Info'!$G$10</f>
        <v>5.770848265</v>
      </c>
      <c r="C549" s="13">
        <f t="shared" si="2"/>
        <v>1</v>
      </c>
      <c r="D549" s="13">
        <f t="shared" si="3"/>
        <v>0</v>
      </c>
      <c r="E549" s="13">
        <f t="shared" si="4"/>
        <v>0</v>
      </c>
      <c r="F549" s="13">
        <f t="shared" si="5"/>
        <v>0</v>
      </c>
      <c r="G549" s="13">
        <f t="shared" si="6"/>
        <v>1</v>
      </c>
      <c r="H549" s="13">
        <f>'Orbit Info'!C548*((C549*$O$2)+(D549*$O$3)+(E549*$O$4)+(F549*$O$5))</f>
        <v>0</v>
      </c>
      <c r="I549" s="13">
        <f t="shared" si="7"/>
        <v>7.17578</v>
      </c>
      <c r="J549" s="18">
        <f t="shared" si="8"/>
        <v>-0.1195963333</v>
      </c>
      <c r="K549" s="18">
        <f t="shared" si="10"/>
        <v>83.59994003</v>
      </c>
      <c r="L549" s="4"/>
      <c r="M549" s="4"/>
      <c r="N549" s="4"/>
      <c r="O549" s="4"/>
      <c r="P549" s="4"/>
      <c r="Q549" s="4"/>
      <c r="R549" s="4"/>
      <c r="S549" s="4"/>
      <c r="T549" s="4"/>
      <c r="U549" s="4"/>
      <c r="V549" s="4"/>
      <c r="W549" s="4"/>
    </row>
    <row r="550" ht="15.75" customHeight="1">
      <c r="A550" s="13">
        <f t="shared" si="9"/>
        <v>547</v>
      </c>
      <c r="B550" s="18">
        <f>A550/'Orbit Info'!$G$10</f>
        <v>5.781417584</v>
      </c>
      <c r="C550" s="13">
        <f t="shared" si="2"/>
        <v>1</v>
      </c>
      <c r="D550" s="13">
        <f t="shared" si="3"/>
        <v>0</v>
      </c>
      <c r="E550" s="13">
        <f t="shared" si="4"/>
        <v>0</v>
      </c>
      <c r="F550" s="13">
        <f t="shared" si="5"/>
        <v>0</v>
      </c>
      <c r="G550" s="13">
        <f t="shared" si="6"/>
        <v>1</v>
      </c>
      <c r="H550" s="13">
        <f>'Orbit Info'!C549*((C550*$O$2)+(D550*$O$3)+(E550*$O$4)+(F550*$O$5))</f>
        <v>0</v>
      </c>
      <c r="I550" s="13">
        <f t="shared" si="7"/>
        <v>7.17578</v>
      </c>
      <c r="J550" s="18">
        <f t="shared" si="8"/>
        <v>-0.1195963333</v>
      </c>
      <c r="K550" s="18">
        <f t="shared" si="10"/>
        <v>83.4803437</v>
      </c>
      <c r="L550" s="4"/>
      <c r="M550" s="4"/>
      <c r="N550" s="4"/>
      <c r="O550" s="4"/>
      <c r="P550" s="4"/>
      <c r="Q550" s="4"/>
      <c r="R550" s="4"/>
      <c r="S550" s="4"/>
      <c r="T550" s="4"/>
      <c r="U550" s="4"/>
      <c r="V550" s="4"/>
      <c r="W550" s="4"/>
    </row>
    <row r="551" ht="15.75" customHeight="1">
      <c r="A551" s="13">
        <f t="shared" si="9"/>
        <v>548</v>
      </c>
      <c r="B551" s="18">
        <f>A551/'Orbit Info'!$G$10</f>
        <v>5.791986903</v>
      </c>
      <c r="C551" s="13">
        <f t="shared" si="2"/>
        <v>1</v>
      </c>
      <c r="D551" s="13">
        <f t="shared" si="3"/>
        <v>0</v>
      </c>
      <c r="E551" s="13">
        <f t="shared" si="4"/>
        <v>0</v>
      </c>
      <c r="F551" s="13">
        <f t="shared" si="5"/>
        <v>0</v>
      </c>
      <c r="G551" s="13">
        <f t="shared" si="6"/>
        <v>1</v>
      </c>
      <c r="H551" s="13">
        <f>'Orbit Info'!C550*((C551*$O$2)+(D551*$O$3)+(E551*$O$4)+(F551*$O$5))</f>
        <v>0</v>
      </c>
      <c r="I551" s="13">
        <f t="shared" si="7"/>
        <v>7.17578</v>
      </c>
      <c r="J551" s="18">
        <f t="shared" si="8"/>
        <v>-0.1195963333</v>
      </c>
      <c r="K551" s="18">
        <f t="shared" si="10"/>
        <v>83.36074737</v>
      </c>
      <c r="L551" s="4"/>
      <c r="M551" s="4"/>
      <c r="N551" s="4"/>
      <c r="O551" s="4"/>
      <c r="P551" s="4"/>
      <c r="Q551" s="4"/>
      <c r="R551" s="4"/>
      <c r="S551" s="4"/>
      <c r="T551" s="4"/>
      <c r="U551" s="4"/>
      <c r="V551" s="4"/>
      <c r="W551" s="4"/>
    </row>
    <row r="552" ht="15.75" customHeight="1">
      <c r="A552" s="13">
        <f t="shared" si="9"/>
        <v>549</v>
      </c>
      <c r="B552" s="18">
        <f>A552/'Orbit Info'!$G$10</f>
        <v>5.802556222</v>
      </c>
      <c r="C552" s="13">
        <f t="shared" si="2"/>
        <v>1</v>
      </c>
      <c r="D552" s="13">
        <f t="shared" si="3"/>
        <v>0</v>
      </c>
      <c r="E552" s="13">
        <f t="shared" si="4"/>
        <v>0</v>
      </c>
      <c r="F552" s="13">
        <f t="shared" si="5"/>
        <v>0</v>
      </c>
      <c r="G552" s="13">
        <f t="shared" si="6"/>
        <v>1</v>
      </c>
      <c r="H552" s="13">
        <f>'Orbit Info'!C551*((C552*$O$2)+(D552*$O$3)+(E552*$O$4)+(F552*$O$5))</f>
        <v>0</v>
      </c>
      <c r="I552" s="13">
        <f t="shared" si="7"/>
        <v>7.17578</v>
      </c>
      <c r="J552" s="18">
        <f t="shared" si="8"/>
        <v>-0.1195963333</v>
      </c>
      <c r="K552" s="18">
        <f t="shared" si="10"/>
        <v>83.24115103</v>
      </c>
      <c r="L552" s="4"/>
      <c r="M552" s="4"/>
      <c r="N552" s="4"/>
      <c r="O552" s="4"/>
      <c r="P552" s="4"/>
      <c r="Q552" s="4"/>
      <c r="R552" s="4"/>
      <c r="S552" s="4"/>
      <c r="T552" s="4"/>
      <c r="U552" s="4"/>
      <c r="V552" s="4"/>
      <c r="W552" s="4"/>
    </row>
    <row r="553" ht="15.75" customHeight="1">
      <c r="A553" s="13">
        <f t="shared" si="9"/>
        <v>550</v>
      </c>
      <c r="B553" s="18">
        <f>A553/'Orbit Info'!$G$10</f>
        <v>5.813125541</v>
      </c>
      <c r="C553" s="13">
        <f t="shared" si="2"/>
        <v>1</v>
      </c>
      <c r="D553" s="13">
        <f t="shared" si="3"/>
        <v>0</v>
      </c>
      <c r="E553" s="13">
        <f t="shared" si="4"/>
        <v>0</v>
      </c>
      <c r="F553" s="13">
        <f t="shared" si="5"/>
        <v>0</v>
      </c>
      <c r="G553" s="13">
        <f t="shared" si="6"/>
        <v>1</v>
      </c>
      <c r="H553" s="13">
        <f>'Orbit Info'!C552*((C553*$O$2)+(D553*$O$3)+(E553*$O$4)+(F553*$O$5))</f>
        <v>0</v>
      </c>
      <c r="I553" s="13">
        <f t="shared" si="7"/>
        <v>7.17578</v>
      </c>
      <c r="J553" s="18">
        <f t="shared" si="8"/>
        <v>-0.1195963333</v>
      </c>
      <c r="K553" s="18">
        <f t="shared" si="10"/>
        <v>83.1215547</v>
      </c>
      <c r="L553" s="4"/>
      <c r="M553" s="4"/>
      <c r="N553" s="4"/>
      <c r="O553" s="4"/>
      <c r="P553" s="4"/>
      <c r="Q553" s="4"/>
      <c r="R553" s="4"/>
      <c r="S553" s="4"/>
      <c r="T553" s="4"/>
      <c r="U553" s="4"/>
      <c r="V553" s="4"/>
      <c r="W553" s="4"/>
    </row>
    <row r="554" ht="15.75" customHeight="1">
      <c r="A554" s="13">
        <f t="shared" si="9"/>
        <v>551</v>
      </c>
      <c r="B554" s="18">
        <f>A554/'Orbit Info'!$G$10</f>
        <v>5.82369486</v>
      </c>
      <c r="C554" s="13">
        <f t="shared" si="2"/>
        <v>1</v>
      </c>
      <c r="D554" s="13">
        <f t="shared" si="3"/>
        <v>0</v>
      </c>
      <c r="E554" s="13">
        <f t="shared" si="4"/>
        <v>0</v>
      </c>
      <c r="F554" s="13">
        <f t="shared" si="5"/>
        <v>0</v>
      </c>
      <c r="G554" s="13">
        <f t="shared" si="6"/>
        <v>1</v>
      </c>
      <c r="H554" s="13">
        <f>'Orbit Info'!C553*((C554*$O$2)+(D554*$O$3)+(E554*$O$4)+(F554*$O$5))</f>
        <v>0</v>
      </c>
      <c r="I554" s="13">
        <f t="shared" si="7"/>
        <v>7.17578</v>
      </c>
      <c r="J554" s="18">
        <f t="shared" si="8"/>
        <v>-0.1195963333</v>
      </c>
      <c r="K554" s="18">
        <f t="shared" si="10"/>
        <v>83.00195837</v>
      </c>
      <c r="L554" s="4"/>
      <c r="M554" s="4"/>
      <c r="N554" s="4"/>
      <c r="O554" s="4"/>
      <c r="P554" s="4"/>
      <c r="Q554" s="4"/>
      <c r="R554" s="4"/>
      <c r="S554" s="4"/>
      <c r="T554" s="4"/>
      <c r="U554" s="4"/>
      <c r="V554" s="4"/>
      <c r="W554" s="4"/>
    </row>
    <row r="555" ht="15.75" customHeight="1">
      <c r="A555" s="13">
        <f t="shared" si="9"/>
        <v>552</v>
      </c>
      <c r="B555" s="18">
        <f>A555/'Orbit Info'!$G$10</f>
        <v>5.83426418</v>
      </c>
      <c r="C555" s="13">
        <f t="shared" si="2"/>
        <v>1</v>
      </c>
      <c r="D555" s="13">
        <f t="shared" si="3"/>
        <v>0</v>
      </c>
      <c r="E555" s="13">
        <f t="shared" si="4"/>
        <v>0</v>
      </c>
      <c r="F555" s="13">
        <f t="shared" si="5"/>
        <v>0</v>
      </c>
      <c r="G555" s="13">
        <f t="shared" si="6"/>
        <v>1</v>
      </c>
      <c r="H555" s="13">
        <f>'Orbit Info'!C554*((C555*$O$2)+(D555*$O$3)+(E555*$O$4)+(F555*$O$5))</f>
        <v>0</v>
      </c>
      <c r="I555" s="13">
        <f t="shared" si="7"/>
        <v>7.17578</v>
      </c>
      <c r="J555" s="18">
        <f t="shared" si="8"/>
        <v>-0.1195963333</v>
      </c>
      <c r="K555" s="18">
        <f t="shared" si="10"/>
        <v>82.88236203</v>
      </c>
      <c r="L555" s="4"/>
      <c r="M555" s="4"/>
      <c r="N555" s="4"/>
      <c r="O555" s="4"/>
      <c r="P555" s="4"/>
      <c r="Q555" s="4"/>
      <c r="R555" s="4"/>
      <c r="S555" s="4"/>
      <c r="T555" s="4"/>
      <c r="U555" s="4"/>
      <c r="V555" s="4"/>
      <c r="W555" s="4"/>
    </row>
    <row r="556" ht="15.75" customHeight="1">
      <c r="A556" s="13">
        <f t="shared" si="9"/>
        <v>553</v>
      </c>
      <c r="B556" s="18">
        <f>A556/'Orbit Info'!$G$10</f>
        <v>5.844833499</v>
      </c>
      <c r="C556" s="13">
        <f t="shared" si="2"/>
        <v>1</v>
      </c>
      <c r="D556" s="13">
        <f t="shared" si="3"/>
        <v>0</v>
      </c>
      <c r="E556" s="13">
        <f t="shared" si="4"/>
        <v>0</v>
      </c>
      <c r="F556" s="13">
        <f t="shared" si="5"/>
        <v>0</v>
      </c>
      <c r="G556" s="13">
        <f t="shared" si="6"/>
        <v>1</v>
      </c>
      <c r="H556" s="13">
        <f>'Orbit Info'!C555*((C556*$O$2)+(D556*$O$3)+(E556*$O$4)+(F556*$O$5))</f>
        <v>0</v>
      </c>
      <c r="I556" s="13">
        <f t="shared" si="7"/>
        <v>7.17578</v>
      </c>
      <c r="J556" s="18">
        <f t="shared" si="8"/>
        <v>-0.1195963333</v>
      </c>
      <c r="K556" s="18">
        <f t="shared" si="10"/>
        <v>82.7627657</v>
      </c>
      <c r="L556" s="4"/>
      <c r="M556" s="4"/>
      <c r="N556" s="4"/>
      <c r="O556" s="4"/>
      <c r="P556" s="4"/>
      <c r="Q556" s="4"/>
      <c r="R556" s="4"/>
      <c r="S556" s="4"/>
      <c r="T556" s="4"/>
      <c r="U556" s="4"/>
      <c r="V556" s="4"/>
      <c r="W556" s="4"/>
    </row>
    <row r="557" ht="15.75" customHeight="1">
      <c r="A557" s="13">
        <f t="shared" si="9"/>
        <v>554</v>
      </c>
      <c r="B557" s="18">
        <f>A557/'Orbit Info'!$G$10</f>
        <v>5.855402818</v>
      </c>
      <c r="C557" s="13">
        <f t="shared" si="2"/>
        <v>1</v>
      </c>
      <c r="D557" s="13">
        <f t="shared" si="3"/>
        <v>0</v>
      </c>
      <c r="E557" s="13">
        <f t="shared" si="4"/>
        <v>0</v>
      </c>
      <c r="F557" s="13">
        <f t="shared" si="5"/>
        <v>0</v>
      </c>
      <c r="G557" s="13">
        <f t="shared" si="6"/>
        <v>1</v>
      </c>
      <c r="H557" s="13">
        <f>'Orbit Info'!C556*((C557*$O$2)+(D557*$O$3)+(E557*$O$4)+(F557*$O$5))</f>
        <v>0</v>
      </c>
      <c r="I557" s="13">
        <f t="shared" si="7"/>
        <v>7.17578</v>
      </c>
      <c r="J557" s="18">
        <f t="shared" si="8"/>
        <v>-0.1195963333</v>
      </c>
      <c r="K557" s="18">
        <f t="shared" si="10"/>
        <v>82.64316937</v>
      </c>
      <c r="L557" s="4"/>
      <c r="M557" s="4"/>
      <c r="N557" s="4"/>
      <c r="O557" s="4"/>
      <c r="P557" s="4"/>
      <c r="Q557" s="4"/>
      <c r="R557" s="4"/>
      <c r="S557" s="4"/>
      <c r="T557" s="4"/>
      <c r="U557" s="4"/>
      <c r="V557" s="4"/>
      <c r="W557" s="4"/>
    </row>
    <row r="558" ht="15.75" customHeight="1">
      <c r="A558" s="13">
        <f t="shared" si="9"/>
        <v>555</v>
      </c>
      <c r="B558" s="18">
        <f>A558/'Orbit Info'!$G$10</f>
        <v>5.865972137</v>
      </c>
      <c r="C558" s="13">
        <f t="shared" si="2"/>
        <v>1</v>
      </c>
      <c r="D558" s="13">
        <f t="shared" si="3"/>
        <v>0</v>
      </c>
      <c r="E558" s="13">
        <f t="shared" si="4"/>
        <v>0</v>
      </c>
      <c r="F558" s="13">
        <f t="shared" si="5"/>
        <v>0</v>
      </c>
      <c r="G558" s="13">
        <f t="shared" si="6"/>
        <v>1</v>
      </c>
      <c r="H558" s="13">
        <f>'Orbit Info'!C557*((C558*$O$2)+(D558*$O$3)+(E558*$O$4)+(F558*$O$5))</f>
        <v>0</v>
      </c>
      <c r="I558" s="13">
        <f t="shared" si="7"/>
        <v>7.17578</v>
      </c>
      <c r="J558" s="18">
        <f t="shared" si="8"/>
        <v>-0.1195963333</v>
      </c>
      <c r="K558" s="18">
        <f t="shared" si="10"/>
        <v>82.52357303</v>
      </c>
      <c r="L558" s="4"/>
      <c r="M558" s="4"/>
      <c r="N558" s="4"/>
      <c r="O558" s="4"/>
      <c r="P558" s="4"/>
      <c r="Q558" s="4"/>
      <c r="R558" s="4"/>
      <c r="S558" s="4"/>
      <c r="T558" s="4"/>
      <c r="U558" s="4"/>
      <c r="V558" s="4"/>
      <c r="W558" s="4"/>
    </row>
    <row r="559" ht="15.75" customHeight="1">
      <c r="A559" s="13">
        <f t="shared" si="9"/>
        <v>556</v>
      </c>
      <c r="B559" s="18">
        <f>A559/'Orbit Info'!$G$10</f>
        <v>5.876541456</v>
      </c>
      <c r="C559" s="13">
        <f t="shared" si="2"/>
        <v>1</v>
      </c>
      <c r="D559" s="13">
        <f t="shared" si="3"/>
        <v>0</v>
      </c>
      <c r="E559" s="13">
        <f t="shared" si="4"/>
        <v>0</v>
      </c>
      <c r="F559" s="13">
        <f t="shared" si="5"/>
        <v>0</v>
      </c>
      <c r="G559" s="13">
        <f t="shared" si="6"/>
        <v>1</v>
      </c>
      <c r="H559" s="13">
        <f>'Orbit Info'!C558*((C559*$O$2)+(D559*$O$3)+(E559*$O$4)+(F559*$O$5))</f>
        <v>0</v>
      </c>
      <c r="I559" s="13">
        <f t="shared" si="7"/>
        <v>7.17578</v>
      </c>
      <c r="J559" s="18">
        <f t="shared" si="8"/>
        <v>-0.1195963333</v>
      </c>
      <c r="K559" s="18">
        <f t="shared" si="10"/>
        <v>82.4039767</v>
      </c>
      <c r="L559" s="4"/>
      <c r="M559" s="4"/>
      <c r="N559" s="4"/>
      <c r="O559" s="4"/>
      <c r="P559" s="4"/>
      <c r="Q559" s="4"/>
      <c r="R559" s="4"/>
      <c r="S559" s="4"/>
      <c r="T559" s="4"/>
      <c r="U559" s="4"/>
      <c r="V559" s="4"/>
      <c r="W559" s="4"/>
    </row>
    <row r="560" ht="15.75" customHeight="1">
      <c r="A560" s="13">
        <f t="shared" si="9"/>
        <v>557</v>
      </c>
      <c r="B560" s="18">
        <f>A560/'Orbit Info'!$G$10</f>
        <v>5.887110775</v>
      </c>
      <c r="C560" s="13">
        <f t="shared" si="2"/>
        <v>1</v>
      </c>
      <c r="D560" s="13">
        <f t="shared" si="3"/>
        <v>0</v>
      </c>
      <c r="E560" s="13">
        <f t="shared" si="4"/>
        <v>0</v>
      </c>
      <c r="F560" s="13">
        <f t="shared" si="5"/>
        <v>0</v>
      </c>
      <c r="G560" s="13">
        <f t="shared" si="6"/>
        <v>1</v>
      </c>
      <c r="H560" s="13">
        <f>'Orbit Info'!C559*((C560*$O$2)+(D560*$O$3)+(E560*$O$4)+(F560*$O$5))</f>
        <v>0</v>
      </c>
      <c r="I560" s="13">
        <f t="shared" si="7"/>
        <v>7.17578</v>
      </c>
      <c r="J560" s="18">
        <f t="shared" si="8"/>
        <v>-0.1195963333</v>
      </c>
      <c r="K560" s="18">
        <f t="shared" si="10"/>
        <v>82.28438037</v>
      </c>
      <c r="L560" s="4"/>
      <c r="M560" s="4"/>
      <c r="N560" s="4"/>
      <c r="O560" s="4"/>
      <c r="P560" s="4"/>
      <c r="Q560" s="4"/>
      <c r="R560" s="4"/>
      <c r="S560" s="4"/>
      <c r="T560" s="4"/>
      <c r="U560" s="4"/>
      <c r="V560" s="4"/>
      <c r="W560" s="4"/>
    </row>
    <row r="561" ht="15.75" customHeight="1">
      <c r="A561" s="13">
        <f t="shared" si="9"/>
        <v>558</v>
      </c>
      <c r="B561" s="18">
        <f>A561/'Orbit Info'!$G$10</f>
        <v>5.897680095</v>
      </c>
      <c r="C561" s="13">
        <f t="shared" si="2"/>
        <v>1</v>
      </c>
      <c r="D561" s="13">
        <f t="shared" si="3"/>
        <v>0</v>
      </c>
      <c r="E561" s="13">
        <f t="shared" si="4"/>
        <v>0</v>
      </c>
      <c r="F561" s="13">
        <f t="shared" si="5"/>
        <v>0</v>
      </c>
      <c r="G561" s="13">
        <f t="shared" si="6"/>
        <v>1</v>
      </c>
      <c r="H561" s="13">
        <f>'Orbit Info'!C560*((C561*$O$2)+(D561*$O$3)+(E561*$O$4)+(F561*$O$5))</f>
        <v>0</v>
      </c>
      <c r="I561" s="13">
        <f t="shared" si="7"/>
        <v>7.17578</v>
      </c>
      <c r="J561" s="18">
        <f t="shared" si="8"/>
        <v>-0.1195963333</v>
      </c>
      <c r="K561" s="18">
        <f t="shared" si="10"/>
        <v>82.16478403</v>
      </c>
      <c r="L561" s="4"/>
      <c r="M561" s="4"/>
      <c r="N561" s="4"/>
      <c r="O561" s="4"/>
      <c r="P561" s="4"/>
      <c r="Q561" s="4"/>
      <c r="R561" s="4"/>
      <c r="S561" s="4"/>
      <c r="T561" s="4"/>
      <c r="U561" s="4"/>
      <c r="V561" s="4"/>
      <c r="W561" s="4"/>
    </row>
    <row r="562" ht="15.75" customHeight="1">
      <c r="A562" s="13">
        <f t="shared" si="9"/>
        <v>559</v>
      </c>
      <c r="B562" s="18">
        <f>A562/'Orbit Info'!$G$10</f>
        <v>5.908249414</v>
      </c>
      <c r="C562" s="13">
        <f t="shared" si="2"/>
        <v>1</v>
      </c>
      <c r="D562" s="13">
        <f t="shared" si="3"/>
        <v>0</v>
      </c>
      <c r="E562" s="13">
        <f t="shared" si="4"/>
        <v>0</v>
      </c>
      <c r="F562" s="13">
        <f t="shared" si="5"/>
        <v>0</v>
      </c>
      <c r="G562" s="13">
        <f t="shared" si="6"/>
        <v>1</v>
      </c>
      <c r="H562" s="13">
        <f>'Orbit Info'!C561*((C562*$O$2)+(D562*$O$3)+(E562*$O$4)+(F562*$O$5))</f>
        <v>0</v>
      </c>
      <c r="I562" s="13">
        <f t="shared" si="7"/>
        <v>7.17578</v>
      </c>
      <c r="J562" s="18">
        <f t="shared" si="8"/>
        <v>-0.1195963333</v>
      </c>
      <c r="K562" s="18">
        <f t="shared" si="10"/>
        <v>82.0451877</v>
      </c>
      <c r="L562" s="4"/>
      <c r="M562" s="4"/>
      <c r="N562" s="4"/>
      <c r="O562" s="4"/>
      <c r="P562" s="4"/>
      <c r="Q562" s="4"/>
      <c r="R562" s="4"/>
      <c r="S562" s="4"/>
      <c r="T562" s="4"/>
      <c r="U562" s="4"/>
      <c r="V562" s="4"/>
      <c r="W562" s="4"/>
    </row>
    <row r="563" ht="15.75" customHeight="1">
      <c r="A563" s="13">
        <f t="shared" si="9"/>
        <v>560</v>
      </c>
      <c r="B563" s="18">
        <f>A563/'Orbit Info'!$G$10</f>
        <v>5.918818733</v>
      </c>
      <c r="C563" s="13">
        <f t="shared" si="2"/>
        <v>1</v>
      </c>
      <c r="D563" s="13">
        <f t="shared" si="3"/>
        <v>0</v>
      </c>
      <c r="E563" s="13">
        <f t="shared" si="4"/>
        <v>0</v>
      </c>
      <c r="F563" s="13">
        <f t="shared" si="5"/>
        <v>0</v>
      </c>
      <c r="G563" s="13">
        <f t="shared" si="6"/>
        <v>1</v>
      </c>
      <c r="H563" s="13">
        <f>'Orbit Info'!C562*((C563*$O$2)+(D563*$O$3)+(E563*$O$4)+(F563*$O$5))</f>
        <v>0</v>
      </c>
      <c r="I563" s="13">
        <f t="shared" si="7"/>
        <v>7.17578</v>
      </c>
      <c r="J563" s="18">
        <f t="shared" si="8"/>
        <v>-0.1195963333</v>
      </c>
      <c r="K563" s="18">
        <f t="shared" si="10"/>
        <v>81.92559137</v>
      </c>
      <c r="L563" s="4"/>
      <c r="M563" s="4"/>
      <c r="N563" s="4"/>
      <c r="O563" s="4"/>
      <c r="P563" s="4"/>
      <c r="Q563" s="4"/>
      <c r="R563" s="4"/>
      <c r="S563" s="4"/>
      <c r="T563" s="4"/>
      <c r="U563" s="4"/>
      <c r="V563" s="4"/>
      <c r="W563" s="4"/>
    </row>
    <row r="564" ht="15.75" customHeight="1">
      <c r="A564" s="13">
        <f t="shared" si="9"/>
        <v>561</v>
      </c>
      <c r="B564" s="18">
        <f>A564/'Orbit Info'!$G$10</f>
        <v>5.929388052</v>
      </c>
      <c r="C564" s="13">
        <f t="shared" si="2"/>
        <v>1</v>
      </c>
      <c r="D564" s="13">
        <f t="shared" si="3"/>
        <v>0</v>
      </c>
      <c r="E564" s="13">
        <f t="shared" si="4"/>
        <v>0</v>
      </c>
      <c r="F564" s="13">
        <f t="shared" si="5"/>
        <v>0</v>
      </c>
      <c r="G564" s="13">
        <f t="shared" si="6"/>
        <v>1</v>
      </c>
      <c r="H564" s="13">
        <f>'Orbit Info'!C563*((C564*$O$2)+(D564*$O$3)+(E564*$O$4)+(F564*$O$5))</f>
        <v>0</v>
      </c>
      <c r="I564" s="13">
        <f t="shared" si="7"/>
        <v>7.17578</v>
      </c>
      <c r="J564" s="18">
        <f t="shared" si="8"/>
        <v>-0.1195963333</v>
      </c>
      <c r="K564" s="18">
        <f t="shared" si="10"/>
        <v>81.80599503</v>
      </c>
      <c r="L564" s="4"/>
      <c r="M564" s="4"/>
      <c r="N564" s="4"/>
      <c r="O564" s="4"/>
      <c r="P564" s="4"/>
      <c r="Q564" s="4"/>
      <c r="R564" s="4"/>
      <c r="S564" s="4"/>
      <c r="T564" s="4"/>
      <c r="U564" s="4"/>
      <c r="V564" s="4"/>
      <c r="W564" s="4"/>
    </row>
    <row r="565" ht="15.75" customHeight="1">
      <c r="A565" s="13">
        <f t="shared" si="9"/>
        <v>562</v>
      </c>
      <c r="B565" s="18">
        <f>A565/'Orbit Info'!$G$10</f>
        <v>5.939957371</v>
      </c>
      <c r="C565" s="13">
        <f t="shared" si="2"/>
        <v>1</v>
      </c>
      <c r="D565" s="13">
        <f t="shared" si="3"/>
        <v>0</v>
      </c>
      <c r="E565" s="13">
        <f t="shared" si="4"/>
        <v>0</v>
      </c>
      <c r="F565" s="13">
        <f t="shared" si="5"/>
        <v>0</v>
      </c>
      <c r="G565" s="13">
        <f t="shared" si="6"/>
        <v>1</v>
      </c>
      <c r="H565" s="13">
        <f>'Orbit Info'!C564*((C565*$O$2)+(D565*$O$3)+(E565*$O$4)+(F565*$O$5))</f>
        <v>0</v>
      </c>
      <c r="I565" s="13">
        <f t="shared" si="7"/>
        <v>7.17578</v>
      </c>
      <c r="J565" s="18">
        <f t="shared" si="8"/>
        <v>-0.1195963333</v>
      </c>
      <c r="K565" s="18">
        <f t="shared" si="10"/>
        <v>81.6863987</v>
      </c>
      <c r="L565" s="4"/>
      <c r="M565" s="4"/>
      <c r="N565" s="4"/>
      <c r="O565" s="4"/>
      <c r="P565" s="4"/>
      <c r="Q565" s="4"/>
      <c r="R565" s="4"/>
      <c r="S565" s="4"/>
      <c r="T565" s="4"/>
      <c r="U565" s="4"/>
      <c r="V565" s="4"/>
      <c r="W565" s="4"/>
    </row>
    <row r="566" ht="15.75" customHeight="1">
      <c r="A566" s="13">
        <f t="shared" si="9"/>
        <v>563</v>
      </c>
      <c r="B566" s="18">
        <f>A566/'Orbit Info'!$G$10</f>
        <v>5.95052669</v>
      </c>
      <c r="C566" s="13">
        <f t="shared" si="2"/>
        <v>1</v>
      </c>
      <c r="D566" s="13">
        <f t="shared" si="3"/>
        <v>0</v>
      </c>
      <c r="E566" s="13">
        <f t="shared" si="4"/>
        <v>0</v>
      </c>
      <c r="F566" s="13">
        <f t="shared" si="5"/>
        <v>0</v>
      </c>
      <c r="G566" s="13">
        <f t="shared" si="6"/>
        <v>1</v>
      </c>
      <c r="H566" s="13">
        <f>'Orbit Info'!C565*((C566*$O$2)+(D566*$O$3)+(E566*$O$4)+(F566*$O$5))</f>
        <v>0</v>
      </c>
      <c r="I566" s="13">
        <f t="shared" si="7"/>
        <v>7.17578</v>
      </c>
      <c r="J566" s="18">
        <f t="shared" si="8"/>
        <v>-0.1195963333</v>
      </c>
      <c r="K566" s="18">
        <f t="shared" si="10"/>
        <v>81.56680237</v>
      </c>
      <c r="L566" s="4"/>
      <c r="M566" s="4"/>
      <c r="N566" s="4"/>
      <c r="O566" s="4"/>
      <c r="P566" s="4"/>
      <c r="Q566" s="4"/>
      <c r="R566" s="4"/>
      <c r="S566" s="4"/>
      <c r="T566" s="4"/>
      <c r="U566" s="4"/>
      <c r="V566" s="4"/>
      <c r="W566" s="4"/>
    </row>
    <row r="567" ht="15.75" customHeight="1">
      <c r="A567" s="13">
        <f t="shared" si="9"/>
        <v>564</v>
      </c>
      <c r="B567" s="18">
        <f>A567/'Orbit Info'!$G$10</f>
        <v>5.96109601</v>
      </c>
      <c r="C567" s="13">
        <f t="shared" si="2"/>
        <v>1</v>
      </c>
      <c r="D567" s="13">
        <f t="shared" si="3"/>
        <v>0</v>
      </c>
      <c r="E567" s="13">
        <f t="shared" si="4"/>
        <v>0</v>
      </c>
      <c r="F567" s="13">
        <f t="shared" si="5"/>
        <v>0</v>
      </c>
      <c r="G567" s="13">
        <f t="shared" si="6"/>
        <v>1</v>
      </c>
      <c r="H567" s="13">
        <f>'Orbit Info'!C566*((C567*$O$2)+(D567*$O$3)+(E567*$O$4)+(F567*$O$5))</f>
        <v>0</v>
      </c>
      <c r="I567" s="13">
        <f t="shared" si="7"/>
        <v>7.17578</v>
      </c>
      <c r="J567" s="18">
        <f t="shared" si="8"/>
        <v>-0.1195963333</v>
      </c>
      <c r="K567" s="18">
        <f t="shared" si="10"/>
        <v>81.44720603</v>
      </c>
      <c r="L567" s="4"/>
      <c r="M567" s="4"/>
      <c r="N567" s="4"/>
      <c r="O567" s="4"/>
      <c r="P567" s="4"/>
      <c r="Q567" s="4"/>
      <c r="R567" s="4"/>
      <c r="S567" s="4"/>
      <c r="T567" s="4"/>
      <c r="U567" s="4"/>
      <c r="V567" s="4"/>
      <c r="W567" s="4"/>
    </row>
    <row r="568" ht="15.75" customHeight="1">
      <c r="A568" s="13">
        <f t="shared" si="9"/>
        <v>565</v>
      </c>
      <c r="B568" s="18">
        <f>A568/'Orbit Info'!$G$10</f>
        <v>5.971665329</v>
      </c>
      <c r="C568" s="13">
        <f t="shared" si="2"/>
        <v>1</v>
      </c>
      <c r="D568" s="13">
        <f t="shared" si="3"/>
        <v>0</v>
      </c>
      <c r="E568" s="13">
        <f t="shared" si="4"/>
        <v>0</v>
      </c>
      <c r="F568" s="13">
        <f t="shared" si="5"/>
        <v>0</v>
      </c>
      <c r="G568" s="13">
        <f t="shared" si="6"/>
        <v>1</v>
      </c>
      <c r="H568" s="13">
        <f>'Orbit Info'!C567*((C568*$O$2)+(D568*$O$3)+(E568*$O$4)+(F568*$O$5))</f>
        <v>0</v>
      </c>
      <c r="I568" s="13">
        <f t="shared" si="7"/>
        <v>7.17578</v>
      </c>
      <c r="J568" s="18">
        <f t="shared" si="8"/>
        <v>-0.1195963333</v>
      </c>
      <c r="K568" s="18">
        <f t="shared" si="10"/>
        <v>81.3276097</v>
      </c>
      <c r="L568" s="4"/>
      <c r="M568" s="4"/>
      <c r="N568" s="4"/>
      <c r="O568" s="4"/>
      <c r="P568" s="4"/>
      <c r="Q568" s="4"/>
      <c r="R568" s="4"/>
      <c r="S568" s="4"/>
      <c r="T568" s="4"/>
      <c r="U568" s="4"/>
      <c r="V568" s="4"/>
      <c r="W568" s="4"/>
    </row>
    <row r="569" ht="15.75" customHeight="1">
      <c r="A569" s="13">
        <f t="shared" si="9"/>
        <v>566</v>
      </c>
      <c r="B569" s="18">
        <f>A569/'Orbit Info'!$G$10</f>
        <v>5.982234648</v>
      </c>
      <c r="C569" s="13">
        <f t="shared" si="2"/>
        <v>1</v>
      </c>
      <c r="D569" s="13">
        <f t="shared" si="3"/>
        <v>0</v>
      </c>
      <c r="E569" s="13">
        <f t="shared" si="4"/>
        <v>0</v>
      </c>
      <c r="F569" s="13">
        <f t="shared" si="5"/>
        <v>0</v>
      </c>
      <c r="G569" s="13">
        <f t="shared" si="6"/>
        <v>1</v>
      </c>
      <c r="H569" s="13">
        <f>'Orbit Info'!C568*((C569*$O$2)+(D569*$O$3)+(E569*$O$4)+(F569*$O$5))</f>
        <v>0</v>
      </c>
      <c r="I569" s="13">
        <f t="shared" si="7"/>
        <v>7.17578</v>
      </c>
      <c r="J569" s="18">
        <f t="shared" si="8"/>
        <v>-0.1195963333</v>
      </c>
      <c r="K569" s="18">
        <f t="shared" si="10"/>
        <v>81.20801337</v>
      </c>
      <c r="L569" s="4"/>
      <c r="M569" s="4"/>
      <c r="N569" s="4"/>
      <c r="O569" s="4"/>
      <c r="P569" s="4"/>
      <c r="Q569" s="4"/>
      <c r="R569" s="4"/>
      <c r="S569" s="4"/>
      <c r="T569" s="4"/>
      <c r="U569" s="4"/>
      <c r="V569" s="4"/>
      <c r="W569" s="4"/>
    </row>
    <row r="570" ht="15.75" customHeight="1">
      <c r="A570" s="13">
        <f t="shared" si="9"/>
        <v>567</v>
      </c>
      <c r="B570" s="18">
        <f>A570/'Orbit Info'!$G$10</f>
        <v>5.992803967</v>
      </c>
      <c r="C570" s="13">
        <f t="shared" si="2"/>
        <v>1</v>
      </c>
      <c r="D570" s="13">
        <f t="shared" si="3"/>
        <v>0</v>
      </c>
      <c r="E570" s="13">
        <f t="shared" si="4"/>
        <v>0</v>
      </c>
      <c r="F570" s="13">
        <f t="shared" si="5"/>
        <v>0</v>
      </c>
      <c r="G570" s="13">
        <f t="shared" si="6"/>
        <v>1</v>
      </c>
      <c r="H570" s="13">
        <f>'Orbit Info'!C569*((C570*$O$2)+(D570*$O$3)+(E570*$O$4)+(F570*$O$5))</f>
        <v>0</v>
      </c>
      <c r="I570" s="13">
        <f t="shared" si="7"/>
        <v>7.17578</v>
      </c>
      <c r="J570" s="18">
        <f t="shared" si="8"/>
        <v>-0.1195963333</v>
      </c>
      <c r="K570" s="18">
        <f t="shared" si="10"/>
        <v>81.08841703</v>
      </c>
      <c r="L570" s="4"/>
      <c r="M570" s="4"/>
      <c r="N570" s="4"/>
      <c r="O570" s="4"/>
      <c r="P570" s="4"/>
      <c r="Q570" s="4"/>
      <c r="R570" s="4"/>
      <c r="S570" s="4"/>
      <c r="T570" s="4"/>
      <c r="U570" s="4"/>
      <c r="V570" s="4"/>
      <c r="W570" s="4"/>
    </row>
    <row r="571" ht="15.75" customHeight="1">
      <c r="A571" s="13">
        <f t="shared" si="9"/>
        <v>568</v>
      </c>
      <c r="B571" s="18">
        <f>A571/'Orbit Info'!$G$10</f>
        <v>6.003373286</v>
      </c>
      <c r="C571" s="13">
        <f t="shared" si="2"/>
        <v>1</v>
      </c>
      <c r="D571" s="13">
        <f t="shared" si="3"/>
        <v>0</v>
      </c>
      <c r="E571" s="13">
        <f t="shared" si="4"/>
        <v>0</v>
      </c>
      <c r="F571" s="13">
        <f t="shared" si="5"/>
        <v>0</v>
      </c>
      <c r="G571" s="13">
        <f t="shared" si="6"/>
        <v>1</v>
      </c>
      <c r="H571" s="13">
        <f>'Orbit Info'!C570*((C571*$O$2)+(D571*$O$3)+(E571*$O$4)+(F571*$O$5))</f>
        <v>15.628032</v>
      </c>
      <c r="I571" s="13">
        <f t="shared" si="7"/>
        <v>7.17578</v>
      </c>
      <c r="J571" s="18">
        <f t="shared" si="8"/>
        <v>0.1408708667</v>
      </c>
      <c r="K571" s="18">
        <f t="shared" si="10"/>
        <v>81.2292879</v>
      </c>
      <c r="L571" s="4"/>
      <c r="M571" s="4"/>
      <c r="N571" s="4"/>
      <c r="O571" s="4"/>
      <c r="P571" s="4"/>
      <c r="Q571" s="4"/>
      <c r="R571" s="4"/>
      <c r="S571" s="4"/>
      <c r="T571" s="4"/>
      <c r="U571" s="4"/>
      <c r="V571" s="4"/>
      <c r="W571" s="4"/>
    </row>
    <row r="572" ht="15.75" customHeight="1">
      <c r="A572" s="13">
        <f t="shared" si="9"/>
        <v>569</v>
      </c>
      <c r="B572" s="18">
        <f>A572/'Orbit Info'!$G$10</f>
        <v>6.013942605</v>
      </c>
      <c r="C572" s="13">
        <f t="shared" si="2"/>
        <v>1</v>
      </c>
      <c r="D572" s="13">
        <f t="shared" si="3"/>
        <v>0</v>
      </c>
      <c r="E572" s="13">
        <f t="shared" si="4"/>
        <v>0</v>
      </c>
      <c r="F572" s="13">
        <f t="shared" si="5"/>
        <v>0</v>
      </c>
      <c r="G572" s="13">
        <f t="shared" si="6"/>
        <v>1</v>
      </c>
      <c r="H572" s="13">
        <f>'Orbit Info'!C571*((C572*$O$2)+(D572*$O$3)+(E572*$O$4)+(F572*$O$5))</f>
        <v>15.628032</v>
      </c>
      <c r="I572" s="13">
        <f t="shared" si="7"/>
        <v>7.17578</v>
      </c>
      <c r="J572" s="18">
        <f t="shared" si="8"/>
        <v>0.1408708667</v>
      </c>
      <c r="K572" s="18">
        <f t="shared" si="10"/>
        <v>81.37015877</v>
      </c>
      <c r="L572" s="4"/>
      <c r="M572" s="4"/>
      <c r="N572" s="4"/>
      <c r="O572" s="4"/>
      <c r="P572" s="4"/>
      <c r="Q572" s="4"/>
      <c r="R572" s="4"/>
      <c r="S572" s="4"/>
      <c r="T572" s="4"/>
      <c r="U572" s="4"/>
      <c r="V572" s="4"/>
      <c r="W572" s="4"/>
    </row>
    <row r="573" ht="15.75" customHeight="1">
      <c r="A573" s="13">
        <f t="shared" si="9"/>
        <v>570</v>
      </c>
      <c r="B573" s="18">
        <f>A573/'Orbit Info'!$G$10</f>
        <v>6.024511925</v>
      </c>
      <c r="C573" s="13">
        <f t="shared" si="2"/>
        <v>1</v>
      </c>
      <c r="D573" s="13">
        <f t="shared" si="3"/>
        <v>0</v>
      </c>
      <c r="E573" s="13">
        <f t="shared" si="4"/>
        <v>0</v>
      </c>
      <c r="F573" s="13">
        <f t="shared" si="5"/>
        <v>0</v>
      </c>
      <c r="G573" s="13">
        <f t="shared" si="6"/>
        <v>1</v>
      </c>
      <c r="H573" s="13">
        <f>'Orbit Info'!C572*((C573*$O$2)+(D573*$O$3)+(E573*$O$4)+(F573*$O$5))</f>
        <v>15.628032</v>
      </c>
      <c r="I573" s="13">
        <f t="shared" si="7"/>
        <v>7.17578</v>
      </c>
      <c r="J573" s="18">
        <f t="shared" si="8"/>
        <v>0.1408708667</v>
      </c>
      <c r="K573" s="18">
        <f t="shared" si="10"/>
        <v>81.51102963</v>
      </c>
      <c r="L573" s="4"/>
      <c r="M573" s="4"/>
      <c r="N573" s="4"/>
      <c r="O573" s="4"/>
      <c r="P573" s="4"/>
      <c r="Q573" s="4"/>
      <c r="R573" s="4"/>
      <c r="S573" s="4"/>
      <c r="T573" s="4"/>
      <c r="U573" s="4"/>
      <c r="V573" s="4"/>
      <c r="W573" s="4"/>
    </row>
    <row r="574" ht="15.75" customHeight="1">
      <c r="A574" s="13">
        <f t="shared" si="9"/>
        <v>571</v>
      </c>
      <c r="B574" s="18">
        <f>A574/'Orbit Info'!$G$10</f>
        <v>6.035081244</v>
      </c>
      <c r="C574" s="13">
        <f t="shared" si="2"/>
        <v>1</v>
      </c>
      <c r="D574" s="13">
        <f t="shared" si="3"/>
        <v>0</v>
      </c>
      <c r="E574" s="13">
        <f t="shared" si="4"/>
        <v>0</v>
      </c>
      <c r="F574" s="13">
        <f t="shared" si="5"/>
        <v>0</v>
      </c>
      <c r="G574" s="13">
        <f t="shared" si="6"/>
        <v>1</v>
      </c>
      <c r="H574" s="13">
        <f>'Orbit Info'!C573*((C574*$O$2)+(D574*$O$3)+(E574*$O$4)+(F574*$O$5))</f>
        <v>15.628032</v>
      </c>
      <c r="I574" s="13">
        <f t="shared" si="7"/>
        <v>7.17578</v>
      </c>
      <c r="J574" s="18">
        <f t="shared" si="8"/>
        <v>0.1408708667</v>
      </c>
      <c r="K574" s="18">
        <f t="shared" si="10"/>
        <v>81.6519005</v>
      </c>
      <c r="L574" s="4"/>
      <c r="M574" s="4"/>
      <c r="N574" s="4"/>
      <c r="O574" s="4"/>
      <c r="P574" s="4"/>
      <c r="Q574" s="4"/>
      <c r="R574" s="4"/>
      <c r="S574" s="4"/>
      <c r="T574" s="4"/>
      <c r="U574" s="4"/>
      <c r="V574" s="4"/>
      <c r="W574" s="4"/>
    </row>
    <row r="575" ht="15.75" customHeight="1">
      <c r="A575" s="13">
        <f t="shared" si="9"/>
        <v>572</v>
      </c>
      <c r="B575" s="18">
        <f>A575/'Orbit Info'!$G$10</f>
        <v>6.045650563</v>
      </c>
      <c r="C575" s="13">
        <f t="shared" si="2"/>
        <v>1</v>
      </c>
      <c r="D575" s="13">
        <f t="shared" si="3"/>
        <v>0</v>
      </c>
      <c r="E575" s="13">
        <f t="shared" si="4"/>
        <v>0</v>
      </c>
      <c r="F575" s="13">
        <f t="shared" si="5"/>
        <v>0</v>
      </c>
      <c r="G575" s="13">
        <f t="shared" si="6"/>
        <v>1</v>
      </c>
      <c r="H575" s="13">
        <f>'Orbit Info'!C574*((C575*$O$2)+(D575*$O$3)+(E575*$O$4)+(F575*$O$5))</f>
        <v>15.628032</v>
      </c>
      <c r="I575" s="13">
        <f t="shared" si="7"/>
        <v>7.17578</v>
      </c>
      <c r="J575" s="18">
        <f t="shared" si="8"/>
        <v>0.1408708667</v>
      </c>
      <c r="K575" s="18">
        <f t="shared" si="10"/>
        <v>81.79277137</v>
      </c>
      <c r="L575" s="4"/>
      <c r="M575" s="4"/>
      <c r="N575" s="4"/>
      <c r="O575" s="4"/>
      <c r="P575" s="4"/>
      <c r="Q575" s="4"/>
      <c r="R575" s="4"/>
      <c r="S575" s="4"/>
      <c r="T575" s="4"/>
      <c r="U575" s="4"/>
      <c r="V575" s="4"/>
      <c r="W575" s="4"/>
    </row>
    <row r="576" ht="15.75" customHeight="1">
      <c r="A576" s="13">
        <f t="shared" si="9"/>
        <v>573</v>
      </c>
      <c r="B576" s="18">
        <f>A576/'Orbit Info'!$G$10</f>
        <v>6.056219882</v>
      </c>
      <c r="C576" s="13">
        <f t="shared" si="2"/>
        <v>1</v>
      </c>
      <c r="D576" s="13">
        <f t="shared" si="3"/>
        <v>0</v>
      </c>
      <c r="E576" s="13">
        <f t="shared" si="4"/>
        <v>0</v>
      </c>
      <c r="F576" s="13">
        <f t="shared" si="5"/>
        <v>0</v>
      </c>
      <c r="G576" s="13">
        <f t="shared" si="6"/>
        <v>1</v>
      </c>
      <c r="H576" s="13">
        <f>'Orbit Info'!C575*((C576*$O$2)+(D576*$O$3)+(E576*$O$4)+(F576*$O$5))</f>
        <v>15.628032</v>
      </c>
      <c r="I576" s="13">
        <f t="shared" si="7"/>
        <v>7.17578</v>
      </c>
      <c r="J576" s="18">
        <f t="shared" si="8"/>
        <v>0.1408708667</v>
      </c>
      <c r="K576" s="18">
        <f t="shared" si="10"/>
        <v>81.93364223</v>
      </c>
      <c r="L576" s="4"/>
      <c r="M576" s="4"/>
      <c r="N576" s="4"/>
      <c r="O576" s="4"/>
      <c r="P576" s="4"/>
      <c r="Q576" s="4"/>
      <c r="R576" s="4"/>
      <c r="S576" s="4"/>
      <c r="T576" s="4"/>
      <c r="U576" s="4"/>
      <c r="V576" s="4"/>
      <c r="W576" s="4"/>
    </row>
    <row r="577" ht="15.75" customHeight="1">
      <c r="A577" s="13">
        <f t="shared" si="9"/>
        <v>574</v>
      </c>
      <c r="B577" s="18">
        <f>A577/'Orbit Info'!$G$10</f>
        <v>6.066789201</v>
      </c>
      <c r="C577" s="13">
        <f t="shared" si="2"/>
        <v>1</v>
      </c>
      <c r="D577" s="13">
        <f t="shared" si="3"/>
        <v>0</v>
      </c>
      <c r="E577" s="13">
        <f t="shared" si="4"/>
        <v>0</v>
      </c>
      <c r="F577" s="13">
        <f t="shared" si="5"/>
        <v>0</v>
      </c>
      <c r="G577" s="13">
        <f t="shared" si="6"/>
        <v>1</v>
      </c>
      <c r="H577" s="13">
        <f>'Orbit Info'!C576*((C577*$O$2)+(D577*$O$3)+(E577*$O$4)+(F577*$O$5))</f>
        <v>15.628032</v>
      </c>
      <c r="I577" s="13">
        <f t="shared" si="7"/>
        <v>7.17578</v>
      </c>
      <c r="J577" s="18">
        <f t="shared" si="8"/>
        <v>0.1408708667</v>
      </c>
      <c r="K577" s="18">
        <f t="shared" si="10"/>
        <v>82.0745131</v>
      </c>
      <c r="L577" s="4"/>
      <c r="M577" s="4"/>
      <c r="N577" s="4"/>
      <c r="O577" s="4"/>
      <c r="P577" s="4"/>
      <c r="Q577" s="4"/>
      <c r="R577" s="4"/>
      <c r="S577" s="4"/>
      <c r="T577" s="4"/>
      <c r="U577" s="4"/>
      <c r="V577" s="4"/>
      <c r="W577" s="4"/>
    </row>
    <row r="578" ht="15.75" customHeight="1">
      <c r="A578" s="13">
        <f t="shared" si="9"/>
        <v>575</v>
      </c>
      <c r="B578" s="18">
        <f>A578/'Orbit Info'!$G$10</f>
        <v>6.07735852</v>
      </c>
      <c r="C578" s="13">
        <f t="shared" si="2"/>
        <v>1</v>
      </c>
      <c r="D578" s="13">
        <f t="shared" si="3"/>
        <v>0</v>
      </c>
      <c r="E578" s="13">
        <f t="shared" si="4"/>
        <v>0</v>
      </c>
      <c r="F578" s="13">
        <f t="shared" si="5"/>
        <v>0</v>
      </c>
      <c r="G578" s="13">
        <f t="shared" si="6"/>
        <v>1</v>
      </c>
      <c r="H578" s="13">
        <f>'Orbit Info'!C577*((C578*$O$2)+(D578*$O$3)+(E578*$O$4)+(F578*$O$5))</f>
        <v>15.628032</v>
      </c>
      <c r="I578" s="13">
        <f t="shared" si="7"/>
        <v>7.17578</v>
      </c>
      <c r="J578" s="18">
        <f t="shared" si="8"/>
        <v>0.1408708667</v>
      </c>
      <c r="K578" s="18">
        <f t="shared" si="10"/>
        <v>82.21538397</v>
      </c>
      <c r="L578" s="4"/>
      <c r="M578" s="4"/>
      <c r="N578" s="4"/>
      <c r="O578" s="4"/>
      <c r="P578" s="4"/>
      <c r="Q578" s="4"/>
      <c r="R578" s="4"/>
      <c r="S578" s="4"/>
      <c r="T578" s="4"/>
      <c r="U578" s="4"/>
      <c r="V578" s="4"/>
      <c r="W578" s="4"/>
    </row>
    <row r="579" ht="15.75" customHeight="1">
      <c r="A579" s="13">
        <f t="shared" si="9"/>
        <v>576</v>
      </c>
      <c r="B579" s="18">
        <f>A579/'Orbit Info'!$G$10</f>
        <v>6.08792784</v>
      </c>
      <c r="C579" s="13">
        <f t="shared" si="2"/>
        <v>1</v>
      </c>
      <c r="D579" s="13">
        <f t="shared" si="3"/>
        <v>0</v>
      </c>
      <c r="E579" s="13">
        <f t="shared" si="4"/>
        <v>0</v>
      </c>
      <c r="F579" s="13">
        <f t="shared" si="5"/>
        <v>0</v>
      </c>
      <c r="G579" s="13">
        <f t="shared" si="6"/>
        <v>1</v>
      </c>
      <c r="H579" s="13">
        <f>'Orbit Info'!C578*((C579*$O$2)+(D579*$O$3)+(E579*$O$4)+(F579*$O$5))</f>
        <v>15.628032</v>
      </c>
      <c r="I579" s="13">
        <f t="shared" si="7"/>
        <v>7.17578</v>
      </c>
      <c r="J579" s="18">
        <f t="shared" si="8"/>
        <v>0.1408708667</v>
      </c>
      <c r="K579" s="18">
        <f t="shared" si="10"/>
        <v>82.35625483</v>
      </c>
      <c r="L579" s="4"/>
      <c r="M579" s="4"/>
      <c r="N579" s="4"/>
      <c r="O579" s="4"/>
      <c r="P579" s="4"/>
      <c r="Q579" s="4"/>
      <c r="R579" s="4"/>
      <c r="S579" s="4"/>
      <c r="T579" s="4"/>
      <c r="U579" s="4"/>
      <c r="V579" s="4"/>
      <c r="W579" s="4"/>
    </row>
    <row r="580" ht="15.75" customHeight="1">
      <c r="A580" s="13">
        <f t="shared" si="9"/>
        <v>577</v>
      </c>
      <c r="B580" s="18">
        <f>A580/'Orbit Info'!$G$10</f>
        <v>6.098497159</v>
      </c>
      <c r="C580" s="13">
        <f t="shared" si="2"/>
        <v>1</v>
      </c>
      <c r="D580" s="13">
        <f t="shared" si="3"/>
        <v>0</v>
      </c>
      <c r="E580" s="13">
        <f t="shared" si="4"/>
        <v>0</v>
      </c>
      <c r="F580" s="13">
        <f t="shared" si="5"/>
        <v>0</v>
      </c>
      <c r="G580" s="13">
        <f t="shared" si="6"/>
        <v>1</v>
      </c>
      <c r="H580" s="13">
        <f>'Orbit Info'!C579*((C580*$O$2)+(D580*$O$3)+(E580*$O$4)+(F580*$O$5))</f>
        <v>15.628032</v>
      </c>
      <c r="I580" s="13">
        <f t="shared" si="7"/>
        <v>7.17578</v>
      </c>
      <c r="J580" s="18">
        <f t="shared" si="8"/>
        <v>0.1408708667</v>
      </c>
      <c r="K580" s="18">
        <f t="shared" si="10"/>
        <v>82.4971257</v>
      </c>
      <c r="L580" s="4"/>
      <c r="M580" s="4"/>
      <c r="N580" s="4"/>
      <c r="O580" s="4"/>
      <c r="P580" s="4"/>
      <c r="Q580" s="4"/>
      <c r="R580" s="4"/>
      <c r="S580" s="4"/>
      <c r="T580" s="4"/>
      <c r="U580" s="4"/>
      <c r="V580" s="4"/>
      <c r="W580" s="4"/>
    </row>
    <row r="581" ht="15.75" customHeight="1">
      <c r="A581" s="13">
        <f t="shared" si="9"/>
        <v>578</v>
      </c>
      <c r="B581" s="18">
        <f>A581/'Orbit Info'!$G$10</f>
        <v>6.109066478</v>
      </c>
      <c r="C581" s="13">
        <f t="shared" si="2"/>
        <v>1</v>
      </c>
      <c r="D581" s="13">
        <f t="shared" si="3"/>
        <v>0</v>
      </c>
      <c r="E581" s="13">
        <f t="shared" si="4"/>
        <v>0</v>
      </c>
      <c r="F581" s="13">
        <f t="shared" si="5"/>
        <v>0</v>
      </c>
      <c r="G581" s="13">
        <f t="shared" si="6"/>
        <v>1</v>
      </c>
      <c r="H581" s="13">
        <f>'Orbit Info'!C580*((C581*$O$2)+(D581*$O$3)+(E581*$O$4)+(F581*$O$5))</f>
        <v>15.628032</v>
      </c>
      <c r="I581" s="13">
        <f t="shared" si="7"/>
        <v>7.17578</v>
      </c>
      <c r="J581" s="18">
        <f t="shared" si="8"/>
        <v>0.1408708667</v>
      </c>
      <c r="K581" s="18">
        <f t="shared" si="10"/>
        <v>82.63799657</v>
      </c>
      <c r="L581" s="4"/>
      <c r="M581" s="4"/>
      <c r="N581" s="4"/>
      <c r="O581" s="4"/>
      <c r="P581" s="4"/>
      <c r="Q581" s="4"/>
      <c r="R581" s="4"/>
      <c r="S581" s="4"/>
      <c r="T581" s="4"/>
      <c r="U581" s="4"/>
      <c r="V581" s="4"/>
      <c r="W581" s="4"/>
    </row>
    <row r="582" ht="15.75" customHeight="1">
      <c r="A582" s="13">
        <f t="shared" si="9"/>
        <v>579</v>
      </c>
      <c r="B582" s="18">
        <f>A582/'Orbit Info'!$G$10</f>
        <v>6.119635797</v>
      </c>
      <c r="C582" s="13">
        <f t="shared" si="2"/>
        <v>1</v>
      </c>
      <c r="D582" s="13">
        <f t="shared" si="3"/>
        <v>0</v>
      </c>
      <c r="E582" s="13">
        <f t="shared" si="4"/>
        <v>0</v>
      </c>
      <c r="F582" s="13">
        <f t="shared" si="5"/>
        <v>0</v>
      </c>
      <c r="G582" s="13">
        <f t="shared" si="6"/>
        <v>1</v>
      </c>
      <c r="H582" s="13">
        <f>'Orbit Info'!C581*((C582*$O$2)+(D582*$O$3)+(E582*$O$4)+(F582*$O$5))</f>
        <v>15.628032</v>
      </c>
      <c r="I582" s="13">
        <f t="shared" si="7"/>
        <v>7.17578</v>
      </c>
      <c r="J582" s="18">
        <f t="shared" si="8"/>
        <v>0.1408708667</v>
      </c>
      <c r="K582" s="18">
        <f t="shared" si="10"/>
        <v>82.77886743</v>
      </c>
      <c r="L582" s="4"/>
      <c r="M582" s="4"/>
      <c r="N582" s="4"/>
      <c r="O582" s="4"/>
      <c r="P582" s="4"/>
      <c r="Q582" s="4"/>
      <c r="R582" s="4"/>
      <c r="S582" s="4"/>
      <c r="T582" s="4"/>
      <c r="U582" s="4"/>
      <c r="V582" s="4"/>
      <c r="W582" s="4"/>
    </row>
    <row r="583" ht="15.75" customHeight="1">
      <c r="A583" s="13">
        <f t="shared" si="9"/>
        <v>580</v>
      </c>
      <c r="B583" s="18">
        <f>A583/'Orbit Info'!$G$10</f>
        <v>6.130205116</v>
      </c>
      <c r="C583" s="13">
        <f t="shared" si="2"/>
        <v>1</v>
      </c>
      <c r="D583" s="13">
        <f t="shared" si="3"/>
        <v>0</v>
      </c>
      <c r="E583" s="13">
        <f t="shared" si="4"/>
        <v>0</v>
      </c>
      <c r="F583" s="13">
        <f t="shared" si="5"/>
        <v>0</v>
      </c>
      <c r="G583" s="13">
        <f t="shared" si="6"/>
        <v>1</v>
      </c>
      <c r="H583" s="13">
        <f>'Orbit Info'!C582*((C583*$O$2)+(D583*$O$3)+(E583*$O$4)+(F583*$O$5))</f>
        <v>15.628032</v>
      </c>
      <c r="I583" s="13">
        <f t="shared" si="7"/>
        <v>7.17578</v>
      </c>
      <c r="J583" s="18">
        <f t="shared" si="8"/>
        <v>0.1408708667</v>
      </c>
      <c r="K583" s="18">
        <f t="shared" si="10"/>
        <v>82.9197383</v>
      </c>
      <c r="L583" s="4"/>
      <c r="M583" s="4"/>
      <c r="N583" s="4"/>
      <c r="O583" s="4"/>
      <c r="P583" s="4"/>
      <c r="Q583" s="4"/>
      <c r="R583" s="4"/>
      <c r="S583" s="4"/>
      <c r="T583" s="4"/>
      <c r="U583" s="4"/>
      <c r="V583" s="4"/>
      <c r="W583" s="4"/>
    </row>
    <row r="584" ht="15.75" customHeight="1">
      <c r="A584" s="13">
        <f t="shared" si="9"/>
        <v>581</v>
      </c>
      <c r="B584" s="18">
        <f>A584/'Orbit Info'!$G$10</f>
        <v>6.140774435</v>
      </c>
      <c r="C584" s="13">
        <f t="shared" si="2"/>
        <v>1</v>
      </c>
      <c r="D584" s="13">
        <f t="shared" si="3"/>
        <v>0</v>
      </c>
      <c r="E584" s="13">
        <f t="shared" si="4"/>
        <v>0</v>
      </c>
      <c r="F584" s="13">
        <f t="shared" si="5"/>
        <v>0</v>
      </c>
      <c r="G584" s="13">
        <f t="shared" si="6"/>
        <v>1</v>
      </c>
      <c r="H584" s="13">
        <f>'Orbit Info'!C583*((C584*$O$2)+(D584*$O$3)+(E584*$O$4)+(F584*$O$5))</f>
        <v>15.628032</v>
      </c>
      <c r="I584" s="13">
        <f t="shared" si="7"/>
        <v>7.17578</v>
      </c>
      <c r="J584" s="18">
        <f t="shared" si="8"/>
        <v>0.1408708667</v>
      </c>
      <c r="K584" s="18">
        <f t="shared" si="10"/>
        <v>83.06060917</v>
      </c>
      <c r="L584" s="4"/>
      <c r="M584" s="4"/>
      <c r="N584" s="4"/>
      <c r="O584" s="4"/>
      <c r="P584" s="4"/>
      <c r="Q584" s="4"/>
      <c r="R584" s="4"/>
      <c r="S584" s="4"/>
      <c r="T584" s="4"/>
      <c r="U584" s="4"/>
      <c r="V584" s="4"/>
      <c r="W584" s="4"/>
    </row>
    <row r="585" ht="15.75" customHeight="1">
      <c r="A585" s="13">
        <f t="shared" si="9"/>
        <v>582</v>
      </c>
      <c r="B585" s="18">
        <f>A585/'Orbit Info'!$G$10</f>
        <v>6.151343755</v>
      </c>
      <c r="C585" s="13">
        <f t="shared" si="2"/>
        <v>1</v>
      </c>
      <c r="D585" s="13">
        <f t="shared" si="3"/>
        <v>0</v>
      </c>
      <c r="E585" s="13">
        <f t="shared" si="4"/>
        <v>0</v>
      </c>
      <c r="F585" s="13">
        <f t="shared" si="5"/>
        <v>0</v>
      </c>
      <c r="G585" s="13">
        <f t="shared" si="6"/>
        <v>1</v>
      </c>
      <c r="H585" s="13">
        <f>'Orbit Info'!C584*((C585*$O$2)+(D585*$O$3)+(E585*$O$4)+(F585*$O$5))</f>
        <v>15.628032</v>
      </c>
      <c r="I585" s="13">
        <f t="shared" si="7"/>
        <v>7.17578</v>
      </c>
      <c r="J585" s="18">
        <f t="shared" si="8"/>
        <v>0.1408708667</v>
      </c>
      <c r="K585" s="18">
        <f t="shared" si="10"/>
        <v>83.20148003</v>
      </c>
      <c r="L585" s="4"/>
      <c r="M585" s="4"/>
      <c r="N585" s="4"/>
      <c r="O585" s="4"/>
      <c r="P585" s="4"/>
      <c r="Q585" s="4"/>
      <c r="R585" s="4"/>
      <c r="S585" s="4"/>
      <c r="T585" s="4"/>
      <c r="U585" s="4"/>
      <c r="V585" s="4"/>
      <c r="W585" s="4"/>
    </row>
    <row r="586" ht="15.75" customHeight="1">
      <c r="A586" s="13">
        <f t="shared" si="9"/>
        <v>583</v>
      </c>
      <c r="B586" s="18">
        <f>A586/'Orbit Info'!$G$10</f>
        <v>6.161913074</v>
      </c>
      <c r="C586" s="13">
        <f t="shared" si="2"/>
        <v>1</v>
      </c>
      <c r="D586" s="13">
        <f t="shared" si="3"/>
        <v>0</v>
      </c>
      <c r="E586" s="13">
        <f t="shared" si="4"/>
        <v>0</v>
      </c>
      <c r="F586" s="13">
        <f t="shared" si="5"/>
        <v>0</v>
      </c>
      <c r="G586" s="13">
        <f t="shared" si="6"/>
        <v>1</v>
      </c>
      <c r="H586" s="13">
        <f>'Orbit Info'!C585*((C586*$O$2)+(D586*$O$3)+(E586*$O$4)+(F586*$O$5))</f>
        <v>15.628032</v>
      </c>
      <c r="I586" s="13">
        <f t="shared" si="7"/>
        <v>7.17578</v>
      </c>
      <c r="J586" s="18">
        <f t="shared" si="8"/>
        <v>0.1408708667</v>
      </c>
      <c r="K586" s="18">
        <f t="shared" si="10"/>
        <v>83.3423509</v>
      </c>
      <c r="L586" s="4"/>
      <c r="M586" s="4"/>
      <c r="N586" s="4"/>
      <c r="O586" s="4"/>
      <c r="P586" s="4"/>
      <c r="Q586" s="4"/>
      <c r="R586" s="4"/>
      <c r="S586" s="4"/>
      <c r="T586" s="4"/>
      <c r="U586" s="4"/>
      <c r="V586" s="4"/>
      <c r="W586" s="4"/>
    </row>
    <row r="587" ht="15.75" customHeight="1">
      <c r="A587" s="13">
        <f t="shared" si="9"/>
        <v>584</v>
      </c>
      <c r="B587" s="18">
        <f>A587/'Orbit Info'!$G$10</f>
        <v>6.172482393</v>
      </c>
      <c r="C587" s="13">
        <f t="shared" si="2"/>
        <v>1</v>
      </c>
      <c r="D587" s="13">
        <f t="shared" si="3"/>
        <v>0</v>
      </c>
      <c r="E587" s="13">
        <f t="shared" si="4"/>
        <v>0</v>
      </c>
      <c r="F587" s="13">
        <f t="shared" si="5"/>
        <v>0</v>
      </c>
      <c r="G587" s="13">
        <f t="shared" si="6"/>
        <v>1</v>
      </c>
      <c r="H587" s="13">
        <f>'Orbit Info'!C586*((C587*$O$2)+(D587*$O$3)+(E587*$O$4)+(F587*$O$5))</f>
        <v>15.628032</v>
      </c>
      <c r="I587" s="13">
        <f t="shared" si="7"/>
        <v>7.17578</v>
      </c>
      <c r="J587" s="18">
        <f t="shared" si="8"/>
        <v>0.1408708667</v>
      </c>
      <c r="K587" s="18">
        <f t="shared" si="10"/>
        <v>83.48322177</v>
      </c>
      <c r="L587" s="4"/>
      <c r="M587" s="4"/>
      <c r="N587" s="4"/>
      <c r="O587" s="4"/>
      <c r="P587" s="4"/>
      <c r="Q587" s="4"/>
      <c r="R587" s="4"/>
      <c r="S587" s="4"/>
      <c r="T587" s="4"/>
      <c r="U587" s="4"/>
      <c r="V587" s="4"/>
      <c r="W587" s="4"/>
    </row>
    <row r="588" ht="15.75" customHeight="1">
      <c r="A588" s="13">
        <f t="shared" si="9"/>
        <v>585</v>
      </c>
      <c r="B588" s="18">
        <f>A588/'Orbit Info'!$G$10</f>
        <v>6.183051712</v>
      </c>
      <c r="C588" s="13">
        <f t="shared" si="2"/>
        <v>1</v>
      </c>
      <c r="D588" s="13">
        <f t="shared" si="3"/>
        <v>0</v>
      </c>
      <c r="E588" s="13">
        <f t="shared" si="4"/>
        <v>0</v>
      </c>
      <c r="F588" s="13">
        <f t="shared" si="5"/>
        <v>0</v>
      </c>
      <c r="G588" s="13">
        <f t="shared" si="6"/>
        <v>1</v>
      </c>
      <c r="H588" s="13">
        <f>'Orbit Info'!C587*((C588*$O$2)+(D588*$O$3)+(E588*$O$4)+(F588*$O$5))</f>
        <v>15.628032</v>
      </c>
      <c r="I588" s="13">
        <f t="shared" si="7"/>
        <v>7.17578</v>
      </c>
      <c r="J588" s="18">
        <f t="shared" si="8"/>
        <v>0.1408708667</v>
      </c>
      <c r="K588" s="18">
        <f t="shared" si="10"/>
        <v>83.62409263</v>
      </c>
      <c r="L588" s="4"/>
      <c r="M588" s="4"/>
      <c r="N588" s="4"/>
      <c r="O588" s="4"/>
      <c r="P588" s="4"/>
      <c r="Q588" s="4"/>
      <c r="R588" s="4"/>
      <c r="S588" s="4"/>
      <c r="T588" s="4"/>
      <c r="U588" s="4"/>
      <c r="V588" s="4"/>
      <c r="W588" s="4"/>
    </row>
    <row r="589" ht="15.75" customHeight="1">
      <c r="A589" s="13">
        <f t="shared" si="9"/>
        <v>586</v>
      </c>
      <c r="B589" s="18">
        <f>A589/'Orbit Info'!$G$10</f>
        <v>6.193621031</v>
      </c>
      <c r="C589" s="13">
        <f t="shared" si="2"/>
        <v>1</v>
      </c>
      <c r="D589" s="13">
        <f t="shared" si="3"/>
        <v>0</v>
      </c>
      <c r="E589" s="13">
        <f t="shared" si="4"/>
        <v>0</v>
      </c>
      <c r="F589" s="13">
        <f t="shared" si="5"/>
        <v>0</v>
      </c>
      <c r="G589" s="13">
        <f t="shared" si="6"/>
        <v>1</v>
      </c>
      <c r="H589" s="13">
        <f>'Orbit Info'!C588*((C589*$O$2)+(D589*$O$3)+(E589*$O$4)+(F589*$O$5))</f>
        <v>15.628032</v>
      </c>
      <c r="I589" s="13">
        <f t="shared" si="7"/>
        <v>7.17578</v>
      </c>
      <c r="J589" s="18">
        <f t="shared" si="8"/>
        <v>0.1408708667</v>
      </c>
      <c r="K589" s="18">
        <f t="shared" si="10"/>
        <v>83.7649635</v>
      </c>
      <c r="L589" s="4"/>
      <c r="M589" s="4"/>
      <c r="N589" s="4"/>
      <c r="O589" s="4"/>
      <c r="P589" s="4"/>
      <c r="Q589" s="4"/>
      <c r="R589" s="4"/>
      <c r="S589" s="4"/>
      <c r="T589" s="4"/>
      <c r="U589" s="4"/>
      <c r="V589" s="4"/>
      <c r="W589" s="4"/>
    </row>
    <row r="590" ht="15.75" customHeight="1">
      <c r="A590" s="13">
        <f t="shared" si="9"/>
        <v>587</v>
      </c>
      <c r="B590" s="18">
        <f>A590/'Orbit Info'!$G$10</f>
        <v>6.20419035</v>
      </c>
      <c r="C590" s="13">
        <f t="shared" si="2"/>
        <v>1</v>
      </c>
      <c r="D590" s="13">
        <f t="shared" si="3"/>
        <v>0</v>
      </c>
      <c r="E590" s="13">
        <f t="shared" si="4"/>
        <v>0</v>
      </c>
      <c r="F590" s="13">
        <f t="shared" si="5"/>
        <v>0</v>
      </c>
      <c r="G590" s="13">
        <f t="shared" si="6"/>
        <v>1</v>
      </c>
      <c r="H590" s="13">
        <f>'Orbit Info'!C589*((C590*$O$2)+(D590*$O$3)+(E590*$O$4)+(F590*$O$5))</f>
        <v>15.628032</v>
      </c>
      <c r="I590" s="13">
        <f t="shared" si="7"/>
        <v>7.17578</v>
      </c>
      <c r="J590" s="18">
        <f t="shared" si="8"/>
        <v>0.1408708667</v>
      </c>
      <c r="K590" s="18">
        <f t="shared" si="10"/>
        <v>83.90583437</v>
      </c>
      <c r="L590" s="4"/>
      <c r="M590" s="4"/>
      <c r="N590" s="4"/>
      <c r="O590" s="4"/>
      <c r="P590" s="4"/>
      <c r="Q590" s="4"/>
      <c r="R590" s="4"/>
      <c r="S590" s="4"/>
      <c r="T590" s="4"/>
      <c r="U590" s="4"/>
      <c r="V590" s="4"/>
      <c r="W590" s="4"/>
    </row>
    <row r="591" ht="15.75" customHeight="1">
      <c r="A591" s="13">
        <f t="shared" si="9"/>
        <v>588</v>
      </c>
      <c r="B591" s="18">
        <f>A591/'Orbit Info'!$G$10</f>
        <v>6.21475967</v>
      </c>
      <c r="C591" s="13">
        <f t="shared" si="2"/>
        <v>1</v>
      </c>
      <c r="D591" s="13">
        <f t="shared" si="3"/>
        <v>0</v>
      </c>
      <c r="E591" s="13">
        <f t="shared" si="4"/>
        <v>0</v>
      </c>
      <c r="F591" s="13">
        <f t="shared" si="5"/>
        <v>0</v>
      </c>
      <c r="G591" s="13">
        <f t="shared" si="6"/>
        <v>1</v>
      </c>
      <c r="H591" s="13">
        <f>'Orbit Info'!C590*((C591*$O$2)+(D591*$O$3)+(E591*$O$4)+(F591*$O$5))</f>
        <v>15.628032</v>
      </c>
      <c r="I591" s="13">
        <f t="shared" si="7"/>
        <v>7.17578</v>
      </c>
      <c r="J591" s="18">
        <f t="shared" si="8"/>
        <v>0.1408708667</v>
      </c>
      <c r="K591" s="18">
        <f t="shared" si="10"/>
        <v>84.04670523</v>
      </c>
      <c r="L591" s="4"/>
      <c r="M591" s="4"/>
      <c r="N591" s="4"/>
      <c r="O591" s="4"/>
      <c r="P591" s="4"/>
      <c r="Q591" s="4"/>
      <c r="R591" s="4"/>
      <c r="S591" s="4"/>
      <c r="T591" s="4"/>
      <c r="U591" s="4"/>
      <c r="V591" s="4"/>
      <c r="W591" s="4"/>
    </row>
    <row r="592" ht="15.75" customHeight="1">
      <c r="A592" s="13">
        <f t="shared" si="9"/>
        <v>589</v>
      </c>
      <c r="B592" s="18">
        <f>A592/'Orbit Info'!$G$10</f>
        <v>6.225328989</v>
      </c>
      <c r="C592" s="13">
        <f t="shared" si="2"/>
        <v>1</v>
      </c>
      <c r="D592" s="13">
        <f t="shared" si="3"/>
        <v>0</v>
      </c>
      <c r="E592" s="13">
        <f t="shared" si="4"/>
        <v>0</v>
      </c>
      <c r="F592" s="13">
        <f t="shared" si="5"/>
        <v>0</v>
      </c>
      <c r="G592" s="13">
        <f t="shared" si="6"/>
        <v>1</v>
      </c>
      <c r="H592" s="13">
        <f>'Orbit Info'!C591*((C592*$O$2)+(D592*$O$3)+(E592*$O$4)+(F592*$O$5))</f>
        <v>15.628032</v>
      </c>
      <c r="I592" s="13">
        <f t="shared" si="7"/>
        <v>7.17578</v>
      </c>
      <c r="J592" s="18">
        <f t="shared" si="8"/>
        <v>0.1408708667</v>
      </c>
      <c r="K592" s="18">
        <f t="shared" si="10"/>
        <v>84.1875761</v>
      </c>
      <c r="L592" s="4"/>
      <c r="M592" s="4"/>
      <c r="N592" s="4"/>
      <c r="O592" s="4"/>
      <c r="P592" s="4"/>
      <c r="Q592" s="4"/>
      <c r="R592" s="4"/>
      <c r="S592" s="4"/>
      <c r="T592" s="4"/>
      <c r="U592" s="4"/>
      <c r="V592" s="4"/>
      <c r="W592" s="4"/>
    </row>
    <row r="593" ht="15.75" customHeight="1">
      <c r="A593" s="13">
        <f t="shared" si="9"/>
        <v>590</v>
      </c>
      <c r="B593" s="18">
        <f>A593/'Orbit Info'!$G$10</f>
        <v>6.235898308</v>
      </c>
      <c r="C593" s="13">
        <f t="shared" si="2"/>
        <v>1</v>
      </c>
      <c r="D593" s="13">
        <f t="shared" si="3"/>
        <v>0</v>
      </c>
      <c r="E593" s="13">
        <f t="shared" si="4"/>
        <v>0</v>
      </c>
      <c r="F593" s="13">
        <f t="shared" si="5"/>
        <v>0</v>
      </c>
      <c r="G593" s="13">
        <f t="shared" si="6"/>
        <v>1</v>
      </c>
      <c r="H593" s="13">
        <f>'Orbit Info'!C592*((C593*$O$2)+(D593*$O$3)+(E593*$O$4)+(F593*$O$5))</f>
        <v>15.628032</v>
      </c>
      <c r="I593" s="13">
        <f t="shared" si="7"/>
        <v>7.17578</v>
      </c>
      <c r="J593" s="18">
        <f t="shared" si="8"/>
        <v>0.1408708667</v>
      </c>
      <c r="K593" s="18">
        <f t="shared" si="10"/>
        <v>84.32844697</v>
      </c>
      <c r="L593" s="4"/>
      <c r="M593" s="4"/>
      <c r="N593" s="4"/>
      <c r="O593" s="4"/>
      <c r="P593" s="4"/>
      <c r="Q593" s="4"/>
      <c r="R593" s="4"/>
      <c r="S593" s="4"/>
      <c r="T593" s="4"/>
      <c r="U593" s="4"/>
      <c r="V593" s="4"/>
      <c r="W593" s="4"/>
    </row>
    <row r="594" ht="15.75" customHeight="1">
      <c r="A594" s="13">
        <f t="shared" si="9"/>
        <v>591</v>
      </c>
      <c r="B594" s="18">
        <f>A594/'Orbit Info'!$G$10</f>
        <v>6.246467627</v>
      </c>
      <c r="C594" s="13">
        <f t="shared" si="2"/>
        <v>1</v>
      </c>
      <c r="D594" s="13">
        <f t="shared" si="3"/>
        <v>0</v>
      </c>
      <c r="E594" s="13">
        <f t="shared" si="4"/>
        <v>0</v>
      </c>
      <c r="F594" s="13">
        <f t="shared" si="5"/>
        <v>0</v>
      </c>
      <c r="G594" s="13">
        <f t="shared" si="6"/>
        <v>1</v>
      </c>
      <c r="H594" s="13">
        <f>'Orbit Info'!C593*((C594*$O$2)+(D594*$O$3)+(E594*$O$4)+(F594*$O$5))</f>
        <v>15.628032</v>
      </c>
      <c r="I594" s="13">
        <f t="shared" si="7"/>
        <v>7.17578</v>
      </c>
      <c r="J594" s="18">
        <f t="shared" si="8"/>
        <v>0.1408708667</v>
      </c>
      <c r="K594" s="18">
        <f t="shared" si="10"/>
        <v>84.46931783</v>
      </c>
      <c r="L594" s="4"/>
      <c r="M594" s="4"/>
      <c r="N594" s="4"/>
      <c r="O594" s="4"/>
      <c r="P594" s="4"/>
      <c r="Q594" s="4"/>
      <c r="R594" s="4"/>
      <c r="S594" s="4"/>
      <c r="T594" s="4"/>
      <c r="U594" s="4"/>
      <c r="V594" s="4"/>
      <c r="W594" s="4"/>
    </row>
    <row r="595" ht="15.75" customHeight="1">
      <c r="A595" s="13">
        <f t="shared" si="9"/>
        <v>592</v>
      </c>
      <c r="B595" s="18">
        <f>A595/'Orbit Info'!$G$10</f>
        <v>6.257036946</v>
      </c>
      <c r="C595" s="13">
        <f t="shared" si="2"/>
        <v>1</v>
      </c>
      <c r="D595" s="13">
        <f t="shared" si="3"/>
        <v>0</v>
      </c>
      <c r="E595" s="13">
        <f t="shared" si="4"/>
        <v>0</v>
      </c>
      <c r="F595" s="13">
        <f t="shared" si="5"/>
        <v>0</v>
      </c>
      <c r="G595" s="13">
        <f t="shared" si="6"/>
        <v>1</v>
      </c>
      <c r="H595" s="13">
        <f>'Orbit Info'!C594*((C595*$O$2)+(D595*$O$3)+(E595*$O$4)+(F595*$O$5))</f>
        <v>15.628032</v>
      </c>
      <c r="I595" s="13">
        <f t="shared" si="7"/>
        <v>7.17578</v>
      </c>
      <c r="J595" s="18">
        <f t="shared" si="8"/>
        <v>0.1408708667</v>
      </c>
      <c r="K595" s="18">
        <f t="shared" si="10"/>
        <v>84.6101887</v>
      </c>
      <c r="L595" s="4"/>
      <c r="M595" s="4"/>
      <c r="N595" s="4"/>
      <c r="O595" s="4"/>
      <c r="P595" s="4"/>
      <c r="Q595" s="4"/>
      <c r="R595" s="4"/>
      <c r="S595" s="4"/>
      <c r="T595" s="4"/>
      <c r="U595" s="4"/>
      <c r="V595" s="4"/>
      <c r="W595" s="4"/>
    </row>
    <row r="596" ht="15.75" customHeight="1">
      <c r="A596" s="13">
        <f t="shared" si="9"/>
        <v>593</v>
      </c>
      <c r="B596" s="18">
        <f>A596/'Orbit Info'!$G$10</f>
        <v>6.267606265</v>
      </c>
      <c r="C596" s="13">
        <f t="shared" si="2"/>
        <v>1</v>
      </c>
      <c r="D596" s="13">
        <f t="shared" si="3"/>
        <v>0</v>
      </c>
      <c r="E596" s="13">
        <f t="shared" si="4"/>
        <v>0</v>
      </c>
      <c r="F596" s="13">
        <f t="shared" si="5"/>
        <v>0</v>
      </c>
      <c r="G596" s="13">
        <f t="shared" si="6"/>
        <v>1</v>
      </c>
      <c r="H596" s="13">
        <f>'Orbit Info'!C595*((C596*$O$2)+(D596*$O$3)+(E596*$O$4)+(F596*$O$5))</f>
        <v>15.628032</v>
      </c>
      <c r="I596" s="13">
        <f t="shared" si="7"/>
        <v>7.17578</v>
      </c>
      <c r="J596" s="18">
        <f t="shared" si="8"/>
        <v>0.1408708667</v>
      </c>
      <c r="K596" s="18">
        <f t="shared" si="10"/>
        <v>84.75105957</v>
      </c>
      <c r="L596" s="4"/>
      <c r="M596" s="4"/>
      <c r="N596" s="4"/>
      <c r="O596" s="4"/>
      <c r="P596" s="4"/>
      <c r="Q596" s="4"/>
      <c r="R596" s="4"/>
      <c r="S596" s="4"/>
      <c r="T596" s="4"/>
      <c r="U596" s="4"/>
      <c r="V596" s="4"/>
      <c r="W596" s="4"/>
    </row>
    <row r="597" ht="15.75" customHeight="1">
      <c r="A597" s="13">
        <f t="shared" si="9"/>
        <v>594</v>
      </c>
      <c r="B597" s="18">
        <f>A597/'Orbit Info'!$G$10</f>
        <v>6.278175585</v>
      </c>
      <c r="C597" s="13">
        <f t="shared" si="2"/>
        <v>1</v>
      </c>
      <c r="D597" s="13">
        <f t="shared" si="3"/>
        <v>0</v>
      </c>
      <c r="E597" s="13">
        <f t="shared" si="4"/>
        <v>0</v>
      </c>
      <c r="F597" s="13">
        <f t="shared" si="5"/>
        <v>0</v>
      </c>
      <c r="G597" s="13">
        <f t="shared" si="6"/>
        <v>1</v>
      </c>
      <c r="H597" s="13">
        <f>'Orbit Info'!C596*((C597*$O$2)+(D597*$O$3)+(E597*$O$4)+(F597*$O$5))</f>
        <v>15.628032</v>
      </c>
      <c r="I597" s="13">
        <f t="shared" si="7"/>
        <v>7.17578</v>
      </c>
      <c r="J597" s="18">
        <f t="shared" si="8"/>
        <v>0.1408708667</v>
      </c>
      <c r="K597" s="18">
        <f t="shared" si="10"/>
        <v>84.89193043</v>
      </c>
      <c r="L597" s="4"/>
      <c r="M597" s="4"/>
      <c r="N597" s="4"/>
      <c r="O597" s="4"/>
      <c r="P597" s="4"/>
      <c r="Q597" s="4"/>
      <c r="R597" s="4"/>
      <c r="S597" s="4"/>
      <c r="T597" s="4"/>
      <c r="U597" s="4"/>
      <c r="V597" s="4"/>
      <c r="W597" s="4"/>
    </row>
    <row r="598" ht="15.75" customHeight="1">
      <c r="A598" s="13">
        <f t="shared" si="9"/>
        <v>595</v>
      </c>
      <c r="B598" s="18">
        <f>A598/'Orbit Info'!$G$10</f>
        <v>6.288744904</v>
      </c>
      <c r="C598" s="13">
        <f t="shared" si="2"/>
        <v>1</v>
      </c>
      <c r="D598" s="13">
        <f t="shared" si="3"/>
        <v>0</v>
      </c>
      <c r="E598" s="13">
        <f t="shared" si="4"/>
        <v>0</v>
      </c>
      <c r="F598" s="13">
        <f t="shared" si="5"/>
        <v>0</v>
      </c>
      <c r="G598" s="13">
        <f t="shared" si="6"/>
        <v>1</v>
      </c>
      <c r="H598" s="13">
        <f>'Orbit Info'!C597*((C598*$O$2)+(D598*$O$3)+(E598*$O$4)+(F598*$O$5))</f>
        <v>15.628032</v>
      </c>
      <c r="I598" s="13">
        <f t="shared" si="7"/>
        <v>7.17578</v>
      </c>
      <c r="J598" s="18">
        <f t="shared" si="8"/>
        <v>0.1408708667</v>
      </c>
      <c r="K598" s="18">
        <f t="shared" si="10"/>
        <v>85.0328013</v>
      </c>
      <c r="L598" s="4"/>
      <c r="M598" s="4"/>
      <c r="N598" s="4"/>
      <c r="O598" s="4"/>
      <c r="P598" s="4"/>
      <c r="Q598" s="4"/>
      <c r="R598" s="4"/>
      <c r="S598" s="4"/>
      <c r="T598" s="4"/>
      <c r="U598" s="4"/>
      <c r="V598" s="4"/>
      <c r="W598" s="4"/>
    </row>
    <row r="599" ht="15.75" customHeight="1">
      <c r="A599" s="13">
        <f t="shared" si="9"/>
        <v>596</v>
      </c>
      <c r="B599" s="18">
        <f>A599/'Orbit Info'!$G$10</f>
        <v>6.299314223</v>
      </c>
      <c r="C599" s="13">
        <f t="shared" si="2"/>
        <v>1</v>
      </c>
      <c r="D599" s="13">
        <f t="shared" si="3"/>
        <v>0</v>
      </c>
      <c r="E599" s="13">
        <f t="shared" si="4"/>
        <v>0</v>
      </c>
      <c r="F599" s="13">
        <f t="shared" si="5"/>
        <v>0</v>
      </c>
      <c r="G599" s="13">
        <f t="shared" si="6"/>
        <v>1</v>
      </c>
      <c r="H599" s="13">
        <f>'Orbit Info'!C598*((C599*$O$2)+(D599*$O$3)+(E599*$O$4)+(F599*$O$5))</f>
        <v>15.628032</v>
      </c>
      <c r="I599" s="13">
        <f t="shared" si="7"/>
        <v>7.17578</v>
      </c>
      <c r="J599" s="18">
        <f t="shared" si="8"/>
        <v>0.1408708667</v>
      </c>
      <c r="K599" s="18">
        <f t="shared" si="10"/>
        <v>85.17367217</v>
      </c>
      <c r="L599" s="4"/>
      <c r="M599" s="4"/>
      <c r="N599" s="4"/>
      <c r="O599" s="4"/>
      <c r="P599" s="4"/>
      <c r="Q599" s="4"/>
      <c r="R599" s="4"/>
      <c r="S599" s="4"/>
      <c r="T599" s="4"/>
      <c r="U599" s="4"/>
      <c r="V599" s="4"/>
      <c r="W599" s="4"/>
    </row>
    <row r="600" ht="15.75" customHeight="1">
      <c r="A600" s="13">
        <f t="shared" si="9"/>
        <v>597</v>
      </c>
      <c r="B600" s="18">
        <f>A600/'Orbit Info'!$G$10</f>
        <v>6.309883542</v>
      </c>
      <c r="C600" s="13">
        <f t="shared" si="2"/>
        <v>1</v>
      </c>
      <c r="D600" s="13">
        <f t="shared" si="3"/>
        <v>0</v>
      </c>
      <c r="E600" s="13">
        <f t="shared" si="4"/>
        <v>0</v>
      </c>
      <c r="F600" s="13">
        <f t="shared" si="5"/>
        <v>0</v>
      </c>
      <c r="G600" s="13">
        <f t="shared" si="6"/>
        <v>1</v>
      </c>
      <c r="H600" s="13">
        <f>'Orbit Info'!C599*((C600*$O$2)+(D600*$O$3)+(E600*$O$4)+(F600*$O$5))</f>
        <v>15.628032</v>
      </c>
      <c r="I600" s="13">
        <f t="shared" si="7"/>
        <v>7.17578</v>
      </c>
      <c r="J600" s="18">
        <f t="shared" si="8"/>
        <v>0.1408708667</v>
      </c>
      <c r="K600" s="18">
        <f t="shared" si="10"/>
        <v>85.31454303</v>
      </c>
      <c r="L600" s="4"/>
      <c r="M600" s="4"/>
      <c r="N600" s="4"/>
      <c r="O600" s="4"/>
      <c r="P600" s="4"/>
      <c r="Q600" s="4"/>
      <c r="R600" s="4"/>
      <c r="S600" s="4"/>
      <c r="T600" s="4"/>
      <c r="U600" s="4"/>
      <c r="V600" s="4"/>
      <c r="W600" s="4"/>
    </row>
    <row r="601" ht="15.75" customHeight="1">
      <c r="A601" s="13">
        <f t="shared" si="9"/>
        <v>598</v>
      </c>
      <c r="B601" s="18">
        <f>A601/'Orbit Info'!$G$10</f>
        <v>6.320452861</v>
      </c>
      <c r="C601" s="13">
        <f t="shared" si="2"/>
        <v>1</v>
      </c>
      <c r="D601" s="13">
        <f t="shared" si="3"/>
        <v>0</v>
      </c>
      <c r="E601" s="13">
        <f t="shared" si="4"/>
        <v>0</v>
      </c>
      <c r="F601" s="13">
        <f t="shared" si="5"/>
        <v>0</v>
      </c>
      <c r="G601" s="13">
        <f t="shared" si="6"/>
        <v>1</v>
      </c>
      <c r="H601" s="13">
        <f>'Orbit Info'!C600*((C601*$O$2)+(D601*$O$3)+(E601*$O$4)+(F601*$O$5))</f>
        <v>15.628032</v>
      </c>
      <c r="I601" s="13">
        <f t="shared" si="7"/>
        <v>7.17578</v>
      </c>
      <c r="J601" s="18">
        <f t="shared" si="8"/>
        <v>0.1408708667</v>
      </c>
      <c r="K601" s="18">
        <f t="shared" si="10"/>
        <v>85.4554139</v>
      </c>
      <c r="L601" s="4"/>
      <c r="M601" s="4"/>
      <c r="N601" s="4"/>
      <c r="O601" s="4"/>
      <c r="P601" s="4"/>
      <c r="Q601" s="4"/>
      <c r="R601" s="4"/>
      <c r="S601" s="4"/>
      <c r="T601" s="4"/>
      <c r="U601" s="4"/>
      <c r="V601" s="4"/>
      <c r="W601" s="4"/>
    </row>
    <row r="602" ht="15.75" customHeight="1">
      <c r="A602" s="13">
        <f t="shared" si="9"/>
        <v>599</v>
      </c>
      <c r="B602" s="18">
        <f>A602/'Orbit Info'!$G$10</f>
        <v>6.33102218</v>
      </c>
      <c r="C602" s="13">
        <f t="shared" si="2"/>
        <v>1</v>
      </c>
      <c r="D602" s="13">
        <f t="shared" si="3"/>
        <v>0</v>
      </c>
      <c r="E602" s="13">
        <f t="shared" si="4"/>
        <v>0</v>
      </c>
      <c r="F602" s="13">
        <f t="shared" si="5"/>
        <v>0</v>
      </c>
      <c r="G602" s="13">
        <f t="shared" si="6"/>
        <v>1</v>
      </c>
      <c r="H602" s="13">
        <f>'Orbit Info'!C601*((C602*$O$2)+(D602*$O$3)+(E602*$O$4)+(F602*$O$5))</f>
        <v>15.628032</v>
      </c>
      <c r="I602" s="13">
        <f t="shared" si="7"/>
        <v>7.17578</v>
      </c>
      <c r="J602" s="18">
        <f t="shared" si="8"/>
        <v>0.1408708667</v>
      </c>
      <c r="K602" s="18">
        <f t="shared" si="10"/>
        <v>85.59628477</v>
      </c>
      <c r="L602" s="4"/>
      <c r="M602" s="4"/>
      <c r="N602" s="4"/>
      <c r="O602" s="4"/>
      <c r="P602" s="4"/>
      <c r="Q602" s="4"/>
      <c r="R602" s="4"/>
      <c r="S602" s="4"/>
      <c r="T602" s="4"/>
      <c r="U602" s="4"/>
      <c r="V602" s="4"/>
      <c r="W602" s="4"/>
    </row>
    <row r="603" ht="15.75" customHeight="1">
      <c r="A603" s="13">
        <f t="shared" si="9"/>
        <v>600</v>
      </c>
      <c r="B603" s="18">
        <f>A603/'Orbit Info'!$G$10</f>
        <v>6.3415915</v>
      </c>
      <c r="C603" s="13">
        <f t="shared" si="2"/>
        <v>1</v>
      </c>
      <c r="D603" s="13">
        <f t="shared" si="3"/>
        <v>0</v>
      </c>
      <c r="E603" s="13">
        <f t="shared" si="4"/>
        <v>0</v>
      </c>
      <c r="F603" s="13">
        <f t="shared" si="5"/>
        <v>0</v>
      </c>
      <c r="G603" s="13">
        <f t="shared" si="6"/>
        <v>1</v>
      </c>
      <c r="H603" s="13">
        <f>'Orbit Info'!C602*((C603*$O$2)+(D603*$O$3)+(E603*$O$4)+(F603*$O$5))</f>
        <v>15.628032</v>
      </c>
      <c r="I603" s="13">
        <f t="shared" si="7"/>
        <v>7.17578</v>
      </c>
      <c r="J603" s="18">
        <f t="shared" si="8"/>
        <v>0.1408708667</v>
      </c>
      <c r="K603" s="18">
        <f t="shared" si="10"/>
        <v>85.73715563</v>
      </c>
      <c r="L603" s="4"/>
      <c r="M603" s="4"/>
      <c r="N603" s="4"/>
      <c r="O603" s="4"/>
      <c r="P603" s="4"/>
      <c r="Q603" s="4"/>
      <c r="R603" s="4"/>
      <c r="S603" s="4"/>
      <c r="T603" s="4"/>
      <c r="U603" s="4"/>
      <c r="V603" s="4"/>
      <c r="W603" s="4"/>
    </row>
    <row r="604" ht="15.75" customHeight="1">
      <c r="A604" s="13">
        <f t="shared" si="9"/>
        <v>601</v>
      </c>
      <c r="B604" s="18">
        <f>A604/'Orbit Info'!$G$10</f>
        <v>6.352160819</v>
      </c>
      <c r="C604" s="13">
        <f t="shared" si="2"/>
        <v>0</v>
      </c>
      <c r="D604" s="13">
        <f t="shared" si="3"/>
        <v>1</v>
      </c>
      <c r="E604" s="13">
        <f t="shared" si="4"/>
        <v>0</v>
      </c>
      <c r="F604" s="13">
        <f t="shared" si="5"/>
        <v>0</v>
      </c>
      <c r="G604" s="13">
        <f t="shared" si="6"/>
        <v>1</v>
      </c>
      <c r="H604" s="13">
        <f>'Orbit Info'!C603*((C604*$O$2)+(D604*$O$3)+(E604*$O$4)+(F604*$O$5))</f>
        <v>15.628032</v>
      </c>
      <c r="I604" s="13">
        <f t="shared" si="7"/>
        <v>8.62426</v>
      </c>
      <c r="J604" s="18">
        <f t="shared" si="8"/>
        <v>0.1167295333</v>
      </c>
      <c r="K604" s="18">
        <f t="shared" si="10"/>
        <v>85.85388517</v>
      </c>
      <c r="L604" s="4"/>
      <c r="M604" s="4"/>
      <c r="N604" s="4"/>
      <c r="O604" s="4"/>
      <c r="P604" s="4"/>
      <c r="Q604" s="4"/>
      <c r="R604" s="4"/>
      <c r="S604" s="4"/>
      <c r="T604" s="4"/>
      <c r="U604" s="4"/>
      <c r="V604" s="4"/>
      <c r="W604" s="4"/>
    </row>
    <row r="605" ht="15.75" customHeight="1">
      <c r="A605" s="13">
        <f t="shared" si="9"/>
        <v>602</v>
      </c>
      <c r="B605" s="18">
        <f>A605/'Orbit Info'!$G$10</f>
        <v>6.362730138</v>
      </c>
      <c r="C605" s="13">
        <f t="shared" si="2"/>
        <v>0</v>
      </c>
      <c r="D605" s="13">
        <f t="shared" si="3"/>
        <v>1</v>
      </c>
      <c r="E605" s="13">
        <f t="shared" si="4"/>
        <v>0</v>
      </c>
      <c r="F605" s="13">
        <f t="shared" si="5"/>
        <v>0</v>
      </c>
      <c r="G605" s="13">
        <f t="shared" si="6"/>
        <v>1</v>
      </c>
      <c r="H605" s="13">
        <f>'Orbit Info'!C604*((C605*$O$2)+(D605*$O$3)+(E605*$O$4)+(F605*$O$5))</f>
        <v>15.628032</v>
      </c>
      <c r="I605" s="13">
        <f t="shared" si="7"/>
        <v>8.62426</v>
      </c>
      <c r="J605" s="18">
        <f t="shared" si="8"/>
        <v>0.1167295333</v>
      </c>
      <c r="K605" s="18">
        <f t="shared" si="10"/>
        <v>85.9706147</v>
      </c>
      <c r="L605" s="4"/>
      <c r="M605" s="4"/>
      <c r="N605" s="4"/>
      <c r="O605" s="4"/>
      <c r="P605" s="4"/>
      <c r="Q605" s="4"/>
      <c r="R605" s="4"/>
      <c r="S605" s="4"/>
      <c r="T605" s="4"/>
      <c r="U605" s="4"/>
      <c r="V605" s="4"/>
      <c r="W605" s="4"/>
    </row>
    <row r="606" ht="15.75" customHeight="1">
      <c r="A606" s="13">
        <f t="shared" si="9"/>
        <v>603</v>
      </c>
      <c r="B606" s="18">
        <f>A606/'Orbit Info'!$G$10</f>
        <v>6.373299457</v>
      </c>
      <c r="C606" s="13">
        <f t="shared" si="2"/>
        <v>0</v>
      </c>
      <c r="D606" s="13">
        <f t="shared" si="3"/>
        <v>1</v>
      </c>
      <c r="E606" s="13">
        <f t="shared" si="4"/>
        <v>0</v>
      </c>
      <c r="F606" s="13">
        <f t="shared" si="5"/>
        <v>0</v>
      </c>
      <c r="G606" s="13">
        <f t="shared" si="6"/>
        <v>1</v>
      </c>
      <c r="H606" s="13">
        <f>'Orbit Info'!C605*((C606*$O$2)+(D606*$O$3)+(E606*$O$4)+(F606*$O$5))</f>
        <v>15.628032</v>
      </c>
      <c r="I606" s="13">
        <f t="shared" si="7"/>
        <v>8.62426</v>
      </c>
      <c r="J606" s="18">
        <f t="shared" si="8"/>
        <v>0.1167295333</v>
      </c>
      <c r="K606" s="18">
        <f t="shared" si="10"/>
        <v>86.08734423</v>
      </c>
      <c r="L606" s="4"/>
      <c r="M606" s="4"/>
      <c r="N606" s="4"/>
      <c r="O606" s="4"/>
      <c r="P606" s="4"/>
      <c r="Q606" s="4"/>
      <c r="R606" s="4"/>
      <c r="S606" s="4"/>
      <c r="T606" s="4"/>
      <c r="U606" s="4"/>
      <c r="V606" s="4"/>
      <c r="W606" s="4"/>
    </row>
    <row r="607" ht="15.75" customHeight="1">
      <c r="A607" s="13">
        <f t="shared" si="9"/>
        <v>604</v>
      </c>
      <c r="B607" s="18">
        <f>A607/'Orbit Info'!$G$10</f>
        <v>6.383868776</v>
      </c>
      <c r="C607" s="13">
        <f t="shared" si="2"/>
        <v>0</v>
      </c>
      <c r="D607" s="13">
        <f t="shared" si="3"/>
        <v>1</v>
      </c>
      <c r="E607" s="13">
        <f t="shared" si="4"/>
        <v>0</v>
      </c>
      <c r="F607" s="13">
        <f t="shared" si="5"/>
        <v>0</v>
      </c>
      <c r="G607" s="13">
        <f t="shared" si="6"/>
        <v>1</v>
      </c>
      <c r="H607" s="13">
        <f>'Orbit Info'!C606*((C607*$O$2)+(D607*$O$3)+(E607*$O$4)+(F607*$O$5))</f>
        <v>15.628032</v>
      </c>
      <c r="I607" s="13">
        <f t="shared" si="7"/>
        <v>8.62426</v>
      </c>
      <c r="J607" s="18">
        <f t="shared" si="8"/>
        <v>0.1167295333</v>
      </c>
      <c r="K607" s="18">
        <f t="shared" si="10"/>
        <v>86.20407377</v>
      </c>
      <c r="L607" s="4"/>
      <c r="M607" s="4"/>
      <c r="N607" s="4"/>
      <c r="O607" s="4"/>
      <c r="P607" s="4"/>
      <c r="Q607" s="4"/>
      <c r="R607" s="4"/>
      <c r="S607" s="4"/>
      <c r="T607" s="4"/>
      <c r="U607" s="4"/>
      <c r="V607" s="4"/>
      <c r="W607" s="4"/>
    </row>
    <row r="608" ht="15.75" customHeight="1">
      <c r="A608" s="13">
        <f t="shared" si="9"/>
        <v>605</v>
      </c>
      <c r="B608" s="18">
        <f>A608/'Orbit Info'!$G$10</f>
        <v>6.394438095</v>
      </c>
      <c r="C608" s="13">
        <f t="shared" si="2"/>
        <v>0</v>
      </c>
      <c r="D608" s="13">
        <f t="shared" si="3"/>
        <v>1</v>
      </c>
      <c r="E608" s="13">
        <f t="shared" si="4"/>
        <v>0</v>
      </c>
      <c r="F608" s="13">
        <f t="shared" si="5"/>
        <v>0</v>
      </c>
      <c r="G608" s="13">
        <f t="shared" si="6"/>
        <v>1</v>
      </c>
      <c r="H608" s="13">
        <f>'Orbit Info'!C607*((C608*$O$2)+(D608*$O$3)+(E608*$O$4)+(F608*$O$5))</f>
        <v>15.628032</v>
      </c>
      <c r="I608" s="13">
        <f t="shared" si="7"/>
        <v>8.62426</v>
      </c>
      <c r="J608" s="18">
        <f t="shared" si="8"/>
        <v>0.1167295333</v>
      </c>
      <c r="K608" s="18">
        <f t="shared" si="10"/>
        <v>86.3208033</v>
      </c>
      <c r="L608" s="4"/>
      <c r="M608" s="4"/>
      <c r="N608" s="4"/>
      <c r="O608" s="4"/>
      <c r="P608" s="4"/>
      <c r="Q608" s="4"/>
      <c r="R608" s="4"/>
      <c r="S608" s="4"/>
      <c r="T608" s="4"/>
      <c r="U608" s="4"/>
      <c r="V608" s="4"/>
      <c r="W608" s="4"/>
    </row>
    <row r="609" ht="15.75" customHeight="1">
      <c r="A609" s="13">
        <f t="shared" si="9"/>
        <v>606</v>
      </c>
      <c r="B609" s="18">
        <f>A609/'Orbit Info'!$G$10</f>
        <v>6.405007415</v>
      </c>
      <c r="C609" s="13">
        <f t="shared" si="2"/>
        <v>0</v>
      </c>
      <c r="D609" s="13">
        <f t="shared" si="3"/>
        <v>1</v>
      </c>
      <c r="E609" s="13">
        <f t="shared" si="4"/>
        <v>0</v>
      </c>
      <c r="F609" s="13">
        <f t="shared" si="5"/>
        <v>0</v>
      </c>
      <c r="G609" s="13">
        <f t="shared" si="6"/>
        <v>1</v>
      </c>
      <c r="H609" s="13">
        <f>'Orbit Info'!C608*((C609*$O$2)+(D609*$O$3)+(E609*$O$4)+(F609*$O$5))</f>
        <v>15.628032</v>
      </c>
      <c r="I609" s="13">
        <f t="shared" si="7"/>
        <v>8.62426</v>
      </c>
      <c r="J609" s="18">
        <f t="shared" si="8"/>
        <v>0.1167295333</v>
      </c>
      <c r="K609" s="18">
        <f t="shared" si="10"/>
        <v>86.43753283</v>
      </c>
      <c r="L609" s="4"/>
      <c r="M609" s="4"/>
      <c r="N609" s="4"/>
      <c r="O609" s="4"/>
      <c r="P609" s="4"/>
      <c r="Q609" s="4"/>
      <c r="R609" s="4"/>
      <c r="S609" s="4"/>
      <c r="T609" s="4"/>
      <c r="U609" s="4"/>
      <c r="V609" s="4"/>
      <c r="W609" s="4"/>
    </row>
    <row r="610" ht="15.75" customHeight="1">
      <c r="A610" s="13">
        <f t="shared" si="9"/>
        <v>607</v>
      </c>
      <c r="B610" s="18">
        <f>A610/'Orbit Info'!$G$10</f>
        <v>6.415576734</v>
      </c>
      <c r="C610" s="13">
        <f t="shared" si="2"/>
        <v>0</v>
      </c>
      <c r="D610" s="13">
        <f t="shared" si="3"/>
        <v>1</v>
      </c>
      <c r="E610" s="13">
        <f t="shared" si="4"/>
        <v>0</v>
      </c>
      <c r="F610" s="13">
        <f t="shared" si="5"/>
        <v>0</v>
      </c>
      <c r="G610" s="13">
        <f t="shared" si="6"/>
        <v>1</v>
      </c>
      <c r="H610" s="13">
        <f>'Orbit Info'!C609*((C610*$O$2)+(D610*$O$3)+(E610*$O$4)+(F610*$O$5))</f>
        <v>15.628032</v>
      </c>
      <c r="I610" s="13">
        <f t="shared" si="7"/>
        <v>8.62426</v>
      </c>
      <c r="J610" s="18">
        <f t="shared" si="8"/>
        <v>0.1167295333</v>
      </c>
      <c r="K610" s="18">
        <f t="shared" si="10"/>
        <v>86.55426237</v>
      </c>
      <c r="L610" s="4"/>
      <c r="M610" s="4"/>
      <c r="N610" s="4"/>
      <c r="O610" s="4"/>
      <c r="P610" s="4"/>
      <c r="Q610" s="4"/>
      <c r="R610" s="4"/>
      <c r="S610" s="4"/>
      <c r="T610" s="4"/>
      <c r="U610" s="4"/>
      <c r="V610" s="4"/>
      <c r="W610" s="4"/>
    </row>
    <row r="611" ht="15.75" customHeight="1">
      <c r="A611" s="13">
        <f t="shared" si="9"/>
        <v>608</v>
      </c>
      <c r="B611" s="18">
        <f>A611/'Orbit Info'!$G$10</f>
        <v>6.426146053</v>
      </c>
      <c r="C611" s="13">
        <f t="shared" si="2"/>
        <v>0</v>
      </c>
      <c r="D611" s="13">
        <f t="shared" si="3"/>
        <v>1</v>
      </c>
      <c r="E611" s="13">
        <f t="shared" si="4"/>
        <v>0</v>
      </c>
      <c r="F611" s="13">
        <f t="shared" si="5"/>
        <v>0</v>
      </c>
      <c r="G611" s="13">
        <f t="shared" si="6"/>
        <v>1</v>
      </c>
      <c r="H611" s="13">
        <f>'Orbit Info'!C610*((C611*$O$2)+(D611*$O$3)+(E611*$O$4)+(F611*$O$5))</f>
        <v>15.628032</v>
      </c>
      <c r="I611" s="13">
        <f t="shared" si="7"/>
        <v>8.62426</v>
      </c>
      <c r="J611" s="18">
        <f t="shared" si="8"/>
        <v>0.1167295333</v>
      </c>
      <c r="K611" s="18">
        <f t="shared" si="10"/>
        <v>86.6709919</v>
      </c>
      <c r="L611" s="4"/>
      <c r="M611" s="4"/>
      <c r="N611" s="4"/>
      <c r="O611" s="4"/>
      <c r="P611" s="4"/>
      <c r="Q611" s="4"/>
      <c r="R611" s="4"/>
      <c r="S611" s="4"/>
      <c r="T611" s="4"/>
      <c r="U611" s="4"/>
      <c r="V611" s="4"/>
      <c r="W611" s="4"/>
    </row>
    <row r="612" ht="15.75" customHeight="1">
      <c r="A612" s="13">
        <f t="shared" si="9"/>
        <v>609</v>
      </c>
      <c r="B612" s="18">
        <f>A612/'Orbit Info'!$G$10</f>
        <v>6.436715372</v>
      </c>
      <c r="C612" s="13">
        <f t="shared" si="2"/>
        <v>0</v>
      </c>
      <c r="D612" s="13">
        <f t="shared" si="3"/>
        <v>1</v>
      </c>
      <c r="E612" s="13">
        <f t="shared" si="4"/>
        <v>0</v>
      </c>
      <c r="F612" s="13">
        <f t="shared" si="5"/>
        <v>0</v>
      </c>
      <c r="G612" s="13">
        <f t="shared" si="6"/>
        <v>1</v>
      </c>
      <c r="H612" s="13">
        <f>'Orbit Info'!C611*((C612*$O$2)+(D612*$O$3)+(E612*$O$4)+(F612*$O$5))</f>
        <v>15.628032</v>
      </c>
      <c r="I612" s="13">
        <f t="shared" si="7"/>
        <v>8.62426</v>
      </c>
      <c r="J612" s="18">
        <f t="shared" si="8"/>
        <v>0.1167295333</v>
      </c>
      <c r="K612" s="18">
        <f t="shared" si="10"/>
        <v>86.78772143</v>
      </c>
      <c r="L612" s="4"/>
      <c r="M612" s="4"/>
      <c r="N612" s="4"/>
      <c r="O612" s="4"/>
      <c r="P612" s="4"/>
      <c r="Q612" s="4"/>
      <c r="R612" s="4"/>
      <c r="S612" s="4"/>
      <c r="T612" s="4"/>
      <c r="U612" s="4"/>
      <c r="V612" s="4"/>
      <c r="W612" s="4"/>
    </row>
    <row r="613" ht="15.75" customHeight="1">
      <c r="A613" s="13">
        <f t="shared" si="9"/>
        <v>610</v>
      </c>
      <c r="B613" s="18">
        <f>A613/'Orbit Info'!$G$10</f>
        <v>6.447284691</v>
      </c>
      <c r="C613" s="13">
        <f t="shared" si="2"/>
        <v>0</v>
      </c>
      <c r="D613" s="13">
        <f t="shared" si="3"/>
        <v>1</v>
      </c>
      <c r="E613" s="13">
        <f t="shared" si="4"/>
        <v>0</v>
      </c>
      <c r="F613" s="13">
        <f t="shared" si="5"/>
        <v>0</v>
      </c>
      <c r="G613" s="13">
        <f t="shared" si="6"/>
        <v>1</v>
      </c>
      <c r="H613" s="13">
        <f>'Orbit Info'!C612*((C613*$O$2)+(D613*$O$3)+(E613*$O$4)+(F613*$O$5))</f>
        <v>15.628032</v>
      </c>
      <c r="I613" s="13">
        <f t="shared" si="7"/>
        <v>8.62426</v>
      </c>
      <c r="J613" s="18">
        <f t="shared" si="8"/>
        <v>0.1167295333</v>
      </c>
      <c r="K613" s="18">
        <f t="shared" si="10"/>
        <v>86.90445097</v>
      </c>
      <c r="L613" s="4"/>
      <c r="M613" s="4"/>
      <c r="N613" s="4"/>
      <c r="O613" s="4"/>
      <c r="P613" s="4"/>
      <c r="Q613" s="4"/>
      <c r="R613" s="4"/>
      <c r="S613" s="4"/>
      <c r="T613" s="4"/>
      <c r="U613" s="4"/>
      <c r="V613" s="4"/>
      <c r="W613" s="4"/>
    </row>
    <row r="614" ht="15.75" customHeight="1">
      <c r="A614" s="13">
        <f t="shared" si="9"/>
        <v>611</v>
      </c>
      <c r="B614" s="18">
        <f>A614/'Orbit Info'!$G$10</f>
        <v>6.45785401</v>
      </c>
      <c r="C614" s="13">
        <f t="shared" si="2"/>
        <v>0</v>
      </c>
      <c r="D614" s="13">
        <f t="shared" si="3"/>
        <v>1</v>
      </c>
      <c r="E614" s="13">
        <f t="shared" si="4"/>
        <v>0</v>
      </c>
      <c r="F614" s="13">
        <f t="shared" si="5"/>
        <v>0</v>
      </c>
      <c r="G614" s="13">
        <f t="shared" si="6"/>
        <v>1</v>
      </c>
      <c r="H614" s="13">
        <f>'Orbit Info'!C613*((C614*$O$2)+(D614*$O$3)+(E614*$O$4)+(F614*$O$5))</f>
        <v>15.628032</v>
      </c>
      <c r="I614" s="13">
        <f t="shared" si="7"/>
        <v>8.62426</v>
      </c>
      <c r="J614" s="18">
        <f t="shared" si="8"/>
        <v>0.1167295333</v>
      </c>
      <c r="K614" s="18">
        <f t="shared" si="10"/>
        <v>87.0211805</v>
      </c>
      <c r="L614" s="4"/>
      <c r="M614" s="4"/>
      <c r="N614" s="4"/>
      <c r="O614" s="4"/>
      <c r="P614" s="4"/>
      <c r="Q614" s="4"/>
      <c r="R614" s="4"/>
      <c r="S614" s="4"/>
      <c r="T614" s="4"/>
      <c r="U614" s="4"/>
      <c r="V614" s="4"/>
      <c r="W614" s="4"/>
    </row>
    <row r="615" ht="15.75" customHeight="1">
      <c r="A615" s="13">
        <f t="shared" si="9"/>
        <v>612</v>
      </c>
      <c r="B615" s="18">
        <f>A615/'Orbit Info'!$G$10</f>
        <v>6.46842333</v>
      </c>
      <c r="C615" s="13">
        <f t="shared" si="2"/>
        <v>0</v>
      </c>
      <c r="D615" s="13">
        <f t="shared" si="3"/>
        <v>1</v>
      </c>
      <c r="E615" s="13">
        <f t="shared" si="4"/>
        <v>0</v>
      </c>
      <c r="F615" s="13">
        <f t="shared" si="5"/>
        <v>0</v>
      </c>
      <c r="G615" s="13">
        <f t="shared" si="6"/>
        <v>1</v>
      </c>
      <c r="H615" s="13">
        <f>'Orbit Info'!C614*((C615*$O$2)+(D615*$O$3)+(E615*$O$4)+(F615*$O$5))</f>
        <v>15.628032</v>
      </c>
      <c r="I615" s="13">
        <f t="shared" si="7"/>
        <v>8.62426</v>
      </c>
      <c r="J615" s="18">
        <f t="shared" si="8"/>
        <v>0.1167295333</v>
      </c>
      <c r="K615" s="18">
        <f t="shared" si="10"/>
        <v>87.13791003</v>
      </c>
      <c r="L615" s="4"/>
      <c r="M615" s="4"/>
      <c r="N615" s="4"/>
      <c r="O615" s="4"/>
      <c r="P615" s="4"/>
      <c r="Q615" s="4"/>
      <c r="R615" s="4"/>
      <c r="S615" s="4"/>
      <c r="T615" s="4"/>
      <c r="U615" s="4"/>
      <c r="V615" s="4"/>
      <c r="W615" s="4"/>
    </row>
    <row r="616" ht="15.75" customHeight="1">
      <c r="A616" s="13">
        <f t="shared" si="9"/>
        <v>613</v>
      </c>
      <c r="B616" s="18">
        <f>A616/'Orbit Info'!$G$10</f>
        <v>6.478992649</v>
      </c>
      <c r="C616" s="13">
        <f t="shared" si="2"/>
        <v>0</v>
      </c>
      <c r="D616" s="13">
        <f t="shared" si="3"/>
        <v>1</v>
      </c>
      <c r="E616" s="13">
        <f t="shared" si="4"/>
        <v>0</v>
      </c>
      <c r="F616" s="13">
        <f t="shared" si="5"/>
        <v>0</v>
      </c>
      <c r="G616" s="13">
        <f t="shared" si="6"/>
        <v>1</v>
      </c>
      <c r="H616" s="13">
        <f>'Orbit Info'!C615*((C616*$O$2)+(D616*$O$3)+(E616*$O$4)+(F616*$O$5))</f>
        <v>15.628032</v>
      </c>
      <c r="I616" s="13">
        <f t="shared" si="7"/>
        <v>8.62426</v>
      </c>
      <c r="J616" s="18">
        <f t="shared" si="8"/>
        <v>0.1167295333</v>
      </c>
      <c r="K616" s="18">
        <f t="shared" si="10"/>
        <v>87.25463957</v>
      </c>
      <c r="L616" s="4"/>
      <c r="M616" s="4"/>
      <c r="N616" s="4"/>
      <c r="O616" s="4"/>
      <c r="P616" s="4"/>
      <c r="Q616" s="4"/>
      <c r="R616" s="4"/>
      <c r="S616" s="4"/>
      <c r="T616" s="4"/>
      <c r="U616" s="4"/>
      <c r="V616" s="4"/>
      <c r="W616" s="4"/>
    </row>
    <row r="617" ht="15.75" customHeight="1">
      <c r="A617" s="13">
        <f t="shared" si="9"/>
        <v>614</v>
      </c>
      <c r="B617" s="18">
        <f>A617/'Orbit Info'!$G$10</f>
        <v>6.489561968</v>
      </c>
      <c r="C617" s="13">
        <f t="shared" si="2"/>
        <v>0</v>
      </c>
      <c r="D617" s="13">
        <f t="shared" si="3"/>
        <v>1</v>
      </c>
      <c r="E617" s="13">
        <f t="shared" si="4"/>
        <v>0</v>
      </c>
      <c r="F617" s="13">
        <f t="shared" si="5"/>
        <v>0</v>
      </c>
      <c r="G617" s="13">
        <f t="shared" si="6"/>
        <v>1</v>
      </c>
      <c r="H617" s="13">
        <f>'Orbit Info'!C616*((C617*$O$2)+(D617*$O$3)+(E617*$O$4)+(F617*$O$5))</f>
        <v>15.628032</v>
      </c>
      <c r="I617" s="13">
        <f t="shared" si="7"/>
        <v>8.62426</v>
      </c>
      <c r="J617" s="18">
        <f t="shared" si="8"/>
        <v>0.1167295333</v>
      </c>
      <c r="K617" s="18">
        <f t="shared" si="10"/>
        <v>87.3713691</v>
      </c>
      <c r="L617" s="4"/>
      <c r="M617" s="4"/>
      <c r="N617" s="4"/>
      <c r="O617" s="4"/>
      <c r="P617" s="4"/>
      <c r="Q617" s="4"/>
      <c r="R617" s="4"/>
      <c r="S617" s="4"/>
      <c r="T617" s="4"/>
      <c r="U617" s="4"/>
      <c r="V617" s="4"/>
      <c r="W617" s="4"/>
    </row>
    <row r="618" ht="15.75" customHeight="1">
      <c r="A618" s="13">
        <f t="shared" si="9"/>
        <v>615</v>
      </c>
      <c r="B618" s="18">
        <f>A618/'Orbit Info'!$G$10</f>
        <v>6.500131287</v>
      </c>
      <c r="C618" s="13">
        <f t="shared" si="2"/>
        <v>0</v>
      </c>
      <c r="D618" s="13">
        <f t="shared" si="3"/>
        <v>1</v>
      </c>
      <c r="E618" s="13">
        <f t="shared" si="4"/>
        <v>0</v>
      </c>
      <c r="F618" s="13">
        <f t="shared" si="5"/>
        <v>0</v>
      </c>
      <c r="G618" s="13">
        <f t="shared" si="6"/>
        <v>1</v>
      </c>
      <c r="H618" s="13">
        <f>'Orbit Info'!C617*((C618*$O$2)+(D618*$O$3)+(E618*$O$4)+(F618*$O$5))</f>
        <v>15.628032</v>
      </c>
      <c r="I618" s="13">
        <f t="shared" si="7"/>
        <v>8.62426</v>
      </c>
      <c r="J618" s="18">
        <f t="shared" si="8"/>
        <v>0.1167295333</v>
      </c>
      <c r="K618" s="18">
        <f t="shared" si="10"/>
        <v>87.48809863</v>
      </c>
      <c r="L618" s="4"/>
      <c r="M618" s="4"/>
      <c r="N618" s="4"/>
      <c r="O618" s="4"/>
      <c r="P618" s="4"/>
      <c r="Q618" s="4"/>
      <c r="R618" s="4"/>
      <c r="S618" s="4"/>
      <c r="T618" s="4"/>
      <c r="U618" s="4"/>
      <c r="V618" s="4"/>
      <c r="W618" s="4"/>
    </row>
    <row r="619" ht="15.75" customHeight="1">
      <c r="A619" s="13">
        <f t="shared" si="9"/>
        <v>616</v>
      </c>
      <c r="B619" s="18">
        <f>A619/'Orbit Info'!$G$10</f>
        <v>6.510700606</v>
      </c>
      <c r="C619" s="13">
        <f t="shared" si="2"/>
        <v>0</v>
      </c>
      <c r="D619" s="13">
        <f t="shared" si="3"/>
        <v>1</v>
      </c>
      <c r="E619" s="13">
        <f t="shared" si="4"/>
        <v>0</v>
      </c>
      <c r="F619" s="13">
        <f t="shared" si="5"/>
        <v>0</v>
      </c>
      <c r="G619" s="13">
        <f t="shared" si="6"/>
        <v>1</v>
      </c>
      <c r="H619" s="13">
        <f>'Orbit Info'!C618*((C619*$O$2)+(D619*$O$3)+(E619*$O$4)+(F619*$O$5))</f>
        <v>15.628032</v>
      </c>
      <c r="I619" s="13">
        <f t="shared" si="7"/>
        <v>8.62426</v>
      </c>
      <c r="J619" s="18">
        <f t="shared" si="8"/>
        <v>0.1167295333</v>
      </c>
      <c r="K619" s="18">
        <f t="shared" si="10"/>
        <v>87.60482817</v>
      </c>
      <c r="L619" s="4"/>
      <c r="M619" s="4"/>
      <c r="N619" s="4"/>
      <c r="O619" s="4"/>
      <c r="P619" s="4"/>
      <c r="Q619" s="4"/>
      <c r="R619" s="4"/>
      <c r="S619" s="4"/>
      <c r="T619" s="4"/>
      <c r="U619" s="4"/>
      <c r="V619" s="4"/>
      <c r="W619" s="4"/>
    </row>
    <row r="620" ht="15.75" customHeight="1">
      <c r="A620" s="13">
        <f t="shared" si="9"/>
        <v>617</v>
      </c>
      <c r="B620" s="18">
        <f>A620/'Orbit Info'!$G$10</f>
        <v>6.521269925</v>
      </c>
      <c r="C620" s="13">
        <f t="shared" si="2"/>
        <v>0</v>
      </c>
      <c r="D620" s="13">
        <f t="shared" si="3"/>
        <v>1</v>
      </c>
      <c r="E620" s="13">
        <f t="shared" si="4"/>
        <v>0</v>
      </c>
      <c r="F620" s="13">
        <f t="shared" si="5"/>
        <v>0</v>
      </c>
      <c r="G620" s="13">
        <f t="shared" si="6"/>
        <v>1</v>
      </c>
      <c r="H620" s="13">
        <f>'Orbit Info'!C619*((C620*$O$2)+(D620*$O$3)+(E620*$O$4)+(F620*$O$5))</f>
        <v>15.628032</v>
      </c>
      <c r="I620" s="13">
        <f t="shared" si="7"/>
        <v>8.62426</v>
      </c>
      <c r="J620" s="18">
        <f t="shared" si="8"/>
        <v>0.1167295333</v>
      </c>
      <c r="K620" s="18">
        <f t="shared" si="10"/>
        <v>87.7215577</v>
      </c>
      <c r="L620" s="4"/>
      <c r="M620" s="4"/>
      <c r="N620" s="4"/>
      <c r="O620" s="4"/>
      <c r="P620" s="4"/>
      <c r="Q620" s="4"/>
      <c r="R620" s="4"/>
      <c r="S620" s="4"/>
      <c r="T620" s="4"/>
      <c r="U620" s="4"/>
      <c r="V620" s="4"/>
      <c r="W620" s="4"/>
    </row>
    <row r="621" ht="15.75" customHeight="1">
      <c r="A621" s="13">
        <f t="shared" si="9"/>
        <v>618</v>
      </c>
      <c r="B621" s="18">
        <f>A621/'Orbit Info'!$G$10</f>
        <v>6.531839245</v>
      </c>
      <c r="C621" s="13">
        <f t="shared" si="2"/>
        <v>0</v>
      </c>
      <c r="D621" s="13">
        <f t="shared" si="3"/>
        <v>1</v>
      </c>
      <c r="E621" s="13">
        <f t="shared" si="4"/>
        <v>0</v>
      </c>
      <c r="F621" s="13">
        <f t="shared" si="5"/>
        <v>0</v>
      </c>
      <c r="G621" s="13">
        <f t="shared" si="6"/>
        <v>1</v>
      </c>
      <c r="H621" s="13">
        <f>'Orbit Info'!C620*((C621*$O$2)+(D621*$O$3)+(E621*$O$4)+(F621*$O$5))</f>
        <v>15.628032</v>
      </c>
      <c r="I621" s="13">
        <f t="shared" si="7"/>
        <v>8.62426</v>
      </c>
      <c r="J621" s="18">
        <f t="shared" si="8"/>
        <v>0.1167295333</v>
      </c>
      <c r="K621" s="18">
        <f t="shared" si="10"/>
        <v>87.83828723</v>
      </c>
      <c r="L621" s="4"/>
      <c r="M621" s="4"/>
      <c r="N621" s="4"/>
      <c r="O621" s="4"/>
      <c r="P621" s="4"/>
      <c r="Q621" s="4"/>
      <c r="R621" s="4"/>
      <c r="S621" s="4"/>
      <c r="T621" s="4"/>
      <c r="U621" s="4"/>
      <c r="V621" s="4"/>
      <c r="W621" s="4"/>
    </row>
    <row r="622" ht="15.75" customHeight="1">
      <c r="A622" s="13">
        <f t="shared" si="9"/>
        <v>619</v>
      </c>
      <c r="B622" s="18">
        <f>A622/'Orbit Info'!$G$10</f>
        <v>6.542408564</v>
      </c>
      <c r="C622" s="13">
        <f t="shared" si="2"/>
        <v>0</v>
      </c>
      <c r="D622" s="13">
        <f t="shared" si="3"/>
        <v>1</v>
      </c>
      <c r="E622" s="13">
        <f t="shared" si="4"/>
        <v>0</v>
      </c>
      <c r="F622" s="13">
        <f t="shared" si="5"/>
        <v>0</v>
      </c>
      <c r="G622" s="13">
        <f t="shared" si="6"/>
        <v>1</v>
      </c>
      <c r="H622" s="13">
        <f>'Orbit Info'!C621*((C622*$O$2)+(D622*$O$3)+(E622*$O$4)+(F622*$O$5))</f>
        <v>15.628032</v>
      </c>
      <c r="I622" s="13">
        <f t="shared" si="7"/>
        <v>8.62426</v>
      </c>
      <c r="J622" s="18">
        <f t="shared" si="8"/>
        <v>0.1167295333</v>
      </c>
      <c r="K622" s="18">
        <f t="shared" si="10"/>
        <v>87.95501677</v>
      </c>
      <c r="L622" s="4"/>
      <c r="M622" s="4"/>
      <c r="N622" s="4"/>
      <c r="O622" s="4"/>
      <c r="P622" s="4"/>
      <c r="Q622" s="4"/>
      <c r="R622" s="4"/>
      <c r="S622" s="4"/>
      <c r="T622" s="4"/>
      <c r="U622" s="4"/>
      <c r="V622" s="4"/>
      <c r="W622" s="4"/>
    </row>
    <row r="623" ht="15.75" customHeight="1">
      <c r="A623" s="13">
        <f t="shared" si="9"/>
        <v>620</v>
      </c>
      <c r="B623" s="18">
        <f>A623/'Orbit Info'!$G$10</f>
        <v>6.552977883</v>
      </c>
      <c r="C623" s="13">
        <f t="shared" si="2"/>
        <v>0</v>
      </c>
      <c r="D623" s="13">
        <f t="shared" si="3"/>
        <v>1</v>
      </c>
      <c r="E623" s="13">
        <f t="shared" si="4"/>
        <v>0</v>
      </c>
      <c r="F623" s="13">
        <f t="shared" si="5"/>
        <v>0</v>
      </c>
      <c r="G623" s="13">
        <f t="shared" si="6"/>
        <v>1</v>
      </c>
      <c r="H623" s="13">
        <f>'Orbit Info'!C622*((C623*$O$2)+(D623*$O$3)+(E623*$O$4)+(F623*$O$5))</f>
        <v>15.628032</v>
      </c>
      <c r="I623" s="13">
        <f t="shared" si="7"/>
        <v>8.62426</v>
      </c>
      <c r="J623" s="18">
        <f t="shared" si="8"/>
        <v>0.1167295333</v>
      </c>
      <c r="K623" s="18">
        <f t="shared" si="10"/>
        <v>88.0717463</v>
      </c>
      <c r="L623" s="4"/>
      <c r="M623" s="4"/>
      <c r="N623" s="4"/>
      <c r="O623" s="4"/>
      <c r="P623" s="4"/>
      <c r="Q623" s="4"/>
      <c r="R623" s="4"/>
      <c r="S623" s="4"/>
      <c r="T623" s="4"/>
      <c r="U623" s="4"/>
      <c r="V623" s="4"/>
      <c r="W623" s="4"/>
    </row>
    <row r="624" ht="15.75" customHeight="1">
      <c r="A624" s="13">
        <f t="shared" si="9"/>
        <v>621</v>
      </c>
      <c r="B624" s="18">
        <f>A624/'Orbit Info'!$G$10</f>
        <v>6.563547202</v>
      </c>
      <c r="C624" s="13">
        <f t="shared" si="2"/>
        <v>0</v>
      </c>
      <c r="D624" s="13">
        <f t="shared" si="3"/>
        <v>1</v>
      </c>
      <c r="E624" s="13">
        <f t="shared" si="4"/>
        <v>0</v>
      </c>
      <c r="F624" s="13">
        <f t="shared" si="5"/>
        <v>0</v>
      </c>
      <c r="G624" s="13">
        <f t="shared" si="6"/>
        <v>1</v>
      </c>
      <c r="H624" s="13">
        <f>'Orbit Info'!C623*((C624*$O$2)+(D624*$O$3)+(E624*$O$4)+(F624*$O$5))</f>
        <v>15.628032</v>
      </c>
      <c r="I624" s="13">
        <f t="shared" si="7"/>
        <v>8.62426</v>
      </c>
      <c r="J624" s="18">
        <f t="shared" si="8"/>
        <v>0.1167295333</v>
      </c>
      <c r="K624" s="18">
        <f t="shared" si="10"/>
        <v>88.18847583</v>
      </c>
      <c r="L624" s="4"/>
      <c r="M624" s="4"/>
      <c r="N624" s="4"/>
      <c r="O624" s="4"/>
      <c r="P624" s="4"/>
      <c r="Q624" s="4"/>
      <c r="R624" s="4"/>
      <c r="S624" s="4"/>
      <c r="T624" s="4"/>
      <c r="U624" s="4"/>
      <c r="V624" s="4"/>
      <c r="W624" s="4"/>
    </row>
    <row r="625" ht="15.75" customHeight="1">
      <c r="A625" s="13">
        <f t="shared" si="9"/>
        <v>622</v>
      </c>
      <c r="B625" s="18">
        <f>A625/'Orbit Info'!$G$10</f>
        <v>6.574116521</v>
      </c>
      <c r="C625" s="13">
        <f t="shared" si="2"/>
        <v>0</v>
      </c>
      <c r="D625" s="13">
        <f t="shared" si="3"/>
        <v>1</v>
      </c>
      <c r="E625" s="13">
        <f t="shared" si="4"/>
        <v>0</v>
      </c>
      <c r="F625" s="13">
        <f t="shared" si="5"/>
        <v>0</v>
      </c>
      <c r="G625" s="13">
        <f t="shared" si="6"/>
        <v>1</v>
      </c>
      <c r="H625" s="13">
        <f>'Orbit Info'!C624*((C625*$O$2)+(D625*$O$3)+(E625*$O$4)+(F625*$O$5))</f>
        <v>15.628032</v>
      </c>
      <c r="I625" s="13">
        <f t="shared" si="7"/>
        <v>8.62426</v>
      </c>
      <c r="J625" s="18">
        <f t="shared" si="8"/>
        <v>0.1167295333</v>
      </c>
      <c r="K625" s="18">
        <f t="shared" si="10"/>
        <v>88.2</v>
      </c>
      <c r="L625" s="4"/>
      <c r="M625" s="4"/>
      <c r="N625" s="4"/>
      <c r="O625" s="4"/>
      <c r="P625" s="4"/>
      <c r="Q625" s="4"/>
      <c r="R625" s="4"/>
      <c r="S625" s="4"/>
      <c r="T625" s="4"/>
      <c r="U625" s="4"/>
      <c r="V625" s="4"/>
      <c r="W625" s="4"/>
    </row>
    <row r="626" ht="15.75" customHeight="1">
      <c r="A626" s="13">
        <f t="shared" si="9"/>
        <v>623</v>
      </c>
      <c r="B626" s="18">
        <f>A626/'Orbit Info'!$G$10</f>
        <v>6.58468584</v>
      </c>
      <c r="C626" s="13">
        <f t="shared" si="2"/>
        <v>0</v>
      </c>
      <c r="D626" s="13">
        <f t="shared" si="3"/>
        <v>1</v>
      </c>
      <c r="E626" s="13">
        <f t="shared" si="4"/>
        <v>0</v>
      </c>
      <c r="F626" s="13">
        <f t="shared" si="5"/>
        <v>0</v>
      </c>
      <c r="G626" s="13">
        <f t="shared" si="6"/>
        <v>1</v>
      </c>
      <c r="H626" s="13">
        <f>'Orbit Info'!C625*((C626*$O$2)+(D626*$O$3)+(E626*$O$4)+(F626*$O$5))</f>
        <v>15.628032</v>
      </c>
      <c r="I626" s="13">
        <f t="shared" si="7"/>
        <v>8.62426</v>
      </c>
      <c r="J626" s="18">
        <f t="shared" si="8"/>
        <v>0.1167295333</v>
      </c>
      <c r="K626" s="18">
        <f t="shared" si="10"/>
        <v>88.2</v>
      </c>
      <c r="L626" s="4"/>
      <c r="M626" s="4"/>
      <c r="N626" s="4"/>
      <c r="O626" s="4"/>
      <c r="P626" s="4"/>
      <c r="Q626" s="4"/>
      <c r="R626" s="4"/>
      <c r="S626" s="4"/>
      <c r="T626" s="4"/>
      <c r="U626" s="4"/>
      <c r="V626" s="4"/>
      <c r="W626" s="4"/>
    </row>
    <row r="627" ht="15.75" customHeight="1">
      <c r="A627" s="13">
        <f t="shared" si="9"/>
        <v>624</v>
      </c>
      <c r="B627" s="18">
        <f>A627/'Orbit Info'!$G$10</f>
        <v>6.59525516</v>
      </c>
      <c r="C627" s="13">
        <f t="shared" si="2"/>
        <v>0</v>
      </c>
      <c r="D627" s="13">
        <f t="shared" si="3"/>
        <v>1</v>
      </c>
      <c r="E627" s="13">
        <f t="shared" si="4"/>
        <v>0</v>
      </c>
      <c r="F627" s="13">
        <f t="shared" si="5"/>
        <v>0</v>
      </c>
      <c r="G627" s="13">
        <f t="shared" si="6"/>
        <v>1</v>
      </c>
      <c r="H627" s="13">
        <f>'Orbit Info'!C626*((C627*$O$2)+(D627*$O$3)+(E627*$O$4)+(F627*$O$5))</f>
        <v>15.628032</v>
      </c>
      <c r="I627" s="13">
        <f t="shared" si="7"/>
        <v>8.62426</v>
      </c>
      <c r="J627" s="18">
        <f t="shared" si="8"/>
        <v>0.1167295333</v>
      </c>
      <c r="K627" s="18">
        <f t="shared" si="10"/>
        <v>88.2</v>
      </c>
      <c r="L627" s="4"/>
      <c r="M627" s="4"/>
      <c r="N627" s="4"/>
      <c r="O627" s="4"/>
      <c r="P627" s="4"/>
      <c r="Q627" s="4"/>
      <c r="R627" s="4"/>
      <c r="S627" s="4"/>
      <c r="T627" s="4"/>
      <c r="U627" s="4"/>
      <c r="V627" s="4"/>
      <c r="W627" s="4"/>
    </row>
    <row r="628" ht="15.75" customHeight="1">
      <c r="A628" s="13">
        <f t="shared" si="9"/>
        <v>625</v>
      </c>
      <c r="B628" s="18">
        <f>A628/'Orbit Info'!$G$10</f>
        <v>6.605824479</v>
      </c>
      <c r="C628" s="13">
        <f t="shared" si="2"/>
        <v>0</v>
      </c>
      <c r="D628" s="13">
        <f t="shared" si="3"/>
        <v>1</v>
      </c>
      <c r="E628" s="13">
        <f t="shared" si="4"/>
        <v>0</v>
      </c>
      <c r="F628" s="13">
        <f t="shared" si="5"/>
        <v>0</v>
      </c>
      <c r="G628" s="13">
        <f t="shared" si="6"/>
        <v>1</v>
      </c>
      <c r="H628" s="13">
        <f>'Orbit Info'!C627*((C628*$O$2)+(D628*$O$3)+(E628*$O$4)+(F628*$O$5))</f>
        <v>15.628032</v>
      </c>
      <c r="I628" s="13">
        <f t="shared" si="7"/>
        <v>8.62426</v>
      </c>
      <c r="J628" s="18">
        <f t="shared" si="8"/>
        <v>0.1167295333</v>
      </c>
      <c r="K628" s="18">
        <f t="shared" si="10"/>
        <v>88.2</v>
      </c>
      <c r="L628" s="4"/>
      <c r="M628" s="4"/>
      <c r="N628" s="4"/>
      <c r="O628" s="4"/>
      <c r="P628" s="4"/>
      <c r="Q628" s="4"/>
      <c r="R628" s="4"/>
      <c r="S628" s="4"/>
      <c r="T628" s="4"/>
      <c r="U628" s="4"/>
      <c r="V628" s="4"/>
      <c r="W628" s="4"/>
    </row>
    <row r="629" ht="15.75" customHeight="1">
      <c r="A629" s="13">
        <f t="shared" si="9"/>
        <v>626</v>
      </c>
      <c r="B629" s="18">
        <f>A629/'Orbit Info'!$G$10</f>
        <v>6.616393798</v>
      </c>
      <c r="C629" s="13">
        <f t="shared" si="2"/>
        <v>0</v>
      </c>
      <c r="D629" s="13">
        <f t="shared" si="3"/>
        <v>1</v>
      </c>
      <c r="E629" s="13">
        <f t="shared" si="4"/>
        <v>0</v>
      </c>
      <c r="F629" s="13">
        <f t="shared" si="5"/>
        <v>0</v>
      </c>
      <c r="G629" s="13">
        <f t="shared" si="6"/>
        <v>1</v>
      </c>
      <c r="H629" s="13">
        <f>'Orbit Info'!C628*((C629*$O$2)+(D629*$O$3)+(E629*$O$4)+(F629*$O$5))</f>
        <v>15.628032</v>
      </c>
      <c r="I629" s="13">
        <f t="shared" si="7"/>
        <v>8.62426</v>
      </c>
      <c r="J629" s="18">
        <f t="shared" si="8"/>
        <v>0.1167295333</v>
      </c>
      <c r="K629" s="18">
        <f t="shared" si="10"/>
        <v>88.2</v>
      </c>
      <c r="L629" s="4"/>
      <c r="M629" s="4"/>
      <c r="N629" s="4"/>
      <c r="O629" s="4"/>
      <c r="P629" s="4"/>
      <c r="Q629" s="4"/>
      <c r="R629" s="4"/>
      <c r="S629" s="4"/>
      <c r="T629" s="4"/>
      <c r="U629" s="4"/>
      <c r="V629" s="4"/>
      <c r="W629" s="4"/>
    </row>
    <row r="630" ht="15.75" customHeight="1">
      <c r="A630" s="13">
        <f t="shared" si="9"/>
        <v>627</v>
      </c>
      <c r="B630" s="18">
        <f>A630/'Orbit Info'!$G$10</f>
        <v>6.626963117</v>
      </c>
      <c r="C630" s="13">
        <f t="shared" si="2"/>
        <v>0</v>
      </c>
      <c r="D630" s="13">
        <f t="shared" si="3"/>
        <v>1</v>
      </c>
      <c r="E630" s="13">
        <f t="shared" si="4"/>
        <v>0</v>
      </c>
      <c r="F630" s="13">
        <f t="shared" si="5"/>
        <v>0</v>
      </c>
      <c r="G630" s="13">
        <f t="shared" si="6"/>
        <v>1</v>
      </c>
      <c r="H630" s="13">
        <f>'Orbit Info'!C629*((C630*$O$2)+(D630*$O$3)+(E630*$O$4)+(F630*$O$5))</f>
        <v>0</v>
      </c>
      <c r="I630" s="13">
        <f t="shared" si="7"/>
        <v>8.62426</v>
      </c>
      <c r="J630" s="18">
        <f t="shared" si="8"/>
        <v>-0.1437376667</v>
      </c>
      <c r="K630" s="18">
        <f t="shared" si="10"/>
        <v>88.05626233</v>
      </c>
      <c r="L630" s="4"/>
      <c r="M630" s="4"/>
      <c r="N630" s="4"/>
      <c r="O630" s="4"/>
      <c r="P630" s="4"/>
      <c r="Q630" s="4"/>
      <c r="R630" s="4"/>
      <c r="S630" s="4"/>
      <c r="T630" s="4"/>
      <c r="U630" s="4"/>
      <c r="V630" s="4"/>
      <c r="W630" s="4"/>
    </row>
    <row r="631" ht="15.75" customHeight="1">
      <c r="A631" s="13">
        <f t="shared" si="9"/>
        <v>628</v>
      </c>
      <c r="B631" s="18">
        <f>A631/'Orbit Info'!$G$10</f>
        <v>6.637532436</v>
      </c>
      <c r="C631" s="13">
        <f t="shared" si="2"/>
        <v>0</v>
      </c>
      <c r="D631" s="13">
        <f t="shared" si="3"/>
        <v>1</v>
      </c>
      <c r="E631" s="13">
        <f t="shared" si="4"/>
        <v>0</v>
      </c>
      <c r="F631" s="13">
        <f t="shared" si="5"/>
        <v>0</v>
      </c>
      <c r="G631" s="13">
        <f t="shared" si="6"/>
        <v>1</v>
      </c>
      <c r="H631" s="13">
        <f>'Orbit Info'!C630*((C631*$O$2)+(D631*$O$3)+(E631*$O$4)+(F631*$O$5))</f>
        <v>0</v>
      </c>
      <c r="I631" s="13">
        <f t="shared" si="7"/>
        <v>8.62426</v>
      </c>
      <c r="J631" s="18">
        <f t="shared" si="8"/>
        <v>-0.1437376667</v>
      </c>
      <c r="K631" s="18">
        <f t="shared" si="10"/>
        <v>87.91252467</v>
      </c>
      <c r="L631" s="4"/>
      <c r="M631" s="4"/>
      <c r="N631" s="4"/>
      <c r="O631" s="4"/>
      <c r="P631" s="4"/>
      <c r="Q631" s="4"/>
      <c r="R631" s="4"/>
      <c r="S631" s="4"/>
      <c r="T631" s="4"/>
      <c r="U631" s="4"/>
      <c r="V631" s="4"/>
      <c r="W631" s="4"/>
    </row>
    <row r="632" ht="15.75" customHeight="1">
      <c r="A632" s="13">
        <f t="shared" si="9"/>
        <v>629</v>
      </c>
      <c r="B632" s="18">
        <f>A632/'Orbit Info'!$G$10</f>
        <v>6.648101755</v>
      </c>
      <c r="C632" s="13">
        <f t="shared" si="2"/>
        <v>0</v>
      </c>
      <c r="D632" s="13">
        <f t="shared" si="3"/>
        <v>1</v>
      </c>
      <c r="E632" s="13">
        <f t="shared" si="4"/>
        <v>0</v>
      </c>
      <c r="F632" s="13">
        <f t="shared" si="5"/>
        <v>0</v>
      </c>
      <c r="G632" s="13">
        <f t="shared" si="6"/>
        <v>1</v>
      </c>
      <c r="H632" s="13">
        <f>'Orbit Info'!C631*((C632*$O$2)+(D632*$O$3)+(E632*$O$4)+(F632*$O$5))</f>
        <v>0</v>
      </c>
      <c r="I632" s="13">
        <f t="shared" si="7"/>
        <v>8.62426</v>
      </c>
      <c r="J632" s="18">
        <f t="shared" si="8"/>
        <v>-0.1437376667</v>
      </c>
      <c r="K632" s="18">
        <f t="shared" si="10"/>
        <v>87.768787</v>
      </c>
      <c r="L632" s="4"/>
      <c r="M632" s="4"/>
      <c r="N632" s="4"/>
      <c r="O632" s="4"/>
      <c r="P632" s="4"/>
      <c r="Q632" s="4"/>
      <c r="R632" s="4"/>
      <c r="S632" s="4"/>
      <c r="T632" s="4"/>
      <c r="U632" s="4"/>
      <c r="V632" s="4"/>
      <c r="W632" s="4"/>
    </row>
    <row r="633" ht="15.75" customHeight="1">
      <c r="A633" s="13">
        <f t="shared" si="9"/>
        <v>630</v>
      </c>
      <c r="B633" s="18">
        <f>A633/'Orbit Info'!$G$10</f>
        <v>6.658671075</v>
      </c>
      <c r="C633" s="13">
        <f t="shared" si="2"/>
        <v>0</v>
      </c>
      <c r="D633" s="13">
        <f t="shared" si="3"/>
        <v>1</v>
      </c>
      <c r="E633" s="13">
        <f t="shared" si="4"/>
        <v>0</v>
      </c>
      <c r="F633" s="13">
        <f t="shared" si="5"/>
        <v>0</v>
      </c>
      <c r="G633" s="13">
        <f t="shared" si="6"/>
        <v>1</v>
      </c>
      <c r="H633" s="13">
        <f>'Orbit Info'!C632*((C633*$O$2)+(D633*$O$3)+(E633*$O$4)+(F633*$O$5))</f>
        <v>0</v>
      </c>
      <c r="I633" s="13">
        <f t="shared" si="7"/>
        <v>8.62426</v>
      </c>
      <c r="J633" s="18">
        <f t="shared" si="8"/>
        <v>-0.1437376667</v>
      </c>
      <c r="K633" s="18">
        <f t="shared" si="10"/>
        <v>87.62504933</v>
      </c>
      <c r="L633" s="4"/>
      <c r="M633" s="4"/>
      <c r="N633" s="4"/>
      <c r="O633" s="4"/>
      <c r="P633" s="4"/>
      <c r="Q633" s="4"/>
      <c r="R633" s="4"/>
      <c r="S633" s="4"/>
      <c r="T633" s="4"/>
      <c r="U633" s="4"/>
      <c r="V633" s="4"/>
      <c r="W633" s="4"/>
    </row>
    <row r="634" ht="15.75" customHeight="1">
      <c r="A634" s="13">
        <f t="shared" si="9"/>
        <v>631</v>
      </c>
      <c r="B634" s="18">
        <f>A634/'Orbit Info'!$G$10</f>
        <v>6.669240394</v>
      </c>
      <c r="C634" s="13">
        <f t="shared" si="2"/>
        <v>0</v>
      </c>
      <c r="D634" s="13">
        <f t="shared" si="3"/>
        <v>1</v>
      </c>
      <c r="E634" s="13">
        <f t="shared" si="4"/>
        <v>0</v>
      </c>
      <c r="F634" s="13">
        <f t="shared" si="5"/>
        <v>0</v>
      </c>
      <c r="G634" s="13">
        <f t="shared" si="6"/>
        <v>1</v>
      </c>
      <c r="H634" s="13">
        <f>'Orbit Info'!C633*((C634*$O$2)+(D634*$O$3)+(E634*$O$4)+(F634*$O$5))</f>
        <v>0</v>
      </c>
      <c r="I634" s="13">
        <f t="shared" si="7"/>
        <v>8.62426</v>
      </c>
      <c r="J634" s="18">
        <f t="shared" si="8"/>
        <v>-0.1437376667</v>
      </c>
      <c r="K634" s="18">
        <f t="shared" si="10"/>
        <v>87.48131167</v>
      </c>
      <c r="L634" s="4"/>
      <c r="M634" s="4"/>
      <c r="N634" s="4"/>
      <c r="O634" s="4"/>
      <c r="P634" s="4"/>
      <c r="Q634" s="4"/>
      <c r="R634" s="4"/>
      <c r="S634" s="4"/>
      <c r="T634" s="4"/>
      <c r="U634" s="4"/>
      <c r="V634" s="4"/>
      <c r="W634" s="4"/>
    </row>
    <row r="635" ht="15.75" customHeight="1">
      <c r="A635" s="13">
        <f t="shared" si="9"/>
        <v>632</v>
      </c>
      <c r="B635" s="18">
        <f>A635/'Orbit Info'!$G$10</f>
        <v>6.679809713</v>
      </c>
      <c r="C635" s="13">
        <f t="shared" si="2"/>
        <v>0</v>
      </c>
      <c r="D635" s="13">
        <f t="shared" si="3"/>
        <v>1</v>
      </c>
      <c r="E635" s="13">
        <f t="shared" si="4"/>
        <v>0</v>
      </c>
      <c r="F635" s="13">
        <f t="shared" si="5"/>
        <v>0</v>
      </c>
      <c r="G635" s="13">
        <f t="shared" si="6"/>
        <v>1</v>
      </c>
      <c r="H635" s="13">
        <f>'Orbit Info'!C634*((C635*$O$2)+(D635*$O$3)+(E635*$O$4)+(F635*$O$5))</f>
        <v>0</v>
      </c>
      <c r="I635" s="13">
        <f t="shared" si="7"/>
        <v>8.62426</v>
      </c>
      <c r="J635" s="18">
        <f t="shared" si="8"/>
        <v>-0.1437376667</v>
      </c>
      <c r="K635" s="18">
        <f t="shared" si="10"/>
        <v>87.337574</v>
      </c>
      <c r="L635" s="4"/>
      <c r="M635" s="4"/>
      <c r="N635" s="4"/>
      <c r="O635" s="4"/>
      <c r="P635" s="4"/>
      <c r="Q635" s="4"/>
      <c r="R635" s="4"/>
      <c r="S635" s="4"/>
      <c r="T635" s="4"/>
      <c r="U635" s="4"/>
      <c r="V635" s="4"/>
      <c r="W635" s="4"/>
    </row>
    <row r="636" ht="15.75" customHeight="1">
      <c r="A636" s="13">
        <f t="shared" si="9"/>
        <v>633</v>
      </c>
      <c r="B636" s="18">
        <f>A636/'Orbit Info'!$G$10</f>
        <v>6.690379032</v>
      </c>
      <c r="C636" s="13">
        <f t="shared" si="2"/>
        <v>0</v>
      </c>
      <c r="D636" s="13">
        <f t="shared" si="3"/>
        <v>1</v>
      </c>
      <c r="E636" s="13">
        <f t="shared" si="4"/>
        <v>0</v>
      </c>
      <c r="F636" s="13">
        <f t="shared" si="5"/>
        <v>0</v>
      </c>
      <c r="G636" s="13">
        <f t="shared" si="6"/>
        <v>1</v>
      </c>
      <c r="H636" s="13">
        <f>'Orbit Info'!C635*((C636*$O$2)+(D636*$O$3)+(E636*$O$4)+(F636*$O$5))</f>
        <v>0</v>
      </c>
      <c r="I636" s="13">
        <f t="shared" si="7"/>
        <v>8.62426</v>
      </c>
      <c r="J636" s="18">
        <f t="shared" si="8"/>
        <v>-0.1437376667</v>
      </c>
      <c r="K636" s="18">
        <f t="shared" si="10"/>
        <v>87.19383633</v>
      </c>
      <c r="L636" s="4"/>
      <c r="M636" s="4"/>
      <c r="N636" s="4"/>
      <c r="O636" s="4"/>
      <c r="P636" s="4"/>
      <c r="Q636" s="4"/>
      <c r="R636" s="4"/>
      <c r="S636" s="4"/>
      <c r="T636" s="4"/>
      <c r="U636" s="4"/>
      <c r="V636" s="4"/>
      <c r="W636" s="4"/>
    </row>
    <row r="637" ht="15.75" customHeight="1">
      <c r="A637" s="13">
        <f t="shared" si="9"/>
        <v>634</v>
      </c>
      <c r="B637" s="18">
        <f>A637/'Orbit Info'!$G$10</f>
        <v>6.700948351</v>
      </c>
      <c r="C637" s="13">
        <f t="shared" si="2"/>
        <v>0</v>
      </c>
      <c r="D637" s="13">
        <f t="shared" si="3"/>
        <v>1</v>
      </c>
      <c r="E637" s="13">
        <f t="shared" si="4"/>
        <v>0</v>
      </c>
      <c r="F637" s="13">
        <f t="shared" si="5"/>
        <v>0</v>
      </c>
      <c r="G637" s="13">
        <f t="shared" si="6"/>
        <v>1</v>
      </c>
      <c r="H637" s="13">
        <f>'Orbit Info'!C636*((C637*$O$2)+(D637*$O$3)+(E637*$O$4)+(F637*$O$5))</f>
        <v>0</v>
      </c>
      <c r="I637" s="13">
        <f t="shared" si="7"/>
        <v>8.62426</v>
      </c>
      <c r="J637" s="18">
        <f t="shared" si="8"/>
        <v>-0.1437376667</v>
      </c>
      <c r="K637" s="18">
        <f t="shared" si="10"/>
        <v>87.05009867</v>
      </c>
      <c r="L637" s="4"/>
      <c r="M637" s="4"/>
      <c r="N637" s="4"/>
      <c r="O637" s="4"/>
      <c r="P637" s="4"/>
      <c r="Q637" s="4"/>
      <c r="R637" s="4"/>
      <c r="S637" s="4"/>
      <c r="T637" s="4"/>
      <c r="U637" s="4"/>
      <c r="V637" s="4"/>
      <c r="W637" s="4"/>
    </row>
    <row r="638" ht="15.75" customHeight="1">
      <c r="A638" s="13">
        <f t="shared" si="9"/>
        <v>635</v>
      </c>
      <c r="B638" s="18">
        <f>A638/'Orbit Info'!$G$10</f>
        <v>6.71151767</v>
      </c>
      <c r="C638" s="13">
        <f t="shared" si="2"/>
        <v>0</v>
      </c>
      <c r="D638" s="13">
        <f t="shared" si="3"/>
        <v>1</v>
      </c>
      <c r="E638" s="13">
        <f t="shared" si="4"/>
        <v>0</v>
      </c>
      <c r="F638" s="13">
        <f t="shared" si="5"/>
        <v>0</v>
      </c>
      <c r="G638" s="13">
        <f t="shared" si="6"/>
        <v>1</v>
      </c>
      <c r="H638" s="13">
        <f>'Orbit Info'!C637*((C638*$O$2)+(D638*$O$3)+(E638*$O$4)+(F638*$O$5))</f>
        <v>0</v>
      </c>
      <c r="I638" s="13">
        <f t="shared" si="7"/>
        <v>8.62426</v>
      </c>
      <c r="J638" s="18">
        <f t="shared" si="8"/>
        <v>-0.1437376667</v>
      </c>
      <c r="K638" s="18">
        <f t="shared" si="10"/>
        <v>86.906361</v>
      </c>
      <c r="L638" s="4"/>
      <c r="M638" s="4"/>
      <c r="N638" s="4"/>
      <c r="O638" s="4"/>
      <c r="P638" s="4"/>
      <c r="Q638" s="4"/>
      <c r="R638" s="4"/>
      <c r="S638" s="4"/>
      <c r="T638" s="4"/>
      <c r="U638" s="4"/>
      <c r="V638" s="4"/>
      <c r="W638" s="4"/>
    </row>
    <row r="639" ht="15.75" customHeight="1">
      <c r="A639" s="13">
        <f t="shared" si="9"/>
        <v>636</v>
      </c>
      <c r="B639" s="18">
        <f>A639/'Orbit Info'!$G$10</f>
        <v>6.72208699</v>
      </c>
      <c r="C639" s="13">
        <f t="shared" si="2"/>
        <v>0</v>
      </c>
      <c r="D639" s="13">
        <f t="shared" si="3"/>
        <v>1</v>
      </c>
      <c r="E639" s="13">
        <f t="shared" si="4"/>
        <v>0</v>
      </c>
      <c r="F639" s="13">
        <f t="shared" si="5"/>
        <v>0</v>
      </c>
      <c r="G639" s="13">
        <f t="shared" si="6"/>
        <v>1</v>
      </c>
      <c r="H639" s="13">
        <f>'Orbit Info'!C638*((C639*$O$2)+(D639*$O$3)+(E639*$O$4)+(F639*$O$5))</f>
        <v>0</v>
      </c>
      <c r="I639" s="13">
        <f t="shared" si="7"/>
        <v>8.62426</v>
      </c>
      <c r="J639" s="18">
        <f t="shared" si="8"/>
        <v>-0.1437376667</v>
      </c>
      <c r="K639" s="18">
        <f t="shared" si="10"/>
        <v>86.76262333</v>
      </c>
      <c r="L639" s="4"/>
      <c r="M639" s="4"/>
      <c r="N639" s="4"/>
      <c r="O639" s="4"/>
      <c r="P639" s="4"/>
      <c r="Q639" s="4"/>
      <c r="R639" s="4"/>
      <c r="S639" s="4"/>
      <c r="T639" s="4"/>
      <c r="U639" s="4"/>
      <c r="V639" s="4"/>
      <c r="W639" s="4"/>
    </row>
    <row r="640" ht="15.75" customHeight="1">
      <c r="A640" s="13">
        <f t="shared" si="9"/>
        <v>637</v>
      </c>
      <c r="B640" s="18">
        <f>A640/'Orbit Info'!$G$10</f>
        <v>6.732656309</v>
      </c>
      <c r="C640" s="13">
        <f t="shared" si="2"/>
        <v>0</v>
      </c>
      <c r="D640" s="13">
        <f t="shared" si="3"/>
        <v>1</v>
      </c>
      <c r="E640" s="13">
        <f t="shared" si="4"/>
        <v>0</v>
      </c>
      <c r="F640" s="13">
        <f t="shared" si="5"/>
        <v>0</v>
      </c>
      <c r="G640" s="13">
        <f t="shared" si="6"/>
        <v>1</v>
      </c>
      <c r="H640" s="13">
        <f>'Orbit Info'!C639*((C640*$O$2)+(D640*$O$3)+(E640*$O$4)+(F640*$O$5))</f>
        <v>0</v>
      </c>
      <c r="I640" s="13">
        <f t="shared" si="7"/>
        <v>8.62426</v>
      </c>
      <c r="J640" s="18">
        <f t="shared" si="8"/>
        <v>-0.1437376667</v>
      </c>
      <c r="K640" s="18">
        <f t="shared" si="10"/>
        <v>86.61888567</v>
      </c>
      <c r="L640" s="4"/>
      <c r="M640" s="4"/>
      <c r="N640" s="4"/>
      <c r="O640" s="4"/>
      <c r="P640" s="4"/>
      <c r="Q640" s="4"/>
      <c r="R640" s="4"/>
      <c r="S640" s="4"/>
      <c r="T640" s="4"/>
      <c r="U640" s="4"/>
      <c r="V640" s="4"/>
      <c r="W640" s="4"/>
    </row>
    <row r="641" ht="15.75" customHeight="1">
      <c r="A641" s="13">
        <f t="shared" si="9"/>
        <v>638</v>
      </c>
      <c r="B641" s="18">
        <f>A641/'Orbit Info'!$G$10</f>
        <v>6.743225628</v>
      </c>
      <c r="C641" s="13">
        <f t="shared" si="2"/>
        <v>0</v>
      </c>
      <c r="D641" s="13">
        <f t="shared" si="3"/>
        <v>1</v>
      </c>
      <c r="E641" s="13">
        <f t="shared" si="4"/>
        <v>0</v>
      </c>
      <c r="F641" s="13">
        <f t="shared" si="5"/>
        <v>0</v>
      </c>
      <c r="G641" s="13">
        <f t="shared" si="6"/>
        <v>1</v>
      </c>
      <c r="H641" s="13">
        <f>'Orbit Info'!C640*((C641*$O$2)+(D641*$O$3)+(E641*$O$4)+(F641*$O$5))</f>
        <v>0</v>
      </c>
      <c r="I641" s="13">
        <f t="shared" si="7"/>
        <v>8.62426</v>
      </c>
      <c r="J641" s="18">
        <f t="shared" si="8"/>
        <v>-0.1437376667</v>
      </c>
      <c r="K641" s="18">
        <f t="shared" si="10"/>
        <v>86.475148</v>
      </c>
      <c r="L641" s="4"/>
      <c r="M641" s="4"/>
      <c r="N641" s="4"/>
      <c r="O641" s="4"/>
      <c r="P641" s="4"/>
      <c r="Q641" s="4"/>
      <c r="R641" s="4"/>
      <c r="S641" s="4"/>
      <c r="T641" s="4"/>
      <c r="U641" s="4"/>
      <c r="V641" s="4"/>
      <c r="W641" s="4"/>
    </row>
    <row r="642" ht="15.75" customHeight="1">
      <c r="A642" s="13">
        <f t="shared" si="9"/>
        <v>639</v>
      </c>
      <c r="B642" s="18">
        <f>A642/'Orbit Info'!$G$10</f>
        <v>6.753794947</v>
      </c>
      <c r="C642" s="13">
        <f t="shared" si="2"/>
        <v>0</v>
      </c>
      <c r="D642" s="13">
        <f t="shared" si="3"/>
        <v>1</v>
      </c>
      <c r="E642" s="13">
        <f t="shared" si="4"/>
        <v>0</v>
      </c>
      <c r="F642" s="13">
        <f t="shared" si="5"/>
        <v>0</v>
      </c>
      <c r="G642" s="13">
        <f t="shared" si="6"/>
        <v>1</v>
      </c>
      <c r="H642" s="13">
        <f>'Orbit Info'!C641*((C642*$O$2)+(D642*$O$3)+(E642*$O$4)+(F642*$O$5))</f>
        <v>0</v>
      </c>
      <c r="I642" s="13">
        <f t="shared" si="7"/>
        <v>8.62426</v>
      </c>
      <c r="J642" s="18">
        <f t="shared" si="8"/>
        <v>-0.1437376667</v>
      </c>
      <c r="K642" s="18">
        <f t="shared" si="10"/>
        <v>86.33141033</v>
      </c>
      <c r="L642" s="4"/>
      <c r="M642" s="4"/>
      <c r="N642" s="4"/>
      <c r="O642" s="4"/>
      <c r="P642" s="4"/>
      <c r="Q642" s="4"/>
      <c r="R642" s="4"/>
      <c r="S642" s="4"/>
      <c r="T642" s="4"/>
      <c r="U642" s="4"/>
      <c r="V642" s="4"/>
      <c r="W642" s="4"/>
    </row>
    <row r="643" ht="15.75" customHeight="1">
      <c r="A643" s="13">
        <f t="shared" si="9"/>
        <v>640</v>
      </c>
      <c r="B643" s="18">
        <f>A643/'Orbit Info'!$G$10</f>
        <v>6.764364266</v>
      </c>
      <c r="C643" s="13">
        <f t="shared" si="2"/>
        <v>0</v>
      </c>
      <c r="D643" s="13">
        <f t="shared" si="3"/>
        <v>1</v>
      </c>
      <c r="E643" s="13">
        <f t="shared" si="4"/>
        <v>0</v>
      </c>
      <c r="F643" s="13">
        <f t="shared" si="5"/>
        <v>0</v>
      </c>
      <c r="G643" s="13">
        <f t="shared" si="6"/>
        <v>1</v>
      </c>
      <c r="H643" s="13">
        <f>'Orbit Info'!C642*((C643*$O$2)+(D643*$O$3)+(E643*$O$4)+(F643*$O$5))</f>
        <v>0</v>
      </c>
      <c r="I643" s="13">
        <f t="shared" si="7"/>
        <v>8.62426</v>
      </c>
      <c r="J643" s="18">
        <f t="shared" si="8"/>
        <v>-0.1437376667</v>
      </c>
      <c r="K643" s="18">
        <f t="shared" si="10"/>
        <v>86.18767267</v>
      </c>
      <c r="L643" s="4"/>
      <c r="M643" s="4"/>
      <c r="N643" s="4"/>
      <c r="O643" s="4"/>
      <c r="P643" s="4"/>
      <c r="Q643" s="4"/>
      <c r="R643" s="4"/>
      <c r="S643" s="4"/>
      <c r="T643" s="4"/>
      <c r="U643" s="4"/>
      <c r="V643" s="4"/>
      <c r="W643" s="4"/>
    </row>
    <row r="644" ht="15.75" customHeight="1">
      <c r="A644" s="13">
        <f t="shared" si="9"/>
        <v>641</v>
      </c>
      <c r="B644" s="18">
        <f>A644/'Orbit Info'!$G$10</f>
        <v>6.774933585</v>
      </c>
      <c r="C644" s="13">
        <f t="shared" si="2"/>
        <v>0</v>
      </c>
      <c r="D644" s="13">
        <f t="shared" si="3"/>
        <v>1</v>
      </c>
      <c r="E644" s="13">
        <f t="shared" si="4"/>
        <v>0</v>
      </c>
      <c r="F644" s="13">
        <f t="shared" si="5"/>
        <v>0</v>
      </c>
      <c r="G644" s="13">
        <f t="shared" si="6"/>
        <v>1</v>
      </c>
      <c r="H644" s="13">
        <f>'Orbit Info'!C643*((C644*$O$2)+(D644*$O$3)+(E644*$O$4)+(F644*$O$5))</f>
        <v>0</v>
      </c>
      <c r="I644" s="13">
        <f t="shared" si="7"/>
        <v>8.62426</v>
      </c>
      <c r="J644" s="18">
        <f t="shared" si="8"/>
        <v>-0.1437376667</v>
      </c>
      <c r="K644" s="18">
        <f t="shared" si="10"/>
        <v>86.043935</v>
      </c>
      <c r="L644" s="4"/>
      <c r="M644" s="4"/>
      <c r="N644" s="4"/>
      <c r="O644" s="4"/>
      <c r="P644" s="4"/>
      <c r="Q644" s="4"/>
      <c r="R644" s="4"/>
      <c r="S644" s="4"/>
      <c r="T644" s="4"/>
      <c r="U644" s="4"/>
      <c r="V644" s="4"/>
      <c r="W644" s="4"/>
    </row>
    <row r="645" ht="15.75" customHeight="1">
      <c r="A645" s="13">
        <f t="shared" si="9"/>
        <v>642</v>
      </c>
      <c r="B645" s="18">
        <f>A645/'Orbit Info'!$G$10</f>
        <v>6.785502904</v>
      </c>
      <c r="C645" s="13">
        <f t="shared" si="2"/>
        <v>0</v>
      </c>
      <c r="D645" s="13">
        <f t="shared" si="3"/>
        <v>1</v>
      </c>
      <c r="E645" s="13">
        <f t="shared" si="4"/>
        <v>0</v>
      </c>
      <c r="F645" s="13">
        <f t="shared" si="5"/>
        <v>0</v>
      </c>
      <c r="G645" s="13">
        <f t="shared" si="6"/>
        <v>1</v>
      </c>
      <c r="H645" s="13">
        <f>'Orbit Info'!C644*((C645*$O$2)+(D645*$O$3)+(E645*$O$4)+(F645*$O$5))</f>
        <v>0</v>
      </c>
      <c r="I645" s="13">
        <f t="shared" si="7"/>
        <v>8.62426</v>
      </c>
      <c r="J645" s="18">
        <f t="shared" si="8"/>
        <v>-0.1437376667</v>
      </c>
      <c r="K645" s="18">
        <f t="shared" si="10"/>
        <v>85.90019733</v>
      </c>
      <c r="L645" s="4"/>
      <c r="M645" s="4"/>
      <c r="N645" s="4"/>
      <c r="O645" s="4"/>
      <c r="P645" s="4"/>
      <c r="Q645" s="4"/>
      <c r="R645" s="4"/>
      <c r="S645" s="4"/>
      <c r="T645" s="4"/>
      <c r="U645" s="4"/>
      <c r="V645" s="4"/>
      <c r="W645" s="4"/>
    </row>
    <row r="646" ht="15.75" customHeight="1">
      <c r="A646" s="13">
        <f t="shared" si="9"/>
        <v>643</v>
      </c>
      <c r="B646" s="18">
        <f>A646/'Orbit Info'!$G$10</f>
        <v>6.796072224</v>
      </c>
      <c r="C646" s="13">
        <f t="shared" si="2"/>
        <v>0</v>
      </c>
      <c r="D646" s="13">
        <f t="shared" si="3"/>
        <v>1</v>
      </c>
      <c r="E646" s="13">
        <f t="shared" si="4"/>
        <v>0</v>
      </c>
      <c r="F646" s="13">
        <f t="shared" si="5"/>
        <v>0</v>
      </c>
      <c r="G646" s="13">
        <f t="shared" si="6"/>
        <v>1</v>
      </c>
      <c r="H646" s="13">
        <f>'Orbit Info'!C645*((C646*$O$2)+(D646*$O$3)+(E646*$O$4)+(F646*$O$5))</f>
        <v>0</v>
      </c>
      <c r="I646" s="13">
        <f t="shared" si="7"/>
        <v>8.62426</v>
      </c>
      <c r="J646" s="18">
        <f t="shared" si="8"/>
        <v>-0.1437376667</v>
      </c>
      <c r="K646" s="18">
        <f t="shared" si="10"/>
        <v>85.75645967</v>
      </c>
      <c r="L646" s="4"/>
      <c r="M646" s="4"/>
      <c r="N646" s="4"/>
      <c r="O646" s="4"/>
      <c r="P646" s="4"/>
      <c r="Q646" s="4"/>
      <c r="R646" s="4"/>
      <c r="S646" s="4"/>
      <c r="T646" s="4"/>
      <c r="U646" s="4"/>
      <c r="V646" s="4"/>
      <c r="W646" s="4"/>
    </row>
    <row r="647" ht="15.75" customHeight="1">
      <c r="A647" s="13">
        <f t="shared" si="9"/>
        <v>644</v>
      </c>
      <c r="B647" s="18">
        <f>A647/'Orbit Info'!$G$10</f>
        <v>6.806641543</v>
      </c>
      <c r="C647" s="13">
        <f t="shared" si="2"/>
        <v>0</v>
      </c>
      <c r="D647" s="13">
        <f t="shared" si="3"/>
        <v>1</v>
      </c>
      <c r="E647" s="13">
        <f t="shared" si="4"/>
        <v>0</v>
      </c>
      <c r="F647" s="13">
        <f t="shared" si="5"/>
        <v>0</v>
      </c>
      <c r="G647" s="13">
        <f t="shared" si="6"/>
        <v>1</v>
      </c>
      <c r="H647" s="13">
        <f>'Orbit Info'!C646*((C647*$O$2)+(D647*$O$3)+(E647*$O$4)+(F647*$O$5))</f>
        <v>0</v>
      </c>
      <c r="I647" s="13">
        <f t="shared" si="7"/>
        <v>8.62426</v>
      </c>
      <c r="J647" s="18">
        <f t="shared" si="8"/>
        <v>-0.1437376667</v>
      </c>
      <c r="K647" s="18">
        <f t="shared" si="10"/>
        <v>85.612722</v>
      </c>
      <c r="L647" s="4"/>
      <c r="M647" s="4"/>
      <c r="N647" s="4"/>
      <c r="O647" s="4"/>
      <c r="P647" s="4"/>
      <c r="Q647" s="4"/>
      <c r="R647" s="4"/>
      <c r="S647" s="4"/>
      <c r="T647" s="4"/>
      <c r="U647" s="4"/>
      <c r="V647" s="4"/>
      <c r="W647" s="4"/>
    </row>
    <row r="648" ht="15.75" customHeight="1">
      <c r="A648" s="13">
        <f t="shared" si="9"/>
        <v>645</v>
      </c>
      <c r="B648" s="18">
        <f>A648/'Orbit Info'!$G$10</f>
        <v>6.817210862</v>
      </c>
      <c r="C648" s="13">
        <f t="shared" si="2"/>
        <v>0</v>
      </c>
      <c r="D648" s="13">
        <f t="shared" si="3"/>
        <v>1</v>
      </c>
      <c r="E648" s="13">
        <f t="shared" si="4"/>
        <v>0</v>
      </c>
      <c r="F648" s="13">
        <f t="shared" si="5"/>
        <v>0</v>
      </c>
      <c r="G648" s="13">
        <f t="shared" si="6"/>
        <v>1</v>
      </c>
      <c r="H648" s="13">
        <f>'Orbit Info'!C647*((C648*$O$2)+(D648*$O$3)+(E648*$O$4)+(F648*$O$5))</f>
        <v>0</v>
      </c>
      <c r="I648" s="13">
        <f t="shared" si="7"/>
        <v>8.62426</v>
      </c>
      <c r="J648" s="18">
        <f t="shared" si="8"/>
        <v>-0.1437376667</v>
      </c>
      <c r="K648" s="18">
        <f t="shared" si="10"/>
        <v>85.46898433</v>
      </c>
      <c r="L648" s="4"/>
      <c r="M648" s="4"/>
      <c r="N648" s="4"/>
      <c r="O648" s="4"/>
      <c r="P648" s="4"/>
      <c r="Q648" s="4"/>
      <c r="R648" s="4"/>
      <c r="S648" s="4"/>
      <c r="T648" s="4"/>
      <c r="U648" s="4"/>
      <c r="V648" s="4"/>
      <c r="W648" s="4"/>
    </row>
    <row r="649" ht="15.75" customHeight="1">
      <c r="A649" s="13">
        <f t="shared" si="9"/>
        <v>646</v>
      </c>
      <c r="B649" s="18">
        <f>A649/'Orbit Info'!$G$10</f>
        <v>6.827780181</v>
      </c>
      <c r="C649" s="13">
        <f t="shared" si="2"/>
        <v>0</v>
      </c>
      <c r="D649" s="13">
        <f t="shared" si="3"/>
        <v>1</v>
      </c>
      <c r="E649" s="13">
        <f t="shared" si="4"/>
        <v>0</v>
      </c>
      <c r="F649" s="13">
        <f t="shared" si="5"/>
        <v>0</v>
      </c>
      <c r="G649" s="13">
        <f t="shared" si="6"/>
        <v>1</v>
      </c>
      <c r="H649" s="13">
        <f>'Orbit Info'!C648*((C649*$O$2)+(D649*$O$3)+(E649*$O$4)+(F649*$O$5))</f>
        <v>0</v>
      </c>
      <c r="I649" s="13">
        <f t="shared" si="7"/>
        <v>8.62426</v>
      </c>
      <c r="J649" s="18">
        <f t="shared" si="8"/>
        <v>-0.1437376667</v>
      </c>
      <c r="K649" s="18">
        <f t="shared" si="10"/>
        <v>85.32524667</v>
      </c>
      <c r="L649" s="4"/>
      <c r="M649" s="4"/>
      <c r="N649" s="4"/>
      <c r="O649" s="4"/>
      <c r="P649" s="4"/>
      <c r="Q649" s="4"/>
      <c r="R649" s="4"/>
      <c r="S649" s="4"/>
      <c r="T649" s="4"/>
      <c r="U649" s="4"/>
      <c r="V649" s="4"/>
      <c r="W649" s="4"/>
    </row>
    <row r="650" ht="15.75" customHeight="1">
      <c r="A650" s="13">
        <f t="shared" si="9"/>
        <v>647</v>
      </c>
      <c r="B650" s="18">
        <f>A650/'Orbit Info'!$G$10</f>
        <v>6.8383495</v>
      </c>
      <c r="C650" s="13">
        <f t="shared" si="2"/>
        <v>0</v>
      </c>
      <c r="D650" s="13">
        <f t="shared" si="3"/>
        <v>1</v>
      </c>
      <c r="E650" s="13">
        <f t="shared" si="4"/>
        <v>0</v>
      </c>
      <c r="F650" s="13">
        <f t="shared" si="5"/>
        <v>0</v>
      </c>
      <c r="G650" s="13">
        <f t="shared" si="6"/>
        <v>1</v>
      </c>
      <c r="H650" s="13">
        <f>'Orbit Info'!C649*((C650*$O$2)+(D650*$O$3)+(E650*$O$4)+(F650*$O$5))</f>
        <v>0</v>
      </c>
      <c r="I650" s="13">
        <f t="shared" si="7"/>
        <v>8.62426</v>
      </c>
      <c r="J650" s="18">
        <f t="shared" si="8"/>
        <v>-0.1437376667</v>
      </c>
      <c r="K650" s="18">
        <f t="shared" si="10"/>
        <v>85.181509</v>
      </c>
      <c r="L650" s="4"/>
      <c r="M650" s="4"/>
      <c r="N650" s="4"/>
      <c r="O650" s="4"/>
      <c r="P650" s="4"/>
      <c r="Q650" s="4"/>
      <c r="R650" s="4"/>
      <c r="S650" s="4"/>
      <c r="T650" s="4"/>
      <c r="U650" s="4"/>
      <c r="V650" s="4"/>
      <c r="W650" s="4"/>
    </row>
    <row r="651" ht="15.75" customHeight="1">
      <c r="A651" s="13">
        <f t="shared" si="9"/>
        <v>648</v>
      </c>
      <c r="B651" s="18">
        <f>A651/'Orbit Info'!$G$10</f>
        <v>6.848918819</v>
      </c>
      <c r="C651" s="13">
        <f t="shared" si="2"/>
        <v>0</v>
      </c>
      <c r="D651" s="13">
        <f t="shared" si="3"/>
        <v>1</v>
      </c>
      <c r="E651" s="13">
        <f t="shared" si="4"/>
        <v>0</v>
      </c>
      <c r="F651" s="13">
        <f t="shared" si="5"/>
        <v>0</v>
      </c>
      <c r="G651" s="13">
        <f t="shared" si="6"/>
        <v>1</v>
      </c>
      <c r="H651" s="13">
        <f>'Orbit Info'!C650*((C651*$O$2)+(D651*$O$3)+(E651*$O$4)+(F651*$O$5))</f>
        <v>0</v>
      </c>
      <c r="I651" s="13">
        <f t="shared" si="7"/>
        <v>8.62426</v>
      </c>
      <c r="J651" s="18">
        <f t="shared" si="8"/>
        <v>-0.1437376667</v>
      </c>
      <c r="K651" s="18">
        <f t="shared" si="10"/>
        <v>85.03777133</v>
      </c>
      <c r="L651" s="4"/>
      <c r="M651" s="4"/>
      <c r="N651" s="4"/>
      <c r="O651" s="4"/>
      <c r="P651" s="4"/>
      <c r="Q651" s="4"/>
      <c r="R651" s="4"/>
      <c r="S651" s="4"/>
      <c r="T651" s="4"/>
      <c r="U651" s="4"/>
      <c r="V651" s="4"/>
      <c r="W651" s="4"/>
    </row>
    <row r="652" ht="15.75" customHeight="1">
      <c r="A652" s="13">
        <f t="shared" si="9"/>
        <v>649</v>
      </c>
      <c r="B652" s="18">
        <f>A652/'Orbit Info'!$G$10</f>
        <v>6.859488139</v>
      </c>
      <c r="C652" s="13">
        <f t="shared" si="2"/>
        <v>0</v>
      </c>
      <c r="D652" s="13">
        <f t="shared" si="3"/>
        <v>1</v>
      </c>
      <c r="E652" s="13">
        <f t="shared" si="4"/>
        <v>0</v>
      </c>
      <c r="F652" s="13">
        <f t="shared" si="5"/>
        <v>0</v>
      </c>
      <c r="G652" s="13">
        <f t="shared" si="6"/>
        <v>1</v>
      </c>
      <c r="H652" s="13">
        <f>'Orbit Info'!C651*((C652*$O$2)+(D652*$O$3)+(E652*$O$4)+(F652*$O$5))</f>
        <v>0</v>
      </c>
      <c r="I652" s="13">
        <f t="shared" si="7"/>
        <v>8.62426</v>
      </c>
      <c r="J652" s="18">
        <f t="shared" si="8"/>
        <v>-0.1437376667</v>
      </c>
      <c r="K652" s="18">
        <f t="shared" si="10"/>
        <v>84.89403367</v>
      </c>
      <c r="L652" s="4"/>
      <c r="M652" s="4"/>
      <c r="N652" s="4"/>
      <c r="O652" s="4"/>
      <c r="P652" s="4"/>
      <c r="Q652" s="4"/>
      <c r="R652" s="4"/>
      <c r="S652" s="4"/>
      <c r="T652" s="4"/>
      <c r="U652" s="4"/>
      <c r="V652" s="4"/>
      <c r="W652" s="4"/>
    </row>
    <row r="653" ht="15.75" customHeight="1">
      <c r="A653" s="13">
        <f t="shared" si="9"/>
        <v>650</v>
      </c>
      <c r="B653" s="18">
        <f>A653/'Orbit Info'!$G$10</f>
        <v>6.870057458</v>
      </c>
      <c r="C653" s="13">
        <f t="shared" si="2"/>
        <v>0</v>
      </c>
      <c r="D653" s="13">
        <f t="shared" si="3"/>
        <v>1</v>
      </c>
      <c r="E653" s="13">
        <f t="shared" si="4"/>
        <v>0</v>
      </c>
      <c r="F653" s="13">
        <f t="shared" si="5"/>
        <v>0</v>
      </c>
      <c r="G653" s="13">
        <f t="shared" si="6"/>
        <v>1</v>
      </c>
      <c r="H653" s="13">
        <f>'Orbit Info'!C652*((C653*$O$2)+(D653*$O$3)+(E653*$O$4)+(F653*$O$5))</f>
        <v>0</v>
      </c>
      <c r="I653" s="13">
        <f t="shared" si="7"/>
        <v>8.62426</v>
      </c>
      <c r="J653" s="18">
        <f t="shared" si="8"/>
        <v>-0.1437376667</v>
      </c>
      <c r="K653" s="18">
        <f t="shared" si="10"/>
        <v>84.750296</v>
      </c>
      <c r="L653" s="4"/>
      <c r="M653" s="4"/>
      <c r="N653" s="4"/>
      <c r="O653" s="4"/>
      <c r="P653" s="4"/>
      <c r="Q653" s="4"/>
      <c r="R653" s="4"/>
      <c r="S653" s="4"/>
      <c r="T653" s="4"/>
      <c r="U653" s="4"/>
      <c r="V653" s="4"/>
      <c r="W653" s="4"/>
    </row>
    <row r="654" ht="15.75" customHeight="1">
      <c r="A654" s="13">
        <f t="shared" si="9"/>
        <v>651</v>
      </c>
      <c r="B654" s="18">
        <f>A654/'Orbit Info'!$G$10</f>
        <v>6.880626777</v>
      </c>
      <c r="C654" s="13">
        <f t="shared" si="2"/>
        <v>0</v>
      </c>
      <c r="D654" s="13">
        <f t="shared" si="3"/>
        <v>1</v>
      </c>
      <c r="E654" s="13">
        <f t="shared" si="4"/>
        <v>0</v>
      </c>
      <c r="F654" s="13">
        <f t="shared" si="5"/>
        <v>0</v>
      </c>
      <c r="G654" s="13">
        <f t="shared" si="6"/>
        <v>1</v>
      </c>
      <c r="H654" s="13">
        <f>'Orbit Info'!C653*((C654*$O$2)+(D654*$O$3)+(E654*$O$4)+(F654*$O$5))</f>
        <v>0</v>
      </c>
      <c r="I654" s="13">
        <f t="shared" si="7"/>
        <v>8.62426</v>
      </c>
      <c r="J654" s="18">
        <f t="shared" si="8"/>
        <v>-0.1437376667</v>
      </c>
      <c r="K654" s="18">
        <f t="shared" si="10"/>
        <v>84.60655833</v>
      </c>
      <c r="L654" s="4"/>
      <c r="M654" s="4"/>
      <c r="N654" s="4"/>
      <c r="O654" s="4"/>
      <c r="P654" s="4"/>
      <c r="Q654" s="4"/>
      <c r="R654" s="4"/>
      <c r="S654" s="4"/>
      <c r="T654" s="4"/>
      <c r="U654" s="4"/>
      <c r="V654" s="4"/>
      <c r="W654" s="4"/>
    </row>
    <row r="655" ht="15.75" customHeight="1">
      <c r="A655" s="13">
        <f t="shared" si="9"/>
        <v>652</v>
      </c>
      <c r="B655" s="18">
        <f>A655/'Orbit Info'!$G$10</f>
        <v>6.891196096</v>
      </c>
      <c r="C655" s="13">
        <f t="shared" si="2"/>
        <v>0</v>
      </c>
      <c r="D655" s="13">
        <f t="shared" si="3"/>
        <v>1</v>
      </c>
      <c r="E655" s="13">
        <f t="shared" si="4"/>
        <v>0</v>
      </c>
      <c r="F655" s="13">
        <f t="shared" si="5"/>
        <v>0</v>
      </c>
      <c r="G655" s="13">
        <f t="shared" si="6"/>
        <v>1</v>
      </c>
      <c r="H655" s="13">
        <f>'Orbit Info'!C654*((C655*$O$2)+(D655*$O$3)+(E655*$O$4)+(F655*$O$5))</f>
        <v>0</v>
      </c>
      <c r="I655" s="13">
        <f t="shared" si="7"/>
        <v>8.62426</v>
      </c>
      <c r="J655" s="18">
        <f t="shared" si="8"/>
        <v>-0.1437376667</v>
      </c>
      <c r="K655" s="18">
        <f t="shared" si="10"/>
        <v>84.46282067</v>
      </c>
      <c r="L655" s="4"/>
      <c r="M655" s="4"/>
      <c r="N655" s="4"/>
      <c r="O655" s="4"/>
      <c r="P655" s="4"/>
      <c r="Q655" s="4"/>
      <c r="R655" s="4"/>
      <c r="S655" s="4"/>
      <c r="T655" s="4"/>
      <c r="U655" s="4"/>
      <c r="V655" s="4"/>
      <c r="W655" s="4"/>
    </row>
    <row r="656" ht="15.75" customHeight="1">
      <c r="A656" s="13">
        <f t="shared" si="9"/>
        <v>653</v>
      </c>
      <c r="B656" s="18">
        <f>A656/'Orbit Info'!$G$10</f>
        <v>6.901765415</v>
      </c>
      <c r="C656" s="13">
        <f t="shared" si="2"/>
        <v>0</v>
      </c>
      <c r="D656" s="13">
        <f t="shared" si="3"/>
        <v>1</v>
      </c>
      <c r="E656" s="13">
        <f t="shared" si="4"/>
        <v>0</v>
      </c>
      <c r="F656" s="13">
        <f t="shared" si="5"/>
        <v>0</v>
      </c>
      <c r="G656" s="13">
        <f t="shared" si="6"/>
        <v>1</v>
      </c>
      <c r="H656" s="13">
        <f>'Orbit Info'!C655*((C656*$O$2)+(D656*$O$3)+(E656*$O$4)+(F656*$O$5))</f>
        <v>0</v>
      </c>
      <c r="I656" s="13">
        <f t="shared" si="7"/>
        <v>8.62426</v>
      </c>
      <c r="J656" s="18">
        <f t="shared" si="8"/>
        <v>-0.1437376667</v>
      </c>
      <c r="K656" s="18">
        <f t="shared" si="10"/>
        <v>84.319083</v>
      </c>
      <c r="L656" s="4"/>
      <c r="M656" s="4"/>
      <c r="N656" s="4"/>
      <c r="O656" s="4"/>
      <c r="P656" s="4"/>
      <c r="Q656" s="4"/>
      <c r="R656" s="4"/>
      <c r="S656" s="4"/>
      <c r="T656" s="4"/>
      <c r="U656" s="4"/>
      <c r="V656" s="4"/>
      <c r="W656" s="4"/>
    </row>
    <row r="657" ht="15.75" customHeight="1">
      <c r="A657" s="13">
        <f t="shared" si="9"/>
        <v>654</v>
      </c>
      <c r="B657" s="18">
        <f>A657/'Orbit Info'!$G$10</f>
        <v>6.912334734</v>
      </c>
      <c r="C657" s="13">
        <f t="shared" si="2"/>
        <v>0</v>
      </c>
      <c r="D657" s="13">
        <f t="shared" si="3"/>
        <v>1</v>
      </c>
      <c r="E657" s="13">
        <f t="shared" si="4"/>
        <v>0</v>
      </c>
      <c r="F657" s="13">
        <f t="shared" si="5"/>
        <v>0</v>
      </c>
      <c r="G657" s="13">
        <f t="shared" si="6"/>
        <v>1</v>
      </c>
      <c r="H657" s="13">
        <f>'Orbit Info'!C656*((C657*$O$2)+(D657*$O$3)+(E657*$O$4)+(F657*$O$5))</f>
        <v>0</v>
      </c>
      <c r="I657" s="13">
        <f t="shared" si="7"/>
        <v>8.62426</v>
      </c>
      <c r="J657" s="18">
        <f t="shared" si="8"/>
        <v>-0.1437376667</v>
      </c>
      <c r="K657" s="18">
        <f t="shared" si="10"/>
        <v>84.17534533</v>
      </c>
      <c r="L657" s="4"/>
      <c r="M657" s="4"/>
      <c r="N657" s="4"/>
      <c r="O657" s="4"/>
      <c r="P657" s="4"/>
      <c r="Q657" s="4"/>
      <c r="R657" s="4"/>
      <c r="S657" s="4"/>
      <c r="T657" s="4"/>
      <c r="U657" s="4"/>
      <c r="V657" s="4"/>
      <c r="W657" s="4"/>
    </row>
    <row r="658" ht="15.75" customHeight="1">
      <c r="A658" s="13">
        <f t="shared" si="9"/>
        <v>655</v>
      </c>
      <c r="B658" s="18">
        <f>A658/'Orbit Info'!$G$10</f>
        <v>6.922904054</v>
      </c>
      <c r="C658" s="13">
        <f t="shared" si="2"/>
        <v>0</v>
      </c>
      <c r="D658" s="13">
        <f t="shared" si="3"/>
        <v>1</v>
      </c>
      <c r="E658" s="13">
        <f t="shared" si="4"/>
        <v>0</v>
      </c>
      <c r="F658" s="13">
        <f t="shared" si="5"/>
        <v>0</v>
      </c>
      <c r="G658" s="13">
        <f t="shared" si="6"/>
        <v>1</v>
      </c>
      <c r="H658" s="13">
        <f>'Orbit Info'!C657*((C658*$O$2)+(D658*$O$3)+(E658*$O$4)+(F658*$O$5))</f>
        <v>0</v>
      </c>
      <c r="I658" s="13">
        <f t="shared" si="7"/>
        <v>8.62426</v>
      </c>
      <c r="J658" s="18">
        <f t="shared" si="8"/>
        <v>-0.1437376667</v>
      </c>
      <c r="K658" s="18">
        <f t="shared" si="10"/>
        <v>84.03160767</v>
      </c>
      <c r="L658" s="4"/>
      <c r="M658" s="4"/>
      <c r="N658" s="4"/>
      <c r="O658" s="4"/>
      <c r="P658" s="4"/>
      <c r="Q658" s="4"/>
      <c r="R658" s="4"/>
      <c r="S658" s="4"/>
      <c r="T658" s="4"/>
      <c r="U658" s="4"/>
      <c r="V658" s="4"/>
      <c r="W658" s="4"/>
    </row>
    <row r="659" ht="15.75" customHeight="1">
      <c r="A659" s="13">
        <f t="shared" si="9"/>
        <v>656</v>
      </c>
      <c r="B659" s="18">
        <f>A659/'Orbit Info'!$G$10</f>
        <v>6.933473373</v>
      </c>
      <c r="C659" s="13">
        <f t="shared" si="2"/>
        <v>0</v>
      </c>
      <c r="D659" s="13">
        <f t="shared" si="3"/>
        <v>1</v>
      </c>
      <c r="E659" s="13">
        <f t="shared" si="4"/>
        <v>0</v>
      </c>
      <c r="F659" s="13">
        <f t="shared" si="5"/>
        <v>0</v>
      </c>
      <c r="G659" s="13">
        <f t="shared" si="6"/>
        <v>1</v>
      </c>
      <c r="H659" s="13">
        <f>'Orbit Info'!C658*((C659*$O$2)+(D659*$O$3)+(E659*$O$4)+(F659*$O$5))</f>
        <v>0</v>
      </c>
      <c r="I659" s="13">
        <f t="shared" si="7"/>
        <v>8.62426</v>
      </c>
      <c r="J659" s="18">
        <f t="shared" si="8"/>
        <v>-0.1437376667</v>
      </c>
      <c r="K659" s="18">
        <f t="shared" si="10"/>
        <v>83.88787</v>
      </c>
      <c r="L659" s="4"/>
      <c r="M659" s="4"/>
      <c r="N659" s="4"/>
      <c r="O659" s="4"/>
      <c r="P659" s="4"/>
      <c r="Q659" s="4"/>
      <c r="R659" s="4"/>
      <c r="S659" s="4"/>
      <c r="T659" s="4"/>
      <c r="U659" s="4"/>
      <c r="V659" s="4"/>
      <c r="W659" s="4"/>
    </row>
    <row r="660" ht="15.75" customHeight="1">
      <c r="A660" s="13">
        <f t="shared" si="9"/>
        <v>657</v>
      </c>
      <c r="B660" s="18">
        <f>A660/'Orbit Info'!$G$10</f>
        <v>6.944042692</v>
      </c>
      <c r="C660" s="13">
        <f t="shared" si="2"/>
        <v>0</v>
      </c>
      <c r="D660" s="13">
        <f t="shared" si="3"/>
        <v>1</v>
      </c>
      <c r="E660" s="13">
        <f t="shared" si="4"/>
        <v>0</v>
      </c>
      <c r="F660" s="13">
        <f t="shared" si="5"/>
        <v>0</v>
      </c>
      <c r="G660" s="13">
        <f t="shared" si="6"/>
        <v>1</v>
      </c>
      <c r="H660" s="13">
        <f>'Orbit Info'!C659*((C660*$O$2)+(D660*$O$3)+(E660*$O$4)+(F660*$O$5))</f>
        <v>0</v>
      </c>
      <c r="I660" s="13">
        <f t="shared" si="7"/>
        <v>8.62426</v>
      </c>
      <c r="J660" s="18">
        <f t="shared" si="8"/>
        <v>-0.1437376667</v>
      </c>
      <c r="K660" s="18">
        <f t="shared" si="10"/>
        <v>83.74413233</v>
      </c>
      <c r="L660" s="4"/>
      <c r="M660" s="4"/>
      <c r="N660" s="4"/>
      <c r="O660" s="4"/>
      <c r="P660" s="4"/>
      <c r="Q660" s="4"/>
      <c r="R660" s="4"/>
      <c r="S660" s="4"/>
      <c r="T660" s="4"/>
      <c r="U660" s="4"/>
      <c r="V660" s="4"/>
      <c r="W660" s="4"/>
    </row>
    <row r="661" ht="15.75" customHeight="1">
      <c r="A661" s="13">
        <f t="shared" si="9"/>
        <v>658</v>
      </c>
      <c r="B661" s="18">
        <f>A661/'Orbit Info'!$G$10</f>
        <v>6.954612011</v>
      </c>
      <c r="C661" s="13">
        <f t="shared" si="2"/>
        <v>0</v>
      </c>
      <c r="D661" s="13">
        <f t="shared" si="3"/>
        <v>1</v>
      </c>
      <c r="E661" s="13">
        <f t="shared" si="4"/>
        <v>0</v>
      </c>
      <c r="F661" s="13">
        <f t="shared" si="5"/>
        <v>0</v>
      </c>
      <c r="G661" s="13">
        <f t="shared" si="6"/>
        <v>1</v>
      </c>
      <c r="H661" s="13">
        <f>'Orbit Info'!C660*((C661*$O$2)+(D661*$O$3)+(E661*$O$4)+(F661*$O$5))</f>
        <v>0</v>
      </c>
      <c r="I661" s="13">
        <f t="shared" si="7"/>
        <v>8.62426</v>
      </c>
      <c r="J661" s="18">
        <f t="shared" si="8"/>
        <v>-0.1437376667</v>
      </c>
      <c r="K661" s="18">
        <f t="shared" si="10"/>
        <v>83.60039467</v>
      </c>
      <c r="L661" s="4"/>
      <c r="M661" s="4"/>
      <c r="N661" s="4"/>
      <c r="O661" s="4"/>
      <c r="P661" s="4"/>
      <c r="Q661" s="4"/>
      <c r="R661" s="4"/>
      <c r="S661" s="4"/>
      <c r="T661" s="4"/>
      <c r="U661" s="4"/>
      <c r="V661" s="4"/>
      <c r="W661" s="4"/>
    </row>
    <row r="662" ht="15.75" customHeight="1">
      <c r="A662" s="13">
        <f t="shared" si="9"/>
        <v>659</v>
      </c>
      <c r="B662" s="18">
        <f>A662/'Orbit Info'!$G$10</f>
        <v>6.96518133</v>
      </c>
      <c r="C662" s="13">
        <f t="shared" si="2"/>
        <v>0</v>
      </c>
      <c r="D662" s="13">
        <f t="shared" si="3"/>
        <v>1</v>
      </c>
      <c r="E662" s="13">
        <f t="shared" si="4"/>
        <v>0</v>
      </c>
      <c r="F662" s="13">
        <f t="shared" si="5"/>
        <v>0</v>
      </c>
      <c r="G662" s="13">
        <f t="shared" si="6"/>
        <v>1</v>
      </c>
      <c r="H662" s="13">
        <f>'Orbit Info'!C661*((C662*$O$2)+(D662*$O$3)+(E662*$O$4)+(F662*$O$5))</f>
        <v>0</v>
      </c>
      <c r="I662" s="13">
        <f t="shared" si="7"/>
        <v>8.62426</v>
      </c>
      <c r="J662" s="18">
        <f t="shared" si="8"/>
        <v>-0.1437376667</v>
      </c>
      <c r="K662" s="18">
        <f t="shared" si="10"/>
        <v>83.456657</v>
      </c>
      <c r="L662" s="4"/>
      <c r="M662" s="4"/>
      <c r="N662" s="4"/>
      <c r="O662" s="4"/>
      <c r="P662" s="4"/>
      <c r="Q662" s="4"/>
      <c r="R662" s="4"/>
      <c r="S662" s="4"/>
      <c r="T662" s="4"/>
      <c r="U662" s="4"/>
      <c r="V662" s="4"/>
      <c r="W662" s="4"/>
    </row>
    <row r="663" ht="15.75" customHeight="1">
      <c r="A663" s="13">
        <f t="shared" si="9"/>
        <v>660</v>
      </c>
      <c r="B663" s="18">
        <f>A663/'Orbit Info'!$G$10</f>
        <v>6.975750649</v>
      </c>
      <c r="C663" s="13">
        <f t="shared" si="2"/>
        <v>0</v>
      </c>
      <c r="D663" s="13">
        <f t="shared" si="3"/>
        <v>1</v>
      </c>
      <c r="E663" s="13">
        <f t="shared" si="4"/>
        <v>0</v>
      </c>
      <c r="F663" s="13">
        <f t="shared" si="5"/>
        <v>0</v>
      </c>
      <c r="G663" s="13">
        <f t="shared" si="6"/>
        <v>1</v>
      </c>
      <c r="H663" s="13">
        <f>'Orbit Info'!C662*((C663*$O$2)+(D663*$O$3)+(E663*$O$4)+(F663*$O$5))</f>
        <v>0</v>
      </c>
      <c r="I663" s="13">
        <f t="shared" si="7"/>
        <v>8.62426</v>
      </c>
      <c r="J663" s="18">
        <f t="shared" si="8"/>
        <v>-0.1437376667</v>
      </c>
      <c r="K663" s="18">
        <f t="shared" si="10"/>
        <v>83.31291933</v>
      </c>
      <c r="L663" s="4"/>
      <c r="M663" s="4"/>
      <c r="N663" s="4"/>
      <c r="O663" s="4"/>
      <c r="P663" s="4"/>
      <c r="Q663" s="4"/>
      <c r="R663" s="4"/>
      <c r="S663" s="4"/>
      <c r="T663" s="4"/>
      <c r="U663" s="4"/>
      <c r="V663" s="4"/>
      <c r="W663" s="4"/>
    </row>
    <row r="664" ht="15.75" customHeight="1">
      <c r="A664" s="13">
        <f t="shared" si="9"/>
        <v>661</v>
      </c>
      <c r="B664" s="18">
        <f>A664/'Orbit Info'!$G$10</f>
        <v>6.986319969</v>
      </c>
      <c r="C664" s="13">
        <f t="shared" si="2"/>
        <v>0</v>
      </c>
      <c r="D664" s="13">
        <f t="shared" si="3"/>
        <v>1</v>
      </c>
      <c r="E664" s="13">
        <f t="shared" si="4"/>
        <v>0</v>
      </c>
      <c r="F664" s="13">
        <f t="shared" si="5"/>
        <v>0</v>
      </c>
      <c r="G664" s="13">
        <f t="shared" si="6"/>
        <v>1</v>
      </c>
      <c r="H664" s="13">
        <f>'Orbit Info'!C663*((C664*$O$2)+(D664*$O$3)+(E664*$O$4)+(F664*$O$5))</f>
        <v>0</v>
      </c>
      <c r="I664" s="13">
        <f t="shared" si="7"/>
        <v>8.62426</v>
      </c>
      <c r="J664" s="18">
        <f t="shared" si="8"/>
        <v>-0.1437376667</v>
      </c>
      <c r="K664" s="18">
        <f t="shared" si="10"/>
        <v>83.16918167</v>
      </c>
      <c r="L664" s="4"/>
      <c r="M664" s="4"/>
      <c r="N664" s="4"/>
      <c r="O664" s="4"/>
      <c r="P664" s="4"/>
      <c r="Q664" s="4"/>
      <c r="R664" s="4"/>
      <c r="S664" s="4"/>
      <c r="T664" s="4"/>
      <c r="U664" s="4"/>
      <c r="V664" s="4"/>
      <c r="W664" s="4"/>
    </row>
    <row r="665" ht="15.75" customHeight="1">
      <c r="A665" s="13">
        <f t="shared" si="9"/>
        <v>662</v>
      </c>
      <c r="B665" s="18">
        <f>A665/'Orbit Info'!$G$10</f>
        <v>6.996889288</v>
      </c>
      <c r="C665" s="13">
        <f t="shared" si="2"/>
        <v>0</v>
      </c>
      <c r="D665" s="13">
        <f t="shared" si="3"/>
        <v>1</v>
      </c>
      <c r="E665" s="13">
        <f t="shared" si="4"/>
        <v>0</v>
      </c>
      <c r="F665" s="13">
        <f t="shared" si="5"/>
        <v>0</v>
      </c>
      <c r="G665" s="13">
        <f t="shared" si="6"/>
        <v>1</v>
      </c>
      <c r="H665" s="13">
        <f>'Orbit Info'!C664*((C665*$O$2)+(D665*$O$3)+(E665*$O$4)+(F665*$O$5))</f>
        <v>0</v>
      </c>
      <c r="I665" s="13">
        <f t="shared" si="7"/>
        <v>8.62426</v>
      </c>
      <c r="J665" s="18">
        <f t="shared" si="8"/>
        <v>-0.1437376667</v>
      </c>
      <c r="K665" s="18">
        <f t="shared" si="10"/>
        <v>83.025444</v>
      </c>
      <c r="L665" s="4"/>
      <c r="M665" s="4"/>
      <c r="N665" s="4"/>
      <c r="O665" s="4"/>
      <c r="P665" s="4"/>
      <c r="Q665" s="4"/>
      <c r="R665" s="4"/>
      <c r="S665" s="4"/>
      <c r="T665" s="4"/>
      <c r="U665" s="4"/>
      <c r="V665" s="4"/>
      <c r="W665" s="4"/>
    </row>
    <row r="666" ht="15.75" customHeight="1">
      <c r="A666" s="13">
        <f t="shared" si="9"/>
        <v>663</v>
      </c>
      <c r="B666" s="18">
        <f>A666/'Orbit Info'!$G$10</f>
        <v>7.007458607</v>
      </c>
      <c r="C666" s="13">
        <f t="shared" si="2"/>
        <v>0</v>
      </c>
      <c r="D666" s="13">
        <f t="shared" si="3"/>
        <v>1</v>
      </c>
      <c r="E666" s="13">
        <f t="shared" si="4"/>
        <v>0</v>
      </c>
      <c r="F666" s="13">
        <f t="shared" si="5"/>
        <v>0</v>
      </c>
      <c r="G666" s="13">
        <f t="shared" si="6"/>
        <v>1</v>
      </c>
      <c r="H666" s="13">
        <f>'Orbit Info'!C665*((C666*$O$2)+(D666*$O$3)+(E666*$O$4)+(F666*$O$5))</f>
        <v>15.628032</v>
      </c>
      <c r="I666" s="13">
        <f t="shared" si="7"/>
        <v>8.62426</v>
      </c>
      <c r="J666" s="18">
        <f t="shared" si="8"/>
        <v>0.1167295333</v>
      </c>
      <c r="K666" s="18">
        <f t="shared" si="10"/>
        <v>83.14217353</v>
      </c>
      <c r="L666" s="4"/>
      <c r="M666" s="4"/>
      <c r="N666" s="4"/>
      <c r="O666" s="4"/>
      <c r="P666" s="4"/>
      <c r="Q666" s="4"/>
      <c r="R666" s="4"/>
      <c r="S666" s="4"/>
      <c r="T666" s="4"/>
      <c r="U666" s="4"/>
      <c r="V666" s="4"/>
      <c r="W666" s="4"/>
    </row>
    <row r="667" ht="15.75" customHeight="1">
      <c r="A667" s="13">
        <f t="shared" si="9"/>
        <v>664</v>
      </c>
      <c r="B667" s="18">
        <f>A667/'Orbit Info'!$G$10</f>
        <v>7.018027926</v>
      </c>
      <c r="C667" s="13">
        <f t="shared" si="2"/>
        <v>0</v>
      </c>
      <c r="D667" s="13">
        <f t="shared" si="3"/>
        <v>1</v>
      </c>
      <c r="E667" s="13">
        <f t="shared" si="4"/>
        <v>0</v>
      </c>
      <c r="F667" s="13">
        <f t="shared" si="5"/>
        <v>0</v>
      </c>
      <c r="G667" s="13">
        <f t="shared" si="6"/>
        <v>1</v>
      </c>
      <c r="H667" s="13">
        <f>'Orbit Info'!C666*((C667*$O$2)+(D667*$O$3)+(E667*$O$4)+(F667*$O$5))</f>
        <v>15.628032</v>
      </c>
      <c r="I667" s="13">
        <f t="shared" si="7"/>
        <v>8.62426</v>
      </c>
      <c r="J667" s="18">
        <f t="shared" si="8"/>
        <v>0.1167295333</v>
      </c>
      <c r="K667" s="18">
        <f t="shared" si="10"/>
        <v>83.25890307</v>
      </c>
      <c r="L667" s="4"/>
      <c r="M667" s="4"/>
      <c r="N667" s="4"/>
      <c r="O667" s="4"/>
      <c r="P667" s="4"/>
      <c r="Q667" s="4"/>
      <c r="R667" s="4"/>
      <c r="S667" s="4"/>
      <c r="T667" s="4"/>
      <c r="U667" s="4"/>
      <c r="V667" s="4"/>
      <c r="W667" s="4"/>
    </row>
    <row r="668" ht="15.75" customHeight="1">
      <c r="A668" s="13">
        <f t="shared" si="9"/>
        <v>665</v>
      </c>
      <c r="B668" s="18">
        <f>A668/'Orbit Info'!$G$10</f>
        <v>7.028597245</v>
      </c>
      <c r="C668" s="13">
        <f t="shared" si="2"/>
        <v>0</v>
      </c>
      <c r="D668" s="13">
        <f t="shared" si="3"/>
        <v>1</v>
      </c>
      <c r="E668" s="13">
        <f t="shared" si="4"/>
        <v>0</v>
      </c>
      <c r="F668" s="13">
        <f t="shared" si="5"/>
        <v>0</v>
      </c>
      <c r="G668" s="13">
        <f t="shared" si="6"/>
        <v>1</v>
      </c>
      <c r="H668" s="13">
        <f>'Orbit Info'!C667*((C668*$O$2)+(D668*$O$3)+(E668*$O$4)+(F668*$O$5))</f>
        <v>15.628032</v>
      </c>
      <c r="I668" s="13">
        <f t="shared" si="7"/>
        <v>8.62426</v>
      </c>
      <c r="J668" s="18">
        <f t="shared" si="8"/>
        <v>0.1167295333</v>
      </c>
      <c r="K668" s="18">
        <f t="shared" si="10"/>
        <v>83.3756326</v>
      </c>
      <c r="L668" s="4"/>
      <c r="M668" s="4"/>
      <c r="N668" s="4"/>
      <c r="O668" s="4"/>
      <c r="P668" s="4"/>
      <c r="Q668" s="4"/>
      <c r="R668" s="4"/>
      <c r="S668" s="4"/>
      <c r="T668" s="4"/>
      <c r="U668" s="4"/>
      <c r="V668" s="4"/>
      <c r="W668" s="4"/>
    </row>
    <row r="669" ht="15.75" customHeight="1">
      <c r="A669" s="13">
        <f t="shared" si="9"/>
        <v>666</v>
      </c>
      <c r="B669" s="18">
        <f>A669/'Orbit Info'!$G$10</f>
        <v>7.039166564</v>
      </c>
      <c r="C669" s="13">
        <f t="shared" si="2"/>
        <v>0</v>
      </c>
      <c r="D669" s="13">
        <f t="shared" si="3"/>
        <v>1</v>
      </c>
      <c r="E669" s="13">
        <f t="shared" si="4"/>
        <v>0</v>
      </c>
      <c r="F669" s="13">
        <f t="shared" si="5"/>
        <v>0</v>
      </c>
      <c r="G669" s="13">
        <f t="shared" si="6"/>
        <v>1</v>
      </c>
      <c r="H669" s="13">
        <f>'Orbit Info'!C668*((C669*$O$2)+(D669*$O$3)+(E669*$O$4)+(F669*$O$5))</f>
        <v>15.628032</v>
      </c>
      <c r="I669" s="13">
        <f t="shared" si="7"/>
        <v>8.62426</v>
      </c>
      <c r="J669" s="18">
        <f t="shared" si="8"/>
        <v>0.1167295333</v>
      </c>
      <c r="K669" s="18">
        <f t="shared" si="10"/>
        <v>83.49236213</v>
      </c>
      <c r="L669" s="4"/>
      <c r="M669" s="4"/>
      <c r="N669" s="4"/>
      <c r="O669" s="4"/>
      <c r="P669" s="4"/>
      <c r="Q669" s="4"/>
      <c r="R669" s="4"/>
      <c r="S669" s="4"/>
      <c r="T669" s="4"/>
      <c r="U669" s="4"/>
      <c r="V669" s="4"/>
      <c r="W669" s="4"/>
    </row>
    <row r="670" ht="15.75" customHeight="1">
      <c r="A670" s="13">
        <f t="shared" si="9"/>
        <v>667</v>
      </c>
      <c r="B670" s="18">
        <f>A670/'Orbit Info'!$G$10</f>
        <v>7.049735884</v>
      </c>
      <c r="C670" s="13">
        <f t="shared" si="2"/>
        <v>0</v>
      </c>
      <c r="D670" s="13">
        <f t="shared" si="3"/>
        <v>1</v>
      </c>
      <c r="E670" s="13">
        <f t="shared" si="4"/>
        <v>0</v>
      </c>
      <c r="F670" s="13">
        <f t="shared" si="5"/>
        <v>0</v>
      </c>
      <c r="G670" s="13">
        <f t="shared" si="6"/>
        <v>1</v>
      </c>
      <c r="H670" s="13">
        <f>'Orbit Info'!C669*((C670*$O$2)+(D670*$O$3)+(E670*$O$4)+(F670*$O$5))</f>
        <v>15.628032</v>
      </c>
      <c r="I670" s="13">
        <f t="shared" si="7"/>
        <v>8.62426</v>
      </c>
      <c r="J670" s="18">
        <f t="shared" si="8"/>
        <v>0.1167295333</v>
      </c>
      <c r="K670" s="18">
        <f t="shared" si="10"/>
        <v>83.60909167</v>
      </c>
      <c r="L670" s="4"/>
      <c r="M670" s="4"/>
      <c r="N670" s="4"/>
      <c r="O670" s="4"/>
      <c r="P670" s="4"/>
      <c r="Q670" s="4"/>
      <c r="R670" s="4"/>
      <c r="S670" s="4"/>
      <c r="T670" s="4"/>
      <c r="U670" s="4"/>
      <c r="V670" s="4"/>
      <c r="W670" s="4"/>
    </row>
    <row r="671" ht="15.75" customHeight="1">
      <c r="A671" s="13">
        <f t="shared" si="9"/>
        <v>668</v>
      </c>
      <c r="B671" s="18">
        <f>A671/'Orbit Info'!$G$10</f>
        <v>7.060305203</v>
      </c>
      <c r="C671" s="13">
        <f t="shared" si="2"/>
        <v>0</v>
      </c>
      <c r="D671" s="13">
        <f t="shared" si="3"/>
        <v>1</v>
      </c>
      <c r="E671" s="13">
        <f t="shared" si="4"/>
        <v>0</v>
      </c>
      <c r="F671" s="13">
        <f t="shared" si="5"/>
        <v>0</v>
      </c>
      <c r="G671" s="13">
        <f t="shared" si="6"/>
        <v>1</v>
      </c>
      <c r="H671" s="13">
        <f>'Orbit Info'!C670*((C671*$O$2)+(D671*$O$3)+(E671*$O$4)+(F671*$O$5))</f>
        <v>15.628032</v>
      </c>
      <c r="I671" s="13">
        <f t="shared" si="7"/>
        <v>8.62426</v>
      </c>
      <c r="J671" s="18">
        <f t="shared" si="8"/>
        <v>0.1167295333</v>
      </c>
      <c r="K671" s="18">
        <f t="shared" si="10"/>
        <v>83.7258212</v>
      </c>
      <c r="L671" s="4"/>
      <c r="M671" s="4"/>
      <c r="N671" s="4"/>
      <c r="O671" s="4"/>
      <c r="P671" s="4"/>
      <c r="Q671" s="4"/>
      <c r="R671" s="4"/>
      <c r="S671" s="4"/>
      <c r="T671" s="4"/>
      <c r="U671" s="4"/>
      <c r="V671" s="4"/>
      <c r="W671" s="4"/>
    </row>
    <row r="672" ht="15.75" customHeight="1">
      <c r="A672" s="13">
        <f t="shared" si="9"/>
        <v>669</v>
      </c>
      <c r="B672" s="18">
        <f>A672/'Orbit Info'!$G$10</f>
        <v>7.070874522</v>
      </c>
      <c r="C672" s="13">
        <f t="shared" si="2"/>
        <v>0</v>
      </c>
      <c r="D672" s="13">
        <f t="shared" si="3"/>
        <v>1</v>
      </c>
      <c r="E672" s="13">
        <f t="shared" si="4"/>
        <v>0</v>
      </c>
      <c r="F672" s="13">
        <f t="shared" si="5"/>
        <v>0</v>
      </c>
      <c r="G672" s="13">
        <f t="shared" si="6"/>
        <v>1</v>
      </c>
      <c r="H672" s="13">
        <f>'Orbit Info'!C671*((C672*$O$2)+(D672*$O$3)+(E672*$O$4)+(F672*$O$5))</f>
        <v>15.628032</v>
      </c>
      <c r="I672" s="13">
        <f t="shared" si="7"/>
        <v>8.62426</v>
      </c>
      <c r="J672" s="18">
        <f t="shared" si="8"/>
        <v>0.1167295333</v>
      </c>
      <c r="K672" s="18">
        <f t="shared" si="10"/>
        <v>83.84255073</v>
      </c>
      <c r="L672" s="4"/>
      <c r="M672" s="4"/>
      <c r="N672" s="4"/>
      <c r="O672" s="4"/>
      <c r="P672" s="4"/>
      <c r="Q672" s="4"/>
      <c r="R672" s="4"/>
      <c r="S672" s="4"/>
      <c r="T672" s="4"/>
      <c r="U672" s="4"/>
      <c r="V672" s="4"/>
      <c r="W672" s="4"/>
    </row>
    <row r="673" ht="15.75" customHeight="1">
      <c r="A673" s="13">
        <f t="shared" si="9"/>
        <v>670</v>
      </c>
      <c r="B673" s="18">
        <f>A673/'Orbit Info'!$G$10</f>
        <v>7.081443841</v>
      </c>
      <c r="C673" s="13">
        <f t="shared" si="2"/>
        <v>0</v>
      </c>
      <c r="D673" s="13">
        <f t="shared" si="3"/>
        <v>1</v>
      </c>
      <c r="E673" s="13">
        <f t="shared" si="4"/>
        <v>0</v>
      </c>
      <c r="F673" s="13">
        <f t="shared" si="5"/>
        <v>0</v>
      </c>
      <c r="G673" s="13">
        <f t="shared" si="6"/>
        <v>1</v>
      </c>
      <c r="H673" s="13">
        <f>'Orbit Info'!C672*((C673*$O$2)+(D673*$O$3)+(E673*$O$4)+(F673*$O$5))</f>
        <v>15.628032</v>
      </c>
      <c r="I673" s="13">
        <f t="shared" si="7"/>
        <v>8.62426</v>
      </c>
      <c r="J673" s="18">
        <f t="shared" si="8"/>
        <v>0.1167295333</v>
      </c>
      <c r="K673" s="18">
        <f t="shared" si="10"/>
        <v>83.95928027</v>
      </c>
      <c r="L673" s="4"/>
      <c r="M673" s="4"/>
      <c r="N673" s="4"/>
      <c r="O673" s="4"/>
      <c r="P673" s="4"/>
      <c r="Q673" s="4"/>
      <c r="R673" s="4"/>
      <c r="S673" s="4"/>
      <c r="T673" s="4"/>
      <c r="U673" s="4"/>
      <c r="V673" s="4"/>
      <c r="W673" s="4"/>
    </row>
    <row r="674" ht="15.75" customHeight="1">
      <c r="A674" s="13">
        <f t="shared" si="9"/>
        <v>671</v>
      </c>
      <c r="B674" s="18">
        <f>A674/'Orbit Info'!$G$10</f>
        <v>7.09201316</v>
      </c>
      <c r="C674" s="13">
        <f t="shared" si="2"/>
        <v>0</v>
      </c>
      <c r="D674" s="13">
        <f t="shared" si="3"/>
        <v>1</v>
      </c>
      <c r="E674" s="13">
        <f t="shared" si="4"/>
        <v>0</v>
      </c>
      <c r="F674" s="13">
        <f t="shared" si="5"/>
        <v>0</v>
      </c>
      <c r="G674" s="13">
        <f t="shared" si="6"/>
        <v>1</v>
      </c>
      <c r="H674" s="13">
        <f>'Orbit Info'!C673*((C674*$O$2)+(D674*$O$3)+(E674*$O$4)+(F674*$O$5))</f>
        <v>15.628032</v>
      </c>
      <c r="I674" s="13">
        <f t="shared" si="7"/>
        <v>8.62426</v>
      </c>
      <c r="J674" s="18">
        <f t="shared" si="8"/>
        <v>0.1167295333</v>
      </c>
      <c r="K674" s="18">
        <f t="shared" si="10"/>
        <v>84.0760098</v>
      </c>
      <c r="L674" s="4"/>
      <c r="M674" s="4"/>
      <c r="N674" s="4"/>
      <c r="O674" s="4"/>
      <c r="P674" s="4"/>
      <c r="Q674" s="4"/>
      <c r="R674" s="4"/>
      <c r="S674" s="4"/>
      <c r="T674" s="4"/>
      <c r="U674" s="4"/>
      <c r="V674" s="4"/>
      <c r="W674" s="4"/>
    </row>
    <row r="675" ht="15.75" customHeight="1">
      <c r="A675" s="13">
        <f t="shared" si="9"/>
        <v>672</v>
      </c>
      <c r="B675" s="18">
        <f>A675/'Orbit Info'!$G$10</f>
        <v>7.102582479</v>
      </c>
      <c r="C675" s="13">
        <f t="shared" si="2"/>
        <v>0</v>
      </c>
      <c r="D675" s="13">
        <f t="shared" si="3"/>
        <v>1</v>
      </c>
      <c r="E675" s="13">
        <f t="shared" si="4"/>
        <v>0</v>
      </c>
      <c r="F675" s="13">
        <f t="shared" si="5"/>
        <v>0</v>
      </c>
      <c r="G675" s="13">
        <f t="shared" si="6"/>
        <v>1</v>
      </c>
      <c r="H675" s="13">
        <f>'Orbit Info'!C674*((C675*$O$2)+(D675*$O$3)+(E675*$O$4)+(F675*$O$5))</f>
        <v>15.628032</v>
      </c>
      <c r="I675" s="13">
        <f t="shared" si="7"/>
        <v>8.62426</v>
      </c>
      <c r="J675" s="18">
        <f t="shared" si="8"/>
        <v>0.1167295333</v>
      </c>
      <c r="K675" s="18">
        <f t="shared" si="10"/>
        <v>84.19273933</v>
      </c>
      <c r="L675" s="4"/>
      <c r="M675" s="4"/>
      <c r="N675" s="4"/>
      <c r="O675" s="4"/>
      <c r="P675" s="4"/>
      <c r="Q675" s="4"/>
      <c r="R675" s="4"/>
      <c r="S675" s="4"/>
      <c r="T675" s="4"/>
      <c r="U675" s="4"/>
      <c r="V675" s="4"/>
      <c r="W675" s="4"/>
    </row>
    <row r="676" ht="15.75" customHeight="1">
      <c r="A676" s="13">
        <f t="shared" si="9"/>
        <v>673</v>
      </c>
      <c r="B676" s="18">
        <f>A676/'Orbit Info'!$G$10</f>
        <v>7.113151799</v>
      </c>
      <c r="C676" s="13">
        <f t="shared" si="2"/>
        <v>0</v>
      </c>
      <c r="D676" s="13">
        <f t="shared" si="3"/>
        <v>1</v>
      </c>
      <c r="E676" s="13">
        <f t="shared" si="4"/>
        <v>0</v>
      </c>
      <c r="F676" s="13">
        <f t="shared" si="5"/>
        <v>0</v>
      </c>
      <c r="G676" s="13">
        <f t="shared" si="6"/>
        <v>1</v>
      </c>
      <c r="H676" s="13">
        <f>'Orbit Info'!C675*((C676*$O$2)+(D676*$O$3)+(E676*$O$4)+(F676*$O$5))</f>
        <v>15.628032</v>
      </c>
      <c r="I676" s="13">
        <f t="shared" si="7"/>
        <v>8.62426</v>
      </c>
      <c r="J676" s="18">
        <f t="shared" si="8"/>
        <v>0.1167295333</v>
      </c>
      <c r="K676" s="18">
        <f t="shared" si="10"/>
        <v>84.30946887</v>
      </c>
      <c r="L676" s="4"/>
      <c r="M676" s="4"/>
      <c r="N676" s="4"/>
      <c r="O676" s="4"/>
      <c r="P676" s="4"/>
      <c r="Q676" s="4"/>
      <c r="R676" s="4"/>
      <c r="S676" s="4"/>
      <c r="T676" s="4"/>
      <c r="U676" s="4"/>
      <c r="V676" s="4"/>
      <c r="W676" s="4"/>
    </row>
    <row r="677" ht="15.75" customHeight="1">
      <c r="A677" s="13">
        <f t="shared" si="9"/>
        <v>674</v>
      </c>
      <c r="B677" s="18">
        <f>A677/'Orbit Info'!$G$10</f>
        <v>7.123721118</v>
      </c>
      <c r="C677" s="13">
        <f t="shared" si="2"/>
        <v>0</v>
      </c>
      <c r="D677" s="13">
        <f t="shared" si="3"/>
        <v>1</v>
      </c>
      <c r="E677" s="13">
        <f t="shared" si="4"/>
        <v>0</v>
      </c>
      <c r="F677" s="13">
        <f t="shared" si="5"/>
        <v>0</v>
      </c>
      <c r="G677" s="13">
        <f t="shared" si="6"/>
        <v>1</v>
      </c>
      <c r="H677" s="13">
        <f>'Orbit Info'!C676*((C677*$O$2)+(D677*$O$3)+(E677*$O$4)+(F677*$O$5))</f>
        <v>15.628032</v>
      </c>
      <c r="I677" s="13">
        <f t="shared" si="7"/>
        <v>8.62426</v>
      </c>
      <c r="J677" s="18">
        <f t="shared" si="8"/>
        <v>0.1167295333</v>
      </c>
      <c r="K677" s="18">
        <f t="shared" si="10"/>
        <v>84.4261984</v>
      </c>
      <c r="L677" s="4"/>
      <c r="M677" s="4"/>
      <c r="N677" s="4"/>
      <c r="O677" s="4"/>
      <c r="P677" s="4"/>
      <c r="Q677" s="4"/>
      <c r="R677" s="4"/>
      <c r="S677" s="4"/>
      <c r="T677" s="4"/>
      <c r="U677" s="4"/>
      <c r="V677" s="4"/>
      <c r="W677" s="4"/>
    </row>
    <row r="678" ht="15.75" customHeight="1">
      <c r="A678" s="13">
        <f t="shared" si="9"/>
        <v>675</v>
      </c>
      <c r="B678" s="18">
        <f>A678/'Orbit Info'!$G$10</f>
        <v>7.134290437</v>
      </c>
      <c r="C678" s="13">
        <f t="shared" si="2"/>
        <v>0</v>
      </c>
      <c r="D678" s="13">
        <f t="shared" si="3"/>
        <v>1</v>
      </c>
      <c r="E678" s="13">
        <f t="shared" si="4"/>
        <v>0</v>
      </c>
      <c r="F678" s="13">
        <f t="shared" si="5"/>
        <v>0</v>
      </c>
      <c r="G678" s="13">
        <f t="shared" si="6"/>
        <v>1</v>
      </c>
      <c r="H678" s="13">
        <f>'Orbit Info'!C677*((C678*$O$2)+(D678*$O$3)+(E678*$O$4)+(F678*$O$5))</f>
        <v>15.628032</v>
      </c>
      <c r="I678" s="13">
        <f t="shared" si="7"/>
        <v>8.62426</v>
      </c>
      <c r="J678" s="18">
        <f t="shared" si="8"/>
        <v>0.1167295333</v>
      </c>
      <c r="K678" s="18">
        <f t="shared" si="10"/>
        <v>84.54292793</v>
      </c>
      <c r="L678" s="4"/>
      <c r="M678" s="4"/>
      <c r="N678" s="4"/>
      <c r="O678" s="4"/>
      <c r="P678" s="4"/>
      <c r="Q678" s="4"/>
      <c r="R678" s="4"/>
      <c r="S678" s="4"/>
      <c r="T678" s="4"/>
      <c r="U678" s="4"/>
      <c r="V678" s="4"/>
      <c r="W678" s="4"/>
    </row>
    <row r="679" ht="15.75" customHeight="1">
      <c r="A679" s="13">
        <f t="shared" si="9"/>
        <v>676</v>
      </c>
      <c r="B679" s="18">
        <f>A679/'Orbit Info'!$G$10</f>
        <v>7.144859756</v>
      </c>
      <c r="C679" s="13">
        <f t="shared" si="2"/>
        <v>0</v>
      </c>
      <c r="D679" s="13">
        <f t="shared" si="3"/>
        <v>1</v>
      </c>
      <c r="E679" s="13">
        <f t="shared" si="4"/>
        <v>0</v>
      </c>
      <c r="F679" s="13">
        <f t="shared" si="5"/>
        <v>0</v>
      </c>
      <c r="G679" s="13">
        <f t="shared" si="6"/>
        <v>1</v>
      </c>
      <c r="H679" s="13">
        <f>'Orbit Info'!C678*((C679*$O$2)+(D679*$O$3)+(E679*$O$4)+(F679*$O$5))</f>
        <v>15.628032</v>
      </c>
      <c r="I679" s="13">
        <f t="shared" si="7"/>
        <v>8.62426</v>
      </c>
      <c r="J679" s="18">
        <f t="shared" si="8"/>
        <v>0.1167295333</v>
      </c>
      <c r="K679" s="18">
        <f t="shared" si="10"/>
        <v>84.65965747</v>
      </c>
      <c r="L679" s="4"/>
      <c r="M679" s="4"/>
      <c r="N679" s="4"/>
      <c r="O679" s="4"/>
      <c r="P679" s="4"/>
      <c r="Q679" s="4"/>
      <c r="R679" s="4"/>
      <c r="S679" s="4"/>
      <c r="T679" s="4"/>
      <c r="U679" s="4"/>
      <c r="V679" s="4"/>
      <c r="W679" s="4"/>
    </row>
    <row r="680" ht="15.75" customHeight="1">
      <c r="A680" s="13">
        <f t="shared" si="9"/>
        <v>677</v>
      </c>
      <c r="B680" s="18">
        <f>A680/'Orbit Info'!$G$10</f>
        <v>7.155429075</v>
      </c>
      <c r="C680" s="13">
        <f t="shared" si="2"/>
        <v>0</v>
      </c>
      <c r="D680" s="13">
        <f t="shared" si="3"/>
        <v>1</v>
      </c>
      <c r="E680" s="13">
        <f t="shared" si="4"/>
        <v>0</v>
      </c>
      <c r="F680" s="13">
        <f t="shared" si="5"/>
        <v>0</v>
      </c>
      <c r="G680" s="13">
        <f t="shared" si="6"/>
        <v>1</v>
      </c>
      <c r="H680" s="13">
        <f>'Orbit Info'!C679*((C680*$O$2)+(D680*$O$3)+(E680*$O$4)+(F680*$O$5))</f>
        <v>15.628032</v>
      </c>
      <c r="I680" s="13">
        <f t="shared" si="7"/>
        <v>8.62426</v>
      </c>
      <c r="J680" s="18">
        <f t="shared" si="8"/>
        <v>0.1167295333</v>
      </c>
      <c r="K680" s="18">
        <f t="shared" si="10"/>
        <v>84.776387</v>
      </c>
      <c r="L680" s="4"/>
      <c r="M680" s="4"/>
      <c r="N680" s="4"/>
      <c r="O680" s="4"/>
      <c r="P680" s="4"/>
      <c r="Q680" s="4"/>
      <c r="R680" s="4"/>
      <c r="S680" s="4"/>
      <c r="T680" s="4"/>
      <c r="U680" s="4"/>
      <c r="V680" s="4"/>
      <c r="W680" s="4"/>
    </row>
    <row r="681" ht="15.75" customHeight="1">
      <c r="A681" s="13">
        <f t="shared" si="9"/>
        <v>678</v>
      </c>
      <c r="B681" s="18">
        <f>A681/'Orbit Info'!$G$10</f>
        <v>7.165998394</v>
      </c>
      <c r="C681" s="13">
        <f t="shared" si="2"/>
        <v>0</v>
      </c>
      <c r="D681" s="13">
        <f t="shared" si="3"/>
        <v>1</v>
      </c>
      <c r="E681" s="13">
        <f t="shared" si="4"/>
        <v>0</v>
      </c>
      <c r="F681" s="13">
        <f t="shared" si="5"/>
        <v>0</v>
      </c>
      <c r="G681" s="13">
        <f t="shared" si="6"/>
        <v>1</v>
      </c>
      <c r="H681" s="13">
        <f>'Orbit Info'!C680*((C681*$O$2)+(D681*$O$3)+(E681*$O$4)+(F681*$O$5))</f>
        <v>15.628032</v>
      </c>
      <c r="I681" s="13">
        <f t="shared" si="7"/>
        <v>8.62426</v>
      </c>
      <c r="J681" s="18">
        <f t="shared" si="8"/>
        <v>0.1167295333</v>
      </c>
      <c r="K681" s="18">
        <f t="shared" si="10"/>
        <v>84.89311653</v>
      </c>
      <c r="L681" s="4"/>
      <c r="M681" s="4"/>
      <c r="N681" s="4"/>
      <c r="O681" s="4"/>
      <c r="P681" s="4"/>
      <c r="Q681" s="4"/>
      <c r="R681" s="4"/>
      <c r="S681" s="4"/>
      <c r="T681" s="4"/>
      <c r="U681" s="4"/>
      <c r="V681" s="4"/>
      <c r="W681" s="4"/>
    </row>
    <row r="682" ht="15.75" customHeight="1">
      <c r="A682" s="13">
        <f t="shared" si="9"/>
        <v>679</v>
      </c>
      <c r="B682" s="18">
        <f>A682/'Orbit Info'!$G$10</f>
        <v>7.176567714</v>
      </c>
      <c r="C682" s="13">
        <f t="shared" si="2"/>
        <v>0</v>
      </c>
      <c r="D682" s="13">
        <f t="shared" si="3"/>
        <v>1</v>
      </c>
      <c r="E682" s="13">
        <f t="shared" si="4"/>
        <v>0</v>
      </c>
      <c r="F682" s="13">
        <f t="shared" si="5"/>
        <v>0</v>
      </c>
      <c r="G682" s="13">
        <f t="shared" si="6"/>
        <v>1</v>
      </c>
      <c r="H682" s="13">
        <f>'Orbit Info'!C681*((C682*$O$2)+(D682*$O$3)+(E682*$O$4)+(F682*$O$5))</f>
        <v>15.628032</v>
      </c>
      <c r="I682" s="13">
        <f t="shared" si="7"/>
        <v>8.62426</v>
      </c>
      <c r="J682" s="18">
        <f t="shared" si="8"/>
        <v>0.1167295333</v>
      </c>
      <c r="K682" s="18">
        <f t="shared" si="10"/>
        <v>85.00984607</v>
      </c>
      <c r="L682" s="4"/>
      <c r="M682" s="4"/>
      <c r="N682" s="4"/>
      <c r="O682" s="4"/>
      <c r="P682" s="4"/>
      <c r="Q682" s="4"/>
      <c r="R682" s="4"/>
      <c r="S682" s="4"/>
      <c r="T682" s="4"/>
      <c r="U682" s="4"/>
      <c r="V682" s="4"/>
      <c r="W682" s="4"/>
    </row>
    <row r="683" ht="15.75" customHeight="1">
      <c r="A683" s="13">
        <f t="shared" si="9"/>
        <v>680</v>
      </c>
      <c r="B683" s="18">
        <f>A683/'Orbit Info'!$G$10</f>
        <v>7.187137033</v>
      </c>
      <c r="C683" s="13">
        <f t="shared" si="2"/>
        <v>0</v>
      </c>
      <c r="D683" s="13">
        <f t="shared" si="3"/>
        <v>1</v>
      </c>
      <c r="E683" s="13">
        <f t="shared" si="4"/>
        <v>0</v>
      </c>
      <c r="F683" s="13">
        <f t="shared" si="5"/>
        <v>0</v>
      </c>
      <c r="G683" s="13">
        <f t="shared" si="6"/>
        <v>1</v>
      </c>
      <c r="H683" s="13">
        <f>'Orbit Info'!C682*((C683*$O$2)+(D683*$O$3)+(E683*$O$4)+(F683*$O$5))</f>
        <v>15.628032</v>
      </c>
      <c r="I683" s="13">
        <f t="shared" si="7"/>
        <v>8.62426</v>
      </c>
      <c r="J683" s="18">
        <f t="shared" si="8"/>
        <v>0.1167295333</v>
      </c>
      <c r="K683" s="18">
        <f t="shared" si="10"/>
        <v>85.1265756</v>
      </c>
      <c r="L683" s="4"/>
      <c r="M683" s="4"/>
      <c r="N683" s="4"/>
      <c r="O683" s="4"/>
      <c r="P683" s="4"/>
      <c r="Q683" s="4"/>
      <c r="R683" s="4"/>
      <c r="S683" s="4"/>
      <c r="T683" s="4"/>
      <c r="U683" s="4"/>
      <c r="V683" s="4"/>
      <c r="W683" s="4"/>
    </row>
    <row r="684" ht="15.75" customHeight="1">
      <c r="A684" s="13">
        <f t="shared" si="9"/>
        <v>681</v>
      </c>
      <c r="B684" s="18">
        <f>A684/'Orbit Info'!$G$10</f>
        <v>7.197706352</v>
      </c>
      <c r="C684" s="13">
        <f t="shared" si="2"/>
        <v>0</v>
      </c>
      <c r="D684" s="13">
        <f t="shared" si="3"/>
        <v>1</v>
      </c>
      <c r="E684" s="13">
        <f t="shared" si="4"/>
        <v>0</v>
      </c>
      <c r="F684" s="13">
        <f t="shared" si="5"/>
        <v>0</v>
      </c>
      <c r="G684" s="13">
        <f t="shared" si="6"/>
        <v>1</v>
      </c>
      <c r="H684" s="13">
        <f>'Orbit Info'!C683*((C684*$O$2)+(D684*$O$3)+(E684*$O$4)+(F684*$O$5))</f>
        <v>15.628032</v>
      </c>
      <c r="I684" s="13">
        <f t="shared" si="7"/>
        <v>8.62426</v>
      </c>
      <c r="J684" s="18">
        <f t="shared" si="8"/>
        <v>0.1167295333</v>
      </c>
      <c r="K684" s="18">
        <f t="shared" si="10"/>
        <v>85.24330513</v>
      </c>
      <c r="L684" s="4"/>
      <c r="M684" s="4"/>
      <c r="N684" s="4"/>
      <c r="O684" s="4"/>
      <c r="P684" s="4"/>
      <c r="Q684" s="4"/>
      <c r="R684" s="4"/>
      <c r="S684" s="4"/>
      <c r="T684" s="4"/>
      <c r="U684" s="4"/>
      <c r="V684" s="4"/>
      <c r="W684" s="4"/>
    </row>
    <row r="685" ht="15.75" customHeight="1">
      <c r="A685" s="13">
        <f t="shared" si="9"/>
        <v>682</v>
      </c>
      <c r="B685" s="18">
        <f>A685/'Orbit Info'!$G$10</f>
        <v>7.208275671</v>
      </c>
      <c r="C685" s="13">
        <f t="shared" si="2"/>
        <v>0</v>
      </c>
      <c r="D685" s="13">
        <f t="shared" si="3"/>
        <v>1</v>
      </c>
      <c r="E685" s="13">
        <f t="shared" si="4"/>
        <v>0</v>
      </c>
      <c r="F685" s="13">
        <f t="shared" si="5"/>
        <v>0</v>
      </c>
      <c r="G685" s="13">
        <f t="shared" si="6"/>
        <v>1</v>
      </c>
      <c r="H685" s="13">
        <f>'Orbit Info'!C684*((C685*$O$2)+(D685*$O$3)+(E685*$O$4)+(F685*$O$5))</f>
        <v>15.628032</v>
      </c>
      <c r="I685" s="13">
        <f t="shared" si="7"/>
        <v>8.62426</v>
      </c>
      <c r="J685" s="18">
        <f t="shared" si="8"/>
        <v>0.1167295333</v>
      </c>
      <c r="K685" s="18">
        <f t="shared" si="10"/>
        <v>85.36003467</v>
      </c>
      <c r="L685" s="4"/>
      <c r="M685" s="4"/>
      <c r="N685" s="4"/>
      <c r="O685" s="4"/>
      <c r="P685" s="4"/>
      <c r="Q685" s="4"/>
      <c r="R685" s="4"/>
      <c r="S685" s="4"/>
      <c r="T685" s="4"/>
      <c r="U685" s="4"/>
      <c r="V685" s="4"/>
      <c r="W685" s="4"/>
    </row>
    <row r="686" ht="15.75" customHeight="1">
      <c r="A686" s="13">
        <f t="shared" si="9"/>
        <v>683</v>
      </c>
      <c r="B686" s="18">
        <f>A686/'Orbit Info'!$G$10</f>
        <v>7.21884499</v>
      </c>
      <c r="C686" s="13">
        <f t="shared" si="2"/>
        <v>0</v>
      </c>
      <c r="D686" s="13">
        <f t="shared" si="3"/>
        <v>1</v>
      </c>
      <c r="E686" s="13">
        <f t="shared" si="4"/>
        <v>0</v>
      </c>
      <c r="F686" s="13">
        <f t="shared" si="5"/>
        <v>0</v>
      </c>
      <c r="G686" s="13">
        <f t="shared" si="6"/>
        <v>1</v>
      </c>
      <c r="H686" s="13">
        <f>'Orbit Info'!C685*((C686*$O$2)+(D686*$O$3)+(E686*$O$4)+(F686*$O$5))</f>
        <v>15.628032</v>
      </c>
      <c r="I686" s="13">
        <f t="shared" si="7"/>
        <v>8.62426</v>
      </c>
      <c r="J686" s="18">
        <f t="shared" si="8"/>
        <v>0.1167295333</v>
      </c>
      <c r="K686" s="18">
        <f t="shared" si="10"/>
        <v>85.4767642</v>
      </c>
      <c r="L686" s="4"/>
      <c r="M686" s="4"/>
      <c r="N686" s="4"/>
      <c r="O686" s="4"/>
      <c r="P686" s="4"/>
      <c r="Q686" s="4"/>
      <c r="R686" s="4"/>
      <c r="S686" s="4"/>
      <c r="T686" s="4"/>
      <c r="U686" s="4"/>
      <c r="V686" s="4"/>
      <c r="W686" s="4"/>
    </row>
    <row r="687" ht="15.75" customHeight="1">
      <c r="A687" s="13">
        <f t="shared" si="9"/>
        <v>684</v>
      </c>
      <c r="B687" s="18">
        <f>A687/'Orbit Info'!$G$10</f>
        <v>7.229414309</v>
      </c>
      <c r="C687" s="13">
        <f t="shared" si="2"/>
        <v>0</v>
      </c>
      <c r="D687" s="13">
        <f t="shared" si="3"/>
        <v>1</v>
      </c>
      <c r="E687" s="13">
        <f t="shared" si="4"/>
        <v>0</v>
      </c>
      <c r="F687" s="13">
        <f t="shared" si="5"/>
        <v>0</v>
      </c>
      <c r="G687" s="13">
        <f t="shared" si="6"/>
        <v>1</v>
      </c>
      <c r="H687" s="13">
        <f>'Orbit Info'!C686*((C687*$O$2)+(D687*$O$3)+(E687*$O$4)+(F687*$O$5))</f>
        <v>15.628032</v>
      </c>
      <c r="I687" s="13">
        <f t="shared" si="7"/>
        <v>8.62426</v>
      </c>
      <c r="J687" s="18">
        <f t="shared" si="8"/>
        <v>0.1167295333</v>
      </c>
      <c r="K687" s="18">
        <f t="shared" si="10"/>
        <v>85.59349373</v>
      </c>
      <c r="L687" s="4"/>
      <c r="M687" s="4"/>
      <c r="N687" s="4"/>
      <c r="O687" s="4"/>
      <c r="P687" s="4"/>
      <c r="Q687" s="4"/>
      <c r="R687" s="4"/>
      <c r="S687" s="4"/>
      <c r="T687" s="4"/>
      <c r="U687" s="4"/>
      <c r="V687" s="4"/>
      <c r="W687" s="4"/>
    </row>
    <row r="688" ht="15.75" customHeight="1">
      <c r="A688" s="13">
        <f t="shared" si="9"/>
        <v>685</v>
      </c>
      <c r="B688" s="18">
        <f>A688/'Orbit Info'!$G$10</f>
        <v>7.239983629</v>
      </c>
      <c r="C688" s="13">
        <f t="shared" si="2"/>
        <v>0</v>
      </c>
      <c r="D688" s="13">
        <f t="shared" si="3"/>
        <v>1</v>
      </c>
      <c r="E688" s="13">
        <f t="shared" si="4"/>
        <v>0</v>
      </c>
      <c r="F688" s="13">
        <f t="shared" si="5"/>
        <v>0</v>
      </c>
      <c r="G688" s="13">
        <f t="shared" si="6"/>
        <v>1</v>
      </c>
      <c r="H688" s="13">
        <f>'Orbit Info'!C687*((C688*$O$2)+(D688*$O$3)+(E688*$O$4)+(F688*$O$5))</f>
        <v>15.628032</v>
      </c>
      <c r="I688" s="13">
        <f t="shared" si="7"/>
        <v>8.62426</v>
      </c>
      <c r="J688" s="18">
        <f t="shared" si="8"/>
        <v>0.1167295333</v>
      </c>
      <c r="K688" s="18">
        <f t="shared" si="10"/>
        <v>85.71022327</v>
      </c>
      <c r="L688" s="4"/>
      <c r="M688" s="4"/>
      <c r="N688" s="4"/>
      <c r="O688" s="4"/>
      <c r="P688" s="4"/>
      <c r="Q688" s="4"/>
      <c r="R688" s="4"/>
      <c r="S688" s="4"/>
      <c r="T688" s="4"/>
      <c r="U688" s="4"/>
      <c r="V688" s="4"/>
      <c r="W688" s="4"/>
    </row>
    <row r="689" ht="15.75" customHeight="1">
      <c r="A689" s="13">
        <f t="shared" si="9"/>
        <v>686</v>
      </c>
      <c r="B689" s="18">
        <f>A689/'Orbit Info'!$G$10</f>
        <v>7.250552948</v>
      </c>
      <c r="C689" s="13">
        <f t="shared" si="2"/>
        <v>0</v>
      </c>
      <c r="D689" s="13">
        <f t="shared" si="3"/>
        <v>1</v>
      </c>
      <c r="E689" s="13">
        <f t="shared" si="4"/>
        <v>0</v>
      </c>
      <c r="F689" s="13">
        <f t="shared" si="5"/>
        <v>0</v>
      </c>
      <c r="G689" s="13">
        <f t="shared" si="6"/>
        <v>1</v>
      </c>
      <c r="H689" s="13">
        <f>'Orbit Info'!C688*((C689*$O$2)+(D689*$O$3)+(E689*$O$4)+(F689*$O$5))</f>
        <v>15.628032</v>
      </c>
      <c r="I689" s="13">
        <f t="shared" si="7"/>
        <v>8.62426</v>
      </c>
      <c r="J689" s="18">
        <f t="shared" si="8"/>
        <v>0.1167295333</v>
      </c>
      <c r="K689" s="18">
        <f t="shared" si="10"/>
        <v>85.8269528</v>
      </c>
      <c r="L689" s="4"/>
      <c r="M689" s="4"/>
      <c r="N689" s="4"/>
      <c r="O689" s="4"/>
      <c r="P689" s="4"/>
      <c r="Q689" s="4"/>
      <c r="R689" s="4"/>
      <c r="S689" s="4"/>
      <c r="T689" s="4"/>
      <c r="U689" s="4"/>
      <c r="V689" s="4"/>
      <c r="W689" s="4"/>
    </row>
    <row r="690" ht="15.75" customHeight="1">
      <c r="A690" s="13">
        <f t="shared" si="9"/>
        <v>687</v>
      </c>
      <c r="B690" s="18">
        <f>A690/'Orbit Info'!$G$10</f>
        <v>7.261122267</v>
      </c>
      <c r="C690" s="13">
        <f t="shared" si="2"/>
        <v>0</v>
      </c>
      <c r="D690" s="13">
        <f t="shared" si="3"/>
        <v>1</v>
      </c>
      <c r="E690" s="13">
        <f t="shared" si="4"/>
        <v>0</v>
      </c>
      <c r="F690" s="13">
        <f t="shared" si="5"/>
        <v>0</v>
      </c>
      <c r="G690" s="13">
        <f t="shared" si="6"/>
        <v>1</v>
      </c>
      <c r="H690" s="13">
        <f>'Orbit Info'!C689*((C690*$O$2)+(D690*$O$3)+(E690*$O$4)+(F690*$O$5))</f>
        <v>15.628032</v>
      </c>
      <c r="I690" s="13">
        <f t="shared" si="7"/>
        <v>8.62426</v>
      </c>
      <c r="J690" s="18">
        <f t="shared" si="8"/>
        <v>0.1167295333</v>
      </c>
      <c r="K690" s="18">
        <f t="shared" si="10"/>
        <v>85.94368233</v>
      </c>
      <c r="L690" s="4"/>
      <c r="M690" s="4"/>
      <c r="N690" s="4"/>
      <c r="O690" s="4"/>
      <c r="P690" s="4"/>
      <c r="Q690" s="4"/>
      <c r="R690" s="4"/>
      <c r="S690" s="4"/>
      <c r="T690" s="4"/>
      <c r="U690" s="4"/>
      <c r="V690" s="4"/>
      <c r="W690" s="4"/>
    </row>
    <row r="691" ht="15.75" customHeight="1">
      <c r="A691" s="13">
        <f t="shared" si="9"/>
        <v>688</v>
      </c>
      <c r="B691" s="18">
        <f>A691/'Orbit Info'!$G$10</f>
        <v>7.271691586</v>
      </c>
      <c r="C691" s="13">
        <f t="shared" si="2"/>
        <v>0</v>
      </c>
      <c r="D691" s="13">
        <f t="shared" si="3"/>
        <v>1</v>
      </c>
      <c r="E691" s="13">
        <f t="shared" si="4"/>
        <v>0</v>
      </c>
      <c r="F691" s="13">
        <f t="shared" si="5"/>
        <v>0</v>
      </c>
      <c r="G691" s="13">
        <f t="shared" si="6"/>
        <v>1</v>
      </c>
      <c r="H691" s="13">
        <f>'Orbit Info'!C690*((C691*$O$2)+(D691*$O$3)+(E691*$O$4)+(F691*$O$5))</f>
        <v>15.628032</v>
      </c>
      <c r="I691" s="13">
        <f t="shared" si="7"/>
        <v>8.62426</v>
      </c>
      <c r="J691" s="18">
        <f t="shared" si="8"/>
        <v>0.1167295333</v>
      </c>
      <c r="K691" s="18">
        <f t="shared" si="10"/>
        <v>86.06041187</v>
      </c>
      <c r="L691" s="4"/>
      <c r="M691" s="4"/>
      <c r="N691" s="4"/>
      <c r="O691" s="4"/>
      <c r="P691" s="4"/>
      <c r="Q691" s="4"/>
      <c r="R691" s="4"/>
      <c r="S691" s="4"/>
      <c r="T691" s="4"/>
      <c r="U691" s="4"/>
      <c r="V691" s="4"/>
      <c r="W691" s="4"/>
    </row>
    <row r="692" ht="15.75" customHeight="1">
      <c r="A692" s="13">
        <f t="shared" si="9"/>
        <v>689</v>
      </c>
      <c r="B692" s="18">
        <f>A692/'Orbit Info'!$G$10</f>
        <v>7.282260905</v>
      </c>
      <c r="C692" s="13">
        <f t="shared" si="2"/>
        <v>0</v>
      </c>
      <c r="D692" s="13">
        <f t="shared" si="3"/>
        <v>1</v>
      </c>
      <c r="E692" s="13">
        <f t="shared" si="4"/>
        <v>0</v>
      </c>
      <c r="F692" s="13">
        <f t="shared" si="5"/>
        <v>0</v>
      </c>
      <c r="G692" s="13">
        <f t="shared" si="6"/>
        <v>1</v>
      </c>
      <c r="H692" s="13">
        <f>'Orbit Info'!C691*((C692*$O$2)+(D692*$O$3)+(E692*$O$4)+(F692*$O$5))</f>
        <v>15.628032</v>
      </c>
      <c r="I692" s="13">
        <f t="shared" si="7"/>
        <v>8.62426</v>
      </c>
      <c r="J692" s="18">
        <f t="shared" si="8"/>
        <v>0.1167295333</v>
      </c>
      <c r="K692" s="18">
        <f t="shared" si="10"/>
        <v>86.1771414</v>
      </c>
      <c r="L692" s="4"/>
      <c r="M692" s="4"/>
      <c r="N692" s="4"/>
      <c r="O692" s="4"/>
      <c r="P692" s="4"/>
      <c r="Q692" s="4"/>
      <c r="R692" s="4"/>
      <c r="S692" s="4"/>
      <c r="T692" s="4"/>
      <c r="U692" s="4"/>
      <c r="V692" s="4"/>
      <c r="W692" s="4"/>
    </row>
    <row r="693" ht="15.75" customHeight="1">
      <c r="A693" s="13">
        <f t="shared" si="9"/>
        <v>690</v>
      </c>
      <c r="B693" s="18">
        <f>A693/'Orbit Info'!$G$10</f>
        <v>7.292830224</v>
      </c>
      <c r="C693" s="13">
        <f t="shared" si="2"/>
        <v>0</v>
      </c>
      <c r="D693" s="13">
        <f t="shared" si="3"/>
        <v>1</v>
      </c>
      <c r="E693" s="13">
        <f t="shared" si="4"/>
        <v>0</v>
      </c>
      <c r="F693" s="13">
        <f t="shared" si="5"/>
        <v>0</v>
      </c>
      <c r="G693" s="13">
        <f t="shared" si="6"/>
        <v>1</v>
      </c>
      <c r="H693" s="13">
        <f>'Orbit Info'!C692*((C693*$O$2)+(D693*$O$3)+(E693*$O$4)+(F693*$O$5))</f>
        <v>15.628032</v>
      </c>
      <c r="I693" s="13">
        <f t="shared" si="7"/>
        <v>8.62426</v>
      </c>
      <c r="J693" s="18">
        <f t="shared" si="8"/>
        <v>0.1167295333</v>
      </c>
      <c r="K693" s="18">
        <f t="shared" si="10"/>
        <v>86.29387093</v>
      </c>
      <c r="L693" s="4"/>
      <c r="M693" s="4"/>
      <c r="N693" s="4"/>
      <c r="O693" s="4"/>
      <c r="P693" s="4"/>
      <c r="Q693" s="4"/>
      <c r="R693" s="4"/>
      <c r="S693" s="4"/>
      <c r="T693" s="4"/>
      <c r="U693" s="4"/>
      <c r="V693" s="4"/>
      <c r="W693" s="4"/>
    </row>
    <row r="694" ht="15.75" customHeight="1">
      <c r="A694" s="13">
        <f t="shared" si="9"/>
        <v>691</v>
      </c>
      <c r="B694" s="18">
        <f>A694/'Orbit Info'!$G$10</f>
        <v>7.303399544</v>
      </c>
      <c r="C694" s="13">
        <f t="shared" si="2"/>
        <v>0</v>
      </c>
      <c r="D694" s="13">
        <f t="shared" si="3"/>
        <v>1</v>
      </c>
      <c r="E694" s="13">
        <f t="shared" si="4"/>
        <v>0</v>
      </c>
      <c r="F694" s="13">
        <f t="shared" si="5"/>
        <v>0</v>
      </c>
      <c r="G694" s="13">
        <f t="shared" si="6"/>
        <v>1</v>
      </c>
      <c r="H694" s="13">
        <f>'Orbit Info'!C693*((C694*$O$2)+(D694*$O$3)+(E694*$O$4)+(F694*$O$5))</f>
        <v>15.628032</v>
      </c>
      <c r="I694" s="13">
        <f t="shared" si="7"/>
        <v>8.62426</v>
      </c>
      <c r="J694" s="18">
        <f t="shared" si="8"/>
        <v>0.1167295333</v>
      </c>
      <c r="K694" s="18">
        <f t="shared" si="10"/>
        <v>86.41060047</v>
      </c>
      <c r="L694" s="4"/>
      <c r="M694" s="4"/>
      <c r="N694" s="4"/>
      <c r="O694" s="4"/>
      <c r="P694" s="4"/>
      <c r="Q694" s="4"/>
      <c r="R694" s="4"/>
      <c r="S694" s="4"/>
      <c r="T694" s="4"/>
      <c r="U694" s="4"/>
      <c r="V694" s="4"/>
      <c r="W694" s="4"/>
    </row>
    <row r="695" ht="15.75" customHeight="1">
      <c r="A695" s="13">
        <f t="shared" si="9"/>
        <v>692</v>
      </c>
      <c r="B695" s="18">
        <f>A695/'Orbit Info'!$G$10</f>
        <v>7.313968863</v>
      </c>
      <c r="C695" s="13">
        <f t="shared" si="2"/>
        <v>0</v>
      </c>
      <c r="D695" s="13">
        <f t="shared" si="3"/>
        <v>1</v>
      </c>
      <c r="E695" s="13">
        <f t="shared" si="4"/>
        <v>0</v>
      </c>
      <c r="F695" s="13">
        <f t="shared" si="5"/>
        <v>0</v>
      </c>
      <c r="G695" s="13">
        <f t="shared" si="6"/>
        <v>1</v>
      </c>
      <c r="H695" s="13">
        <f>'Orbit Info'!C694*((C695*$O$2)+(D695*$O$3)+(E695*$O$4)+(F695*$O$5))</f>
        <v>15.628032</v>
      </c>
      <c r="I695" s="13">
        <f t="shared" si="7"/>
        <v>8.62426</v>
      </c>
      <c r="J695" s="18">
        <f t="shared" si="8"/>
        <v>0.1167295333</v>
      </c>
      <c r="K695" s="18">
        <f t="shared" si="10"/>
        <v>86.52733</v>
      </c>
      <c r="L695" s="4"/>
      <c r="M695" s="4"/>
      <c r="N695" s="4"/>
      <c r="O695" s="4"/>
      <c r="P695" s="4"/>
      <c r="Q695" s="4"/>
      <c r="R695" s="4"/>
      <c r="S695" s="4"/>
      <c r="T695" s="4"/>
      <c r="U695" s="4"/>
      <c r="V695" s="4"/>
      <c r="W695" s="4"/>
    </row>
    <row r="696" ht="15.75" customHeight="1">
      <c r="A696" s="13">
        <f t="shared" si="9"/>
        <v>693</v>
      </c>
      <c r="B696" s="18">
        <f>A696/'Orbit Info'!$G$10</f>
        <v>7.324538182</v>
      </c>
      <c r="C696" s="13">
        <f t="shared" si="2"/>
        <v>0</v>
      </c>
      <c r="D696" s="13">
        <f t="shared" si="3"/>
        <v>1</v>
      </c>
      <c r="E696" s="13">
        <f t="shared" si="4"/>
        <v>0</v>
      </c>
      <c r="F696" s="13">
        <f t="shared" si="5"/>
        <v>0</v>
      </c>
      <c r="G696" s="13">
        <f t="shared" si="6"/>
        <v>1</v>
      </c>
      <c r="H696" s="13">
        <f>'Orbit Info'!C695*((C696*$O$2)+(D696*$O$3)+(E696*$O$4)+(F696*$O$5))</f>
        <v>15.628032</v>
      </c>
      <c r="I696" s="13">
        <f t="shared" si="7"/>
        <v>8.62426</v>
      </c>
      <c r="J696" s="18">
        <f t="shared" si="8"/>
        <v>0.1167295333</v>
      </c>
      <c r="K696" s="18">
        <f t="shared" si="10"/>
        <v>86.64405953</v>
      </c>
      <c r="L696" s="4"/>
      <c r="M696" s="4"/>
      <c r="N696" s="4"/>
      <c r="O696" s="4"/>
      <c r="P696" s="4"/>
      <c r="Q696" s="4"/>
      <c r="R696" s="4"/>
      <c r="S696" s="4"/>
      <c r="T696" s="4"/>
      <c r="U696" s="4"/>
      <c r="V696" s="4"/>
      <c r="W696" s="4"/>
    </row>
    <row r="697" ht="15.75" customHeight="1">
      <c r="A697" s="13">
        <f t="shared" si="9"/>
        <v>694</v>
      </c>
      <c r="B697" s="18">
        <f>A697/'Orbit Info'!$G$10</f>
        <v>7.335107501</v>
      </c>
      <c r="C697" s="13">
        <f t="shared" si="2"/>
        <v>0</v>
      </c>
      <c r="D697" s="13">
        <f t="shared" si="3"/>
        <v>1</v>
      </c>
      <c r="E697" s="13">
        <f t="shared" si="4"/>
        <v>0</v>
      </c>
      <c r="F697" s="13">
        <f t="shared" si="5"/>
        <v>0</v>
      </c>
      <c r="G697" s="13">
        <f t="shared" si="6"/>
        <v>1</v>
      </c>
      <c r="H697" s="13">
        <f>'Orbit Info'!C696*((C697*$O$2)+(D697*$O$3)+(E697*$O$4)+(F697*$O$5))</f>
        <v>15.628032</v>
      </c>
      <c r="I697" s="13">
        <f t="shared" si="7"/>
        <v>8.62426</v>
      </c>
      <c r="J697" s="18">
        <f t="shared" si="8"/>
        <v>0.1167295333</v>
      </c>
      <c r="K697" s="18">
        <f t="shared" si="10"/>
        <v>86.76078907</v>
      </c>
      <c r="L697" s="4"/>
      <c r="M697" s="4"/>
      <c r="N697" s="4"/>
      <c r="O697" s="4"/>
      <c r="P697" s="4"/>
      <c r="Q697" s="4"/>
      <c r="R697" s="4"/>
      <c r="S697" s="4"/>
      <c r="T697" s="4"/>
      <c r="U697" s="4"/>
      <c r="V697" s="4"/>
      <c r="W697" s="4"/>
    </row>
    <row r="698" ht="15.75" customHeight="1">
      <c r="A698" s="13">
        <f t="shared" si="9"/>
        <v>695</v>
      </c>
      <c r="B698" s="18">
        <f>A698/'Orbit Info'!$G$10</f>
        <v>7.34567682</v>
      </c>
      <c r="C698" s="13">
        <f t="shared" si="2"/>
        <v>0</v>
      </c>
      <c r="D698" s="13">
        <f t="shared" si="3"/>
        <v>1</v>
      </c>
      <c r="E698" s="13">
        <f t="shared" si="4"/>
        <v>0</v>
      </c>
      <c r="F698" s="13">
        <f t="shared" si="5"/>
        <v>0</v>
      </c>
      <c r="G698" s="13">
        <f t="shared" si="6"/>
        <v>1</v>
      </c>
      <c r="H698" s="13">
        <f>'Orbit Info'!C697*((C698*$O$2)+(D698*$O$3)+(E698*$O$4)+(F698*$O$5))</f>
        <v>15.628032</v>
      </c>
      <c r="I698" s="13">
        <f t="shared" si="7"/>
        <v>8.62426</v>
      </c>
      <c r="J698" s="18">
        <f t="shared" si="8"/>
        <v>0.1167295333</v>
      </c>
      <c r="K698" s="18">
        <f t="shared" si="10"/>
        <v>86.8775186</v>
      </c>
      <c r="L698" s="4"/>
      <c r="M698" s="4"/>
      <c r="N698" s="4"/>
      <c r="O698" s="4"/>
      <c r="P698" s="4"/>
      <c r="Q698" s="4"/>
      <c r="R698" s="4"/>
      <c r="S698" s="4"/>
      <c r="T698" s="4"/>
      <c r="U698" s="4"/>
      <c r="V698" s="4"/>
      <c r="W698" s="4"/>
    </row>
    <row r="699" ht="15.75" customHeight="1">
      <c r="A699" s="13">
        <f t="shared" si="9"/>
        <v>696</v>
      </c>
      <c r="B699" s="18">
        <f>A699/'Orbit Info'!$G$10</f>
        <v>7.356246139</v>
      </c>
      <c r="C699" s="13">
        <f t="shared" si="2"/>
        <v>0</v>
      </c>
      <c r="D699" s="13">
        <f t="shared" si="3"/>
        <v>1</v>
      </c>
      <c r="E699" s="13">
        <f t="shared" si="4"/>
        <v>0</v>
      </c>
      <c r="F699" s="13">
        <f t="shared" si="5"/>
        <v>0</v>
      </c>
      <c r="G699" s="13">
        <f t="shared" si="6"/>
        <v>1</v>
      </c>
      <c r="H699" s="13">
        <f>'Orbit Info'!C698*((C699*$O$2)+(D699*$O$3)+(E699*$O$4)+(F699*$O$5))</f>
        <v>15.628032</v>
      </c>
      <c r="I699" s="13">
        <f t="shared" si="7"/>
        <v>8.62426</v>
      </c>
      <c r="J699" s="18">
        <f t="shared" si="8"/>
        <v>0.1167295333</v>
      </c>
      <c r="K699" s="18">
        <f t="shared" si="10"/>
        <v>86.99424813</v>
      </c>
      <c r="L699" s="4"/>
      <c r="M699" s="4"/>
      <c r="N699" s="4"/>
      <c r="O699" s="4"/>
      <c r="P699" s="4"/>
      <c r="Q699" s="4"/>
      <c r="R699" s="4"/>
      <c r="S699" s="4"/>
      <c r="T699" s="4"/>
      <c r="U699" s="4"/>
      <c r="V699" s="4"/>
      <c r="W699" s="4"/>
    </row>
    <row r="700" ht="15.75" customHeight="1">
      <c r="A700" s="13">
        <f t="shared" si="9"/>
        <v>697</v>
      </c>
      <c r="B700" s="18">
        <f>A700/'Orbit Info'!$G$10</f>
        <v>7.366815459</v>
      </c>
      <c r="C700" s="13">
        <f t="shared" si="2"/>
        <v>0</v>
      </c>
      <c r="D700" s="13">
        <f t="shared" si="3"/>
        <v>1</v>
      </c>
      <c r="E700" s="13">
        <f t="shared" si="4"/>
        <v>0</v>
      </c>
      <c r="F700" s="13">
        <f t="shared" si="5"/>
        <v>0</v>
      </c>
      <c r="G700" s="13">
        <f t="shared" si="6"/>
        <v>1</v>
      </c>
      <c r="H700" s="13">
        <f>'Orbit Info'!C699*((C700*$O$2)+(D700*$O$3)+(E700*$O$4)+(F700*$O$5))</f>
        <v>15.628032</v>
      </c>
      <c r="I700" s="13">
        <f t="shared" si="7"/>
        <v>8.62426</v>
      </c>
      <c r="J700" s="18">
        <f t="shared" si="8"/>
        <v>0.1167295333</v>
      </c>
      <c r="K700" s="18">
        <f t="shared" si="10"/>
        <v>87.11097767</v>
      </c>
      <c r="L700" s="4"/>
      <c r="M700" s="4"/>
      <c r="N700" s="4"/>
      <c r="O700" s="4"/>
      <c r="P700" s="4"/>
      <c r="Q700" s="4"/>
      <c r="R700" s="4"/>
      <c r="S700" s="4"/>
      <c r="T700" s="4"/>
      <c r="U700" s="4"/>
      <c r="V700" s="4"/>
      <c r="W700" s="4"/>
    </row>
    <row r="701" ht="15.75" customHeight="1">
      <c r="A701" s="13">
        <f t="shared" si="9"/>
        <v>698</v>
      </c>
      <c r="B701" s="18">
        <f>A701/'Orbit Info'!$G$10</f>
        <v>7.377384778</v>
      </c>
      <c r="C701" s="13">
        <f t="shared" si="2"/>
        <v>0</v>
      </c>
      <c r="D701" s="13">
        <f t="shared" si="3"/>
        <v>1</v>
      </c>
      <c r="E701" s="13">
        <f t="shared" si="4"/>
        <v>0</v>
      </c>
      <c r="F701" s="13">
        <f t="shared" si="5"/>
        <v>0</v>
      </c>
      <c r="G701" s="13">
        <f t="shared" si="6"/>
        <v>1</v>
      </c>
      <c r="H701" s="13">
        <f>'Orbit Info'!C700*((C701*$O$2)+(D701*$O$3)+(E701*$O$4)+(F701*$O$5))</f>
        <v>15.628032</v>
      </c>
      <c r="I701" s="13">
        <f t="shared" si="7"/>
        <v>8.62426</v>
      </c>
      <c r="J701" s="18">
        <f t="shared" si="8"/>
        <v>0.1167295333</v>
      </c>
      <c r="K701" s="18">
        <f t="shared" si="10"/>
        <v>87.2277072</v>
      </c>
      <c r="L701" s="4"/>
      <c r="M701" s="4"/>
      <c r="N701" s="4"/>
      <c r="O701" s="4"/>
      <c r="P701" s="4"/>
      <c r="Q701" s="4"/>
      <c r="R701" s="4"/>
      <c r="S701" s="4"/>
      <c r="T701" s="4"/>
      <c r="U701" s="4"/>
      <c r="V701" s="4"/>
      <c r="W701" s="4"/>
    </row>
    <row r="702" ht="15.75" customHeight="1">
      <c r="A702" s="13">
        <f t="shared" si="9"/>
        <v>699</v>
      </c>
      <c r="B702" s="18">
        <f>A702/'Orbit Info'!$G$10</f>
        <v>7.387954097</v>
      </c>
      <c r="C702" s="13">
        <f t="shared" si="2"/>
        <v>0</v>
      </c>
      <c r="D702" s="13">
        <f t="shared" si="3"/>
        <v>1</v>
      </c>
      <c r="E702" s="13">
        <f t="shared" si="4"/>
        <v>0</v>
      </c>
      <c r="F702" s="13">
        <f t="shared" si="5"/>
        <v>0</v>
      </c>
      <c r="G702" s="13">
        <f t="shared" si="6"/>
        <v>1</v>
      </c>
      <c r="H702" s="13">
        <f>'Orbit Info'!C701*((C702*$O$2)+(D702*$O$3)+(E702*$O$4)+(F702*$O$5))</f>
        <v>15.628032</v>
      </c>
      <c r="I702" s="13">
        <f t="shared" si="7"/>
        <v>8.62426</v>
      </c>
      <c r="J702" s="18">
        <f t="shared" si="8"/>
        <v>0.1167295333</v>
      </c>
      <c r="K702" s="18">
        <f t="shared" si="10"/>
        <v>87.34443673</v>
      </c>
      <c r="L702" s="4"/>
      <c r="M702" s="4"/>
      <c r="N702" s="4"/>
      <c r="O702" s="4"/>
      <c r="P702" s="4"/>
      <c r="Q702" s="4"/>
      <c r="R702" s="4"/>
      <c r="S702" s="4"/>
      <c r="T702" s="4"/>
      <c r="U702" s="4"/>
      <c r="V702" s="4"/>
      <c r="W702" s="4"/>
    </row>
    <row r="703" ht="15.75" customHeight="1">
      <c r="A703" s="13">
        <f t="shared" si="9"/>
        <v>700</v>
      </c>
      <c r="B703" s="18">
        <f>A703/'Orbit Info'!$G$10</f>
        <v>7.398523416</v>
      </c>
      <c r="C703" s="13">
        <f t="shared" si="2"/>
        <v>0</v>
      </c>
      <c r="D703" s="13">
        <f t="shared" si="3"/>
        <v>1</v>
      </c>
      <c r="E703" s="13">
        <f t="shared" si="4"/>
        <v>0</v>
      </c>
      <c r="F703" s="13">
        <f t="shared" si="5"/>
        <v>0</v>
      </c>
      <c r="G703" s="13">
        <f t="shared" si="6"/>
        <v>1</v>
      </c>
      <c r="H703" s="13">
        <f>'Orbit Info'!C702*((C703*$O$2)+(D703*$O$3)+(E703*$O$4)+(F703*$O$5))</f>
        <v>15.628032</v>
      </c>
      <c r="I703" s="13">
        <f t="shared" si="7"/>
        <v>8.62426</v>
      </c>
      <c r="J703" s="18">
        <f t="shared" si="8"/>
        <v>0.1167295333</v>
      </c>
      <c r="K703" s="18">
        <f t="shared" si="10"/>
        <v>87.46116627</v>
      </c>
      <c r="L703" s="4"/>
      <c r="M703" s="4"/>
      <c r="N703" s="4"/>
      <c r="O703" s="4"/>
      <c r="P703" s="4"/>
      <c r="Q703" s="4"/>
      <c r="R703" s="4"/>
      <c r="S703" s="4"/>
      <c r="T703" s="4"/>
      <c r="U703" s="4"/>
      <c r="V703" s="4"/>
      <c r="W703" s="4"/>
    </row>
    <row r="704" ht="15.75" customHeight="1">
      <c r="A704" s="13">
        <f t="shared" si="9"/>
        <v>701</v>
      </c>
      <c r="B704" s="18">
        <f>A704/'Orbit Info'!$G$10</f>
        <v>7.409092735</v>
      </c>
      <c r="C704" s="13">
        <f t="shared" si="2"/>
        <v>0</v>
      </c>
      <c r="D704" s="13">
        <f t="shared" si="3"/>
        <v>1</v>
      </c>
      <c r="E704" s="13">
        <f t="shared" si="4"/>
        <v>0</v>
      </c>
      <c r="F704" s="13">
        <f t="shared" si="5"/>
        <v>0</v>
      </c>
      <c r="G704" s="13">
        <f t="shared" si="6"/>
        <v>1</v>
      </c>
      <c r="H704" s="13">
        <f>'Orbit Info'!C703*((C704*$O$2)+(D704*$O$3)+(E704*$O$4)+(F704*$O$5))</f>
        <v>15.628032</v>
      </c>
      <c r="I704" s="13">
        <f t="shared" si="7"/>
        <v>8.62426</v>
      </c>
      <c r="J704" s="18">
        <f t="shared" si="8"/>
        <v>0.1167295333</v>
      </c>
      <c r="K704" s="18">
        <f t="shared" si="10"/>
        <v>87.5778958</v>
      </c>
      <c r="L704" s="4"/>
      <c r="M704" s="4"/>
      <c r="N704" s="4"/>
      <c r="O704" s="4"/>
      <c r="P704" s="4"/>
      <c r="Q704" s="4"/>
      <c r="R704" s="4"/>
      <c r="S704" s="4"/>
      <c r="T704" s="4"/>
      <c r="U704" s="4"/>
      <c r="V704" s="4"/>
      <c r="W704" s="4"/>
    </row>
    <row r="705" ht="15.75" customHeight="1">
      <c r="A705" s="13">
        <f t="shared" si="9"/>
        <v>702</v>
      </c>
      <c r="B705" s="18">
        <f>A705/'Orbit Info'!$G$10</f>
        <v>7.419662054</v>
      </c>
      <c r="C705" s="13">
        <f t="shared" si="2"/>
        <v>0</v>
      </c>
      <c r="D705" s="13">
        <f t="shared" si="3"/>
        <v>1</v>
      </c>
      <c r="E705" s="13">
        <f t="shared" si="4"/>
        <v>0</v>
      </c>
      <c r="F705" s="13">
        <f t="shared" si="5"/>
        <v>0</v>
      </c>
      <c r="G705" s="13">
        <f t="shared" si="6"/>
        <v>1</v>
      </c>
      <c r="H705" s="13">
        <f>'Orbit Info'!C704*((C705*$O$2)+(D705*$O$3)+(E705*$O$4)+(F705*$O$5))</f>
        <v>15.628032</v>
      </c>
      <c r="I705" s="13">
        <f t="shared" si="7"/>
        <v>8.62426</v>
      </c>
      <c r="J705" s="18">
        <f t="shared" si="8"/>
        <v>0.1167295333</v>
      </c>
      <c r="K705" s="18">
        <f t="shared" si="10"/>
        <v>87.69462533</v>
      </c>
      <c r="L705" s="4"/>
      <c r="M705" s="4"/>
      <c r="N705" s="4"/>
      <c r="O705" s="4"/>
      <c r="P705" s="4"/>
      <c r="Q705" s="4"/>
      <c r="R705" s="4"/>
      <c r="S705" s="4"/>
      <c r="T705" s="4"/>
      <c r="U705" s="4"/>
      <c r="V705" s="4"/>
      <c r="W705" s="4"/>
    </row>
    <row r="706" ht="15.75" customHeight="1">
      <c r="A706" s="13">
        <f t="shared" si="9"/>
        <v>703</v>
      </c>
      <c r="B706" s="18">
        <f>A706/'Orbit Info'!$G$10</f>
        <v>7.430231374</v>
      </c>
      <c r="C706" s="13">
        <f t="shared" si="2"/>
        <v>0</v>
      </c>
      <c r="D706" s="13">
        <f t="shared" si="3"/>
        <v>1</v>
      </c>
      <c r="E706" s="13">
        <f t="shared" si="4"/>
        <v>0</v>
      </c>
      <c r="F706" s="13">
        <f t="shared" si="5"/>
        <v>0</v>
      </c>
      <c r="G706" s="13">
        <f t="shared" si="6"/>
        <v>1</v>
      </c>
      <c r="H706" s="13">
        <f>'Orbit Info'!C705*((C706*$O$2)+(D706*$O$3)+(E706*$O$4)+(F706*$O$5))</f>
        <v>15.628032</v>
      </c>
      <c r="I706" s="13">
        <f t="shared" si="7"/>
        <v>8.62426</v>
      </c>
      <c r="J706" s="18">
        <f t="shared" si="8"/>
        <v>0.1167295333</v>
      </c>
      <c r="K706" s="18">
        <f t="shared" si="10"/>
        <v>87.81135487</v>
      </c>
      <c r="L706" s="4"/>
      <c r="M706" s="4"/>
      <c r="N706" s="4"/>
      <c r="O706" s="4"/>
      <c r="P706" s="4"/>
      <c r="Q706" s="4"/>
      <c r="R706" s="4"/>
      <c r="S706" s="4"/>
      <c r="T706" s="4"/>
      <c r="U706" s="4"/>
      <c r="V706" s="4"/>
      <c r="W706" s="4"/>
    </row>
    <row r="707" ht="15.75" customHeight="1">
      <c r="A707" s="13">
        <f t="shared" si="9"/>
        <v>704</v>
      </c>
      <c r="B707" s="18">
        <f>A707/'Orbit Info'!$G$10</f>
        <v>7.440800693</v>
      </c>
      <c r="C707" s="13">
        <f t="shared" si="2"/>
        <v>0</v>
      </c>
      <c r="D707" s="13">
        <f t="shared" si="3"/>
        <v>1</v>
      </c>
      <c r="E707" s="13">
        <f t="shared" si="4"/>
        <v>0</v>
      </c>
      <c r="F707" s="13">
        <f t="shared" si="5"/>
        <v>0</v>
      </c>
      <c r="G707" s="13">
        <f t="shared" si="6"/>
        <v>1</v>
      </c>
      <c r="H707" s="13">
        <f>'Orbit Info'!C706*((C707*$O$2)+(D707*$O$3)+(E707*$O$4)+(F707*$O$5))</f>
        <v>15.628032</v>
      </c>
      <c r="I707" s="13">
        <f t="shared" si="7"/>
        <v>8.62426</v>
      </c>
      <c r="J707" s="18">
        <f t="shared" si="8"/>
        <v>0.1167295333</v>
      </c>
      <c r="K707" s="18">
        <f t="shared" si="10"/>
        <v>87.9280844</v>
      </c>
      <c r="L707" s="4"/>
      <c r="M707" s="4"/>
      <c r="N707" s="4"/>
      <c r="O707" s="4"/>
      <c r="P707" s="4"/>
      <c r="Q707" s="4"/>
      <c r="R707" s="4"/>
      <c r="S707" s="4"/>
      <c r="T707" s="4"/>
      <c r="U707" s="4"/>
      <c r="V707" s="4"/>
      <c r="W707" s="4"/>
    </row>
    <row r="708" ht="15.75" customHeight="1">
      <c r="A708" s="13">
        <f t="shared" si="9"/>
        <v>705</v>
      </c>
      <c r="B708" s="18">
        <f>A708/'Orbit Info'!$G$10</f>
        <v>7.451370012</v>
      </c>
      <c r="C708" s="13">
        <f t="shared" si="2"/>
        <v>0</v>
      </c>
      <c r="D708" s="13">
        <f t="shared" si="3"/>
        <v>1</v>
      </c>
      <c r="E708" s="13">
        <f t="shared" si="4"/>
        <v>0</v>
      </c>
      <c r="F708" s="13">
        <f t="shared" si="5"/>
        <v>0</v>
      </c>
      <c r="G708" s="13">
        <f t="shared" si="6"/>
        <v>1</v>
      </c>
      <c r="H708" s="13">
        <f>'Orbit Info'!C707*((C708*$O$2)+(D708*$O$3)+(E708*$O$4)+(F708*$O$5))</f>
        <v>15.628032</v>
      </c>
      <c r="I708" s="13">
        <f t="shared" si="7"/>
        <v>8.62426</v>
      </c>
      <c r="J708" s="18">
        <f t="shared" si="8"/>
        <v>0.1167295333</v>
      </c>
      <c r="K708" s="18">
        <f t="shared" si="10"/>
        <v>88.04481393</v>
      </c>
      <c r="L708" s="4"/>
      <c r="M708" s="4"/>
      <c r="N708" s="4"/>
      <c r="O708" s="4"/>
      <c r="P708" s="4"/>
      <c r="Q708" s="4"/>
      <c r="R708" s="4"/>
      <c r="S708" s="4"/>
      <c r="T708" s="4"/>
      <c r="U708" s="4"/>
      <c r="V708" s="4"/>
      <c r="W708" s="4"/>
    </row>
    <row r="709" ht="15.75" customHeight="1">
      <c r="A709" s="13">
        <f t="shared" si="9"/>
        <v>706</v>
      </c>
      <c r="B709" s="18">
        <f>A709/'Orbit Info'!$G$10</f>
        <v>7.461939331</v>
      </c>
      <c r="C709" s="13">
        <f t="shared" si="2"/>
        <v>0</v>
      </c>
      <c r="D709" s="13">
        <f t="shared" si="3"/>
        <v>1</v>
      </c>
      <c r="E709" s="13">
        <f t="shared" si="4"/>
        <v>0</v>
      </c>
      <c r="F709" s="13">
        <f t="shared" si="5"/>
        <v>0</v>
      </c>
      <c r="G709" s="13">
        <f t="shared" si="6"/>
        <v>1</v>
      </c>
      <c r="H709" s="13">
        <f>'Orbit Info'!C708*((C709*$O$2)+(D709*$O$3)+(E709*$O$4)+(F709*$O$5))</f>
        <v>15.628032</v>
      </c>
      <c r="I709" s="13">
        <f t="shared" si="7"/>
        <v>8.62426</v>
      </c>
      <c r="J709" s="18">
        <f t="shared" si="8"/>
        <v>0.1167295333</v>
      </c>
      <c r="K709" s="18">
        <f t="shared" si="10"/>
        <v>88.16154347</v>
      </c>
      <c r="L709" s="4"/>
      <c r="M709" s="4"/>
      <c r="N709" s="4"/>
      <c r="O709" s="4"/>
      <c r="P709" s="4"/>
      <c r="Q709" s="4"/>
      <c r="R709" s="4"/>
      <c r="S709" s="4"/>
      <c r="T709" s="4"/>
      <c r="U709" s="4"/>
      <c r="V709" s="4"/>
      <c r="W709" s="4"/>
    </row>
    <row r="710" ht="15.75" customHeight="1">
      <c r="A710" s="13">
        <f t="shared" si="9"/>
        <v>707</v>
      </c>
      <c r="B710" s="18">
        <f>A710/'Orbit Info'!$G$10</f>
        <v>7.47250865</v>
      </c>
      <c r="C710" s="13">
        <f t="shared" si="2"/>
        <v>0</v>
      </c>
      <c r="D710" s="13">
        <f t="shared" si="3"/>
        <v>1</v>
      </c>
      <c r="E710" s="13">
        <f t="shared" si="4"/>
        <v>0</v>
      </c>
      <c r="F710" s="13">
        <f t="shared" si="5"/>
        <v>0</v>
      </c>
      <c r="G710" s="13">
        <f t="shared" si="6"/>
        <v>1</v>
      </c>
      <c r="H710" s="13">
        <f>'Orbit Info'!C709*((C710*$O$2)+(D710*$O$3)+(E710*$O$4)+(F710*$O$5))</f>
        <v>15.628032</v>
      </c>
      <c r="I710" s="13">
        <f t="shared" si="7"/>
        <v>8.62426</v>
      </c>
      <c r="J710" s="18">
        <f t="shared" si="8"/>
        <v>0.1167295333</v>
      </c>
      <c r="K710" s="18">
        <f t="shared" si="10"/>
        <v>88.2</v>
      </c>
      <c r="L710" s="4"/>
      <c r="M710" s="4"/>
      <c r="N710" s="4"/>
      <c r="O710" s="4"/>
      <c r="P710" s="4"/>
      <c r="Q710" s="4"/>
      <c r="R710" s="4"/>
      <c r="S710" s="4"/>
      <c r="T710" s="4"/>
      <c r="U710" s="4"/>
      <c r="V710" s="4"/>
      <c r="W710" s="4"/>
    </row>
    <row r="711" ht="15.75" customHeight="1">
      <c r="A711" s="13">
        <f t="shared" si="9"/>
        <v>708</v>
      </c>
      <c r="B711" s="18">
        <f>A711/'Orbit Info'!$G$10</f>
        <v>7.483077969</v>
      </c>
      <c r="C711" s="13">
        <f t="shared" si="2"/>
        <v>0</v>
      </c>
      <c r="D711" s="13">
        <f t="shared" si="3"/>
        <v>1</v>
      </c>
      <c r="E711" s="13">
        <f t="shared" si="4"/>
        <v>0</v>
      </c>
      <c r="F711" s="13">
        <f t="shared" si="5"/>
        <v>0</v>
      </c>
      <c r="G711" s="13">
        <f t="shared" si="6"/>
        <v>1</v>
      </c>
      <c r="H711" s="13">
        <f>'Orbit Info'!C710*((C711*$O$2)+(D711*$O$3)+(E711*$O$4)+(F711*$O$5))</f>
        <v>15.628032</v>
      </c>
      <c r="I711" s="13">
        <f t="shared" si="7"/>
        <v>8.62426</v>
      </c>
      <c r="J711" s="18">
        <f t="shared" si="8"/>
        <v>0.1167295333</v>
      </c>
      <c r="K711" s="18">
        <f t="shared" si="10"/>
        <v>88.2</v>
      </c>
      <c r="L711" s="4"/>
      <c r="M711" s="4"/>
      <c r="N711" s="4"/>
      <c r="O711" s="4"/>
      <c r="P711" s="4"/>
      <c r="Q711" s="4"/>
      <c r="R711" s="4"/>
      <c r="S711" s="4"/>
      <c r="T711" s="4"/>
      <c r="U711" s="4"/>
      <c r="V711" s="4"/>
      <c r="W711" s="4"/>
    </row>
    <row r="712" ht="15.75" customHeight="1">
      <c r="A712" s="13">
        <f t="shared" si="9"/>
        <v>709</v>
      </c>
      <c r="B712" s="18">
        <f>A712/'Orbit Info'!$G$10</f>
        <v>7.493647289</v>
      </c>
      <c r="C712" s="13">
        <f t="shared" si="2"/>
        <v>0</v>
      </c>
      <c r="D712" s="13">
        <f t="shared" si="3"/>
        <v>1</v>
      </c>
      <c r="E712" s="13">
        <f t="shared" si="4"/>
        <v>0</v>
      </c>
      <c r="F712" s="13">
        <f t="shared" si="5"/>
        <v>0</v>
      </c>
      <c r="G712" s="13">
        <f t="shared" si="6"/>
        <v>1</v>
      </c>
      <c r="H712" s="13">
        <f>'Orbit Info'!C711*((C712*$O$2)+(D712*$O$3)+(E712*$O$4)+(F712*$O$5))</f>
        <v>15.628032</v>
      </c>
      <c r="I712" s="13">
        <f t="shared" si="7"/>
        <v>8.62426</v>
      </c>
      <c r="J712" s="18">
        <f t="shared" si="8"/>
        <v>0.1167295333</v>
      </c>
      <c r="K712" s="18">
        <f t="shared" si="10"/>
        <v>88.2</v>
      </c>
      <c r="L712" s="4"/>
      <c r="M712" s="4"/>
      <c r="N712" s="4"/>
      <c r="O712" s="4"/>
      <c r="P712" s="4"/>
      <c r="Q712" s="4"/>
      <c r="R712" s="4"/>
      <c r="S712" s="4"/>
      <c r="T712" s="4"/>
      <c r="U712" s="4"/>
      <c r="V712" s="4"/>
      <c r="W712" s="4"/>
    </row>
    <row r="713" ht="15.75" customHeight="1">
      <c r="A713" s="13">
        <f t="shared" si="9"/>
        <v>710</v>
      </c>
      <c r="B713" s="18">
        <f>A713/'Orbit Info'!$G$10</f>
        <v>7.504216608</v>
      </c>
      <c r="C713" s="13">
        <f t="shared" si="2"/>
        <v>0</v>
      </c>
      <c r="D713" s="13">
        <f t="shared" si="3"/>
        <v>1</v>
      </c>
      <c r="E713" s="13">
        <f t="shared" si="4"/>
        <v>0</v>
      </c>
      <c r="F713" s="13">
        <f t="shared" si="5"/>
        <v>0</v>
      </c>
      <c r="G713" s="13">
        <f t="shared" si="6"/>
        <v>1</v>
      </c>
      <c r="H713" s="13">
        <f>'Orbit Info'!C712*((C713*$O$2)+(D713*$O$3)+(E713*$O$4)+(F713*$O$5))</f>
        <v>15.628032</v>
      </c>
      <c r="I713" s="13">
        <f t="shared" si="7"/>
        <v>8.62426</v>
      </c>
      <c r="J713" s="18">
        <f t="shared" si="8"/>
        <v>0.1167295333</v>
      </c>
      <c r="K713" s="18">
        <f t="shared" si="10"/>
        <v>88.2</v>
      </c>
      <c r="L713" s="4"/>
      <c r="M713" s="4"/>
      <c r="N713" s="4"/>
      <c r="O713" s="4"/>
      <c r="P713" s="4"/>
      <c r="Q713" s="4"/>
      <c r="R713" s="4"/>
      <c r="S713" s="4"/>
      <c r="T713" s="4"/>
      <c r="U713" s="4"/>
      <c r="V713" s="4"/>
      <c r="W713" s="4"/>
    </row>
    <row r="714" ht="15.75" customHeight="1">
      <c r="A714" s="13">
        <f t="shared" si="9"/>
        <v>711</v>
      </c>
      <c r="B714" s="18">
        <f>A714/'Orbit Info'!$G$10</f>
        <v>7.514785927</v>
      </c>
      <c r="C714" s="13">
        <f t="shared" si="2"/>
        <v>0</v>
      </c>
      <c r="D714" s="13">
        <f t="shared" si="3"/>
        <v>1</v>
      </c>
      <c r="E714" s="13">
        <f t="shared" si="4"/>
        <v>0</v>
      </c>
      <c r="F714" s="13">
        <f t="shared" si="5"/>
        <v>0</v>
      </c>
      <c r="G714" s="13">
        <f t="shared" si="6"/>
        <v>1</v>
      </c>
      <c r="H714" s="13">
        <f>'Orbit Info'!C713*((C714*$O$2)+(D714*$O$3)+(E714*$O$4)+(F714*$O$5))</f>
        <v>15.628032</v>
      </c>
      <c r="I714" s="13">
        <f t="shared" si="7"/>
        <v>8.62426</v>
      </c>
      <c r="J714" s="18">
        <f t="shared" si="8"/>
        <v>0.1167295333</v>
      </c>
      <c r="K714" s="18">
        <f t="shared" si="10"/>
        <v>88.2</v>
      </c>
      <c r="L714" s="4"/>
      <c r="M714" s="4"/>
      <c r="N714" s="4"/>
      <c r="O714" s="4"/>
      <c r="P714" s="4"/>
      <c r="Q714" s="4"/>
      <c r="R714" s="4"/>
      <c r="S714" s="4"/>
      <c r="T714" s="4"/>
      <c r="U714" s="4"/>
      <c r="V714" s="4"/>
      <c r="W714" s="4"/>
    </row>
    <row r="715" ht="15.75" customHeight="1">
      <c r="A715" s="13">
        <f t="shared" si="9"/>
        <v>712</v>
      </c>
      <c r="B715" s="18">
        <f>A715/'Orbit Info'!$G$10</f>
        <v>7.525355246</v>
      </c>
      <c r="C715" s="13">
        <f t="shared" si="2"/>
        <v>0</v>
      </c>
      <c r="D715" s="13">
        <f t="shared" si="3"/>
        <v>1</v>
      </c>
      <c r="E715" s="13">
        <f t="shared" si="4"/>
        <v>0</v>
      </c>
      <c r="F715" s="13">
        <f t="shared" si="5"/>
        <v>0</v>
      </c>
      <c r="G715" s="13">
        <f t="shared" si="6"/>
        <v>1</v>
      </c>
      <c r="H715" s="13">
        <f>'Orbit Info'!C714*((C715*$O$2)+(D715*$O$3)+(E715*$O$4)+(F715*$O$5))</f>
        <v>15.628032</v>
      </c>
      <c r="I715" s="13">
        <f t="shared" si="7"/>
        <v>8.62426</v>
      </c>
      <c r="J715" s="18">
        <f t="shared" si="8"/>
        <v>0.1167295333</v>
      </c>
      <c r="K715" s="18">
        <f t="shared" si="10"/>
        <v>88.2</v>
      </c>
      <c r="L715" s="4"/>
      <c r="M715" s="4"/>
      <c r="N715" s="4"/>
      <c r="O715" s="4"/>
      <c r="P715" s="4"/>
      <c r="Q715" s="4"/>
      <c r="R715" s="4"/>
      <c r="S715" s="4"/>
      <c r="T715" s="4"/>
      <c r="U715" s="4"/>
      <c r="V715" s="4"/>
      <c r="W715" s="4"/>
    </row>
    <row r="716" ht="15.75" customHeight="1">
      <c r="A716" s="13">
        <f t="shared" si="9"/>
        <v>713</v>
      </c>
      <c r="B716" s="18">
        <f>A716/'Orbit Info'!$G$10</f>
        <v>7.535924565</v>
      </c>
      <c r="C716" s="13">
        <f t="shared" si="2"/>
        <v>0</v>
      </c>
      <c r="D716" s="13">
        <f t="shared" si="3"/>
        <v>1</v>
      </c>
      <c r="E716" s="13">
        <f t="shared" si="4"/>
        <v>0</v>
      </c>
      <c r="F716" s="13">
        <f t="shared" si="5"/>
        <v>0</v>
      </c>
      <c r="G716" s="13">
        <f t="shared" si="6"/>
        <v>1</v>
      </c>
      <c r="H716" s="13">
        <f>'Orbit Info'!C715*((C716*$O$2)+(D716*$O$3)+(E716*$O$4)+(F716*$O$5))</f>
        <v>15.628032</v>
      </c>
      <c r="I716" s="13">
        <f t="shared" si="7"/>
        <v>8.62426</v>
      </c>
      <c r="J716" s="18">
        <f t="shared" si="8"/>
        <v>0.1167295333</v>
      </c>
      <c r="K716" s="18">
        <f t="shared" si="10"/>
        <v>88.2</v>
      </c>
      <c r="L716" s="4"/>
      <c r="M716" s="4"/>
      <c r="N716" s="4"/>
      <c r="O716" s="4"/>
      <c r="P716" s="4"/>
      <c r="Q716" s="4"/>
      <c r="R716" s="4"/>
      <c r="S716" s="4"/>
      <c r="T716" s="4"/>
      <c r="U716" s="4"/>
      <c r="V716" s="4"/>
      <c r="W716" s="4"/>
    </row>
    <row r="717" ht="15.75" customHeight="1">
      <c r="A717" s="13">
        <f t="shared" si="9"/>
        <v>714</v>
      </c>
      <c r="B717" s="18">
        <f>A717/'Orbit Info'!$G$10</f>
        <v>7.546493884</v>
      </c>
      <c r="C717" s="13">
        <f t="shared" si="2"/>
        <v>0</v>
      </c>
      <c r="D717" s="13">
        <f t="shared" si="3"/>
        <v>1</v>
      </c>
      <c r="E717" s="13">
        <f t="shared" si="4"/>
        <v>0</v>
      </c>
      <c r="F717" s="13">
        <f t="shared" si="5"/>
        <v>0</v>
      </c>
      <c r="G717" s="13">
        <f t="shared" si="6"/>
        <v>1</v>
      </c>
      <c r="H717" s="13">
        <f>'Orbit Info'!C716*((C717*$O$2)+(D717*$O$3)+(E717*$O$4)+(F717*$O$5))</f>
        <v>15.628032</v>
      </c>
      <c r="I717" s="13">
        <f t="shared" si="7"/>
        <v>8.62426</v>
      </c>
      <c r="J717" s="18">
        <f t="shared" si="8"/>
        <v>0.1167295333</v>
      </c>
      <c r="K717" s="18">
        <f t="shared" si="10"/>
        <v>88.2</v>
      </c>
      <c r="L717" s="4"/>
      <c r="M717" s="4"/>
      <c r="N717" s="4"/>
      <c r="O717" s="4"/>
      <c r="P717" s="4"/>
      <c r="Q717" s="4"/>
      <c r="R717" s="4"/>
      <c r="S717" s="4"/>
      <c r="T717" s="4"/>
      <c r="U717" s="4"/>
      <c r="V717" s="4"/>
      <c r="W717" s="4"/>
    </row>
    <row r="718" ht="15.75" customHeight="1">
      <c r="A718" s="13">
        <f t="shared" si="9"/>
        <v>715</v>
      </c>
      <c r="B718" s="18">
        <f>A718/'Orbit Info'!$G$10</f>
        <v>7.557063204</v>
      </c>
      <c r="C718" s="13">
        <f t="shared" si="2"/>
        <v>0</v>
      </c>
      <c r="D718" s="13">
        <f t="shared" si="3"/>
        <v>1</v>
      </c>
      <c r="E718" s="13">
        <f t="shared" si="4"/>
        <v>0</v>
      </c>
      <c r="F718" s="13">
        <f t="shared" si="5"/>
        <v>0</v>
      </c>
      <c r="G718" s="13">
        <f t="shared" si="6"/>
        <v>1</v>
      </c>
      <c r="H718" s="13">
        <f>'Orbit Info'!C717*((C718*$O$2)+(D718*$O$3)+(E718*$O$4)+(F718*$O$5))</f>
        <v>15.628032</v>
      </c>
      <c r="I718" s="13">
        <f t="shared" si="7"/>
        <v>8.62426</v>
      </c>
      <c r="J718" s="18">
        <f t="shared" si="8"/>
        <v>0.1167295333</v>
      </c>
      <c r="K718" s="18">
        <f t="shared" si="10"/>
        <v>88.2</v>
      </c>
      <c r="L718" s="4"/>
      <c r="M718" s="4"/>
      <c r="N718" s="4"/>
      <c r="O718" s="4"/>
      <c r="P718" s="4"/>
      <c r="Q718" s="4"/>
      <c r="R718" s="4"/>
      <c r="S718" s="4"/>
      <c r="T718" s="4"/>
      <c r="U718" s="4"/>
      <c r="V718" s="4"/>
      <c r="W718" s="4"/>
    </row>
    <row r="719" ht="15.75" customHeight="1">
      <c r="A719" s="13">
        <f t="shared" si="9"/>
        <v>716</v>
      </c>
      <c r="B719" s="18">
        <f>A719/'Orbit Info'!$G$10</f>
        <v>7.567632523</v>
      </c>
      <c r="C719" s="13">
        <f t="shared" si="2"/>
        <v>0</v>
      </c>
      <c r="D719" s="13">
        <f t="shared" si="3"/>
        <v>1</v>
      </c>
      <c r="E719" s="13">
        <f t="shared" si="4"/>
        <v>0</v>
      </c>
      <c r="F719" s="13">
        <f t="shared" si="5"/>
        <v>0</v>
      </c>
      <c r="G719" s="13">
        <f t="shared" si="6"/>
        <v>1</v>
      </c>
      <c r="H719" s="13">
        <f>'Orbit Info'!C718*((C719*$O$2)+(D719*$O$3)+(E719*$O$4)+(F719*$O$5))</f>
        <v>15.628032</v>
      </c>
      <c r="I719" s="13">
        <f t="shared" si="7"/>
        <v>8.62426</v>
      </c>
      <c r="J719" s="18">
        <f t="shared" si="8"/>
        <v>0.1167295333</v>
      </c>
      <c r="K719" s="18">
        <f t="shared" si="10"/>
        <v>88.2</v>
      </c>
      <c r="L719" s="4"/>
      <c r="M719" s="4"/>
      <c r="N719" s="4"/>
      <c r="O719" s="4"/>
      <c r="P719" s="4"/>
      <c r="Q719" s="4"/>
      <c r="R719" s="4"/>
      <c r="S719" s="4"/>
      <c r="T719" s="4"/>
      <c r="U719" s="4"/>
      <c r="V719" s="4"/>
      <c r="W719" s="4"/>
    </row>
    <row r="720" ht="15.75" customHeight="1">
      <c r="A720" s="13">
        <f t="shared" si="9"/>
        <v>717</v>
      </c>
      <c r="B720" s="18">
        <f>A720/'Orbit Info'!$G$10</f>
        <v>7.578201842</v>
      </c>
      <c r="C720" s="13">
        <f t="shared" si="2"/>
        <v>0</v>
      </c>
      <c r="D720" s="13">
        <f t="shared" si="3"/>
        <v>1</v>
      </c>
      <c r="E720" s="13">
        <f t="shared" si="4"/>
        <v>0</v>
      </c>
      <c r="F720" s="13">
        <f t="shared" si="5"/>
        <v>0</v>
      </c>
      <c r="G720" s="13">
        <f t="shared" si="6"/>
        <v>1</v>
      </c>
      <c r="H720" s="13">
        <f>'Orbit Info'!C719*((C720*$O$2)+(D720*$O$3)+(E720*$O$4)+(F720*$O$5))</f>
        <v>15.628032</v>
      </c>
      <c r="I720" s="13">
        <f t="shared" si="7"/>
        <v>8.62426</v>
      </c>
      <c r="J720" s="18">
        <f t="shared" si="8"/>
        <v>0.1167295333</v>
      </c>
      <c r="K720" s="18">
        <f t="shared" si="10"/>
        <v>88.2</v>
      </c>
      <c r="L720" s="4"/>
      <c r="M720" s="4"/>
      <c r="N720" s="4"/>
      <c r="O720" s="4"/>
      <c r="P720" s="4"/>
      <c r="Q720" s="4"/>
      <c r="R720" s="4"/>
      <c r="S720" s="4"/>
      <c r="T720" s="4"/>
      <c r="U720" s="4"/>
      <c r="V720" s="4"/>
      <c r="W720" s="4"/>
    </row>
    <row r="721" ht="15.75" customHeight="1">
      <c r="A721" s="13">
        <f t="shared" si="9"/>
        <v>718</v>
      </c>
      <c r="B721" s="18">
        <f>A721/'Orbit Info'!$G$10</f>
        <v>7.588771161</v>
      </c>
      <c r="C721" s="13">
        <f t="shared" si="2"/>
        <v>0</v>
      </c>
      <c r="D721" s="13">
        <f t="shared" si="3"/>
        <v>1</v>
      </c>
      <c r="E721" s="13">
        <f t="shared" si="4"/>
        <v>0</v>
      </c>
      <c r="F721" s="13">
        <f t="shared" si="5"/>
        <v>0</v>
      </c>
      <c r="G721" s="13">
        <f t="shared" si="6"/>
        <v>1</v>
      </c>
      <c r="H721" s="13">
        <f>'Orbit Info'!C720*((C721*$O$2)+(D721*$O$3)+(E721*$O$4)+(F721*$O$5))</f>
        <v>15.628032</v>
      </c>
      <c r="I721" s="13">
        <f t="shared" si="7"/>
        <v>8.62426</v>
      </c>
      <c r="J721" s="18">
        <f t="shared" si="8"/>
        <v>0.1167295333</v>
      </c>
      <c r="K721" s="18">
        <f t="shared" si="10"/>
        <v>88.2</v>
      </c>
      <c r="L721" s="4"/>
      <c r="M721" s="4"/>
      <c r="N721" s="4"/>
      <c r="O721" s="4"/>
      <c r="P721" s="4"/>
      <c r="Q721" s="4"/>
      <c r="R721" s="4"/>
      <c r="S721" s="4"/>
      <c r="T721" s="4"/>
      <c r="U721" s="4"/>
      <c r="V721" s="4"/>
      <c r="W721" s="4"/>
    </row>
    <row r="722" ht="15.75" customHeight="1">
      <c r="A722" s="13">
        <f t="shared" si="9"/>
        <v>719</v>
      </c>
      <c r="B722" s="18">
        <f>A722/'Orbit Info'!$G$10</f>
        <v>7.59934048</v>
      </c>
      <c r="C722" s="13">
        <f t="shared" si="2"/>
        <v>0</v>
      </c>
      <c r="D722" s="13">
        <f t="shared" si="3"/>
        <v>1</v>
      </c>
      <c r="E722" s="13">
        <f t="shared" si="4"/>
        <v>0</v>
      </c>
      <c r="F722" s="13">
        <f t="shared" si="5"/>
        <v>0</v>
      </c>
      <c r="G722" s="13">
        <f t="shared" si="6"/>
        <v>1</v>
      </c>
      <c r="H722" s="13">
        <f>'Orbit Info'!C721*((C722*$O$2)+(D722*$O$3)+(E722*$O$4)+(F722*$O$5))</f>
        <v>15.628032</v>
      </c>
      <c r="I722" s="13">
        <f t="shared" si="7"/>
        <v>8.62426</v>
      </c>
      <c r="J722" s="18">
        <f t="shared" si="8"/>
        <v>0.1167295333</v>
      </c>
      <c r="K722" s="18">
        <f t="shared" si="10"/>
        <v>88.2</v>
      </c>
      <c r="L722" s="4"/>
      <c r="M722" s="4"/>
      <c r="N722" s="4"/>
      <c r="O722" s="4"/>
      <c r="P722" s="4"/>
      <c r="Q722" s="4"/>
      <c r="R722" s="4"/>
      <c r="S722" s="4"/>
      <c r="T722" s="4"/>
      <c r="U722" s="4"/>
      <c r="V722" s="4"/>
      <c r="W722" s="4"/>
    </row>
    <row r="723" ht="15.75" customHeight="1">
      <c r="A723" s="13">
        <f t="shared" si="9"/>
        <v>720</v>
      </c>
      <c r="B723" s="18">
        <f>A723/'Orbit Info'!$G$10</f>
        <v>7.609909799</v>
      </c>
      <c r="C723" s="13">
        <f t="shared" si="2"/>
        <v>0</v>
      </c>
      <c r="D723" s="13">
        <f t="shared" si="3"/>
        <v>1</v>
      </c>
      <c r="E723" s="13">
        <f t="shared" si="4"/>
        <v>0</v>
      </c>
      <c r="F723" s="13">
        <f t="shared" si="5"/>
        <v>0</v>
      </c>
      <c r="G723" s="13">
        <f t="shared" si="6"/>
        <v>1</v>
      </c>
      <c r="H723" s="13">
        <f>'Orbit Info'!C722*((C723*$O$2)+(D723*$O$3)+(E723*$O$4)+(F723*$O$5))</f>
        <v>15.628032</v>
      </c>
      <c r="I723" s="13">
        <f t="shared" si="7"/>
        <v>8.62426</v>
      </c>
      <c r="J723" s="18">
        <f t="shared" si="8"/>
        <v>0.1167295333</v>
      </c>
      <c r="K723" s="18">
        <f t="shared" si="10"/>
        <v>88.2</v>
      </c>
      <c r="L723" s="4"/>
      <c r="M723" s="4"/>
      <c r="N723" s="4"/>
      <c r="O723" s="4"/>
      <c r="P723" s="4"/>
      <c r="Q723" s="4"/>
      <c r="R723" s="4"/>
      <c r="S723" s="4"/>
      <c r="T723" s="4"/>
      <c r="U723" s="4"/>
      <c r="V723" s="4"/>
      <c r="W723" s="4"/>
    </row>
    <row r="724" ht="15.75" customHeight="1">
      <c r="A724" s="13">
        <f t="shared" si="9"/>
        <v>721</v>
      </c>
      <c r="B724" s="18">
        <f>A724/'Orbit Info'!$G$10</f>
        <v>7.620479119</v>
      </c>
      <c r="C724" s="13">
        <f t="shared" si="2"/>
        <v>0</v>
      </c>
      <c r="D724" s="13">
        <f t="shared" si="3"/>
        <v>1</v>
      </c>
      <c r="E724" s="13">
        <f t="shared" si="4"/>
        <v>0</v>
      </c>
      <c r="F724" s="13">
        <f t="shared" si="5"/>
        <v>0</v>
      </c>
      <c r="G724" s="13">
        <f t="shared" si="6"/>
        <v>1</v>
      </c>
      <c r="H724" s="13">
        <f>'Orbit Info'!C723*((C724*$O$2)+(D724*$O$3)+(E724*$O$4)+(F724*$O$5))</f>
        <v>15.628032</v>
      </c>
      <c r="I724" s="13">
        <f t="shared" si="7"/>
        <v>8.62426</v>
      </c>
      <c r="J724" s="18">
        <f t="shared" si="8"/>
        <v>0.1167295333</v>
      </c>
      <c r="K724" s="18">
        <f t="shared" si="10"/>
        <v>88.2</v>
      </c>
      <c r="L724" s="4"/>
      <c r="M724" s="4"/>
      <c r="N724" s="4"/>
      <c r="O724" s="4"/>
      <c r="P724" s="4"/>
      <c r="Q724" s="4"/>
      <c r="R724" s="4"/>
      <c r="S724" s="4"/>
      <c r="T724" s="4"/>
      <c r="U724" s="4"/>
      <c r="V724" s="4"/>
      <c r="W724" s="4"/>
    </row>
    <row r="725" ht="15.75" customHeight="1">
      <c r="A725" s="13">
        <f t="shared" si="9"/>
        <v>722</v>
      </c>
      <c r="B725" s="18">
        <f>A725/'Orbit Info'!$G$10</f>
        <v>7.631048438</v>
      </c>
      <c r="C725" s="13">
        <f t="shared" si="2"/>
        <v>0</v>
      </c>
      <c r="D725" s="13">
        <f t="shared" si="3"/>
        <v>1</v>
      </c>
      <c r="E725" s="13">
        <f t="shared" si="4"/>
        <v>0</v>
      </c>
      <c r="F725" s="13">
        <f t="shared" si="5"/>
        <v>0</v>
      </c>
      <c r="G725" s="13">
        <f t="shared" si="6"/>
        <v>1</v>
      </c>
      <c r="H725" s="13">
        <f>'Orbit Info'!C724*((C725*$O$2)+(D725*$O$3)+(E725*$O$4)+(F725*$O$5))</f>
        <v>0</v>
      </c>
      <c r="I725" s="13">
        <f t="shared" si="7"/>
        <v>8.62426</v>
      </c>
      <c r="J725" s="18">
        <f t="shared" si="8"/>
        <v>-0.1437376667</v>
      </c>
      <c r="K725" s="18">
        <f t="shared" si="10"/>
        <v>88.05626233</v>
      </c>
      <c r="L725" s="4"/>
      <c r="M725" s="4"/>
      <c r="N725" s="4"/>
      <c r="O725" s="4"/>
      <c r="P725" s="4"/>
      <c r="Q725" s="4"/>
      <c r="R725" s="4"/>
      <c r="S725" s="4"/>
      <c r="T725" s="4"/>
      <c r="U725" s="4"/>
      <c r="V725" s="4"/>
      <c r="W725" s="4"/>
    </row>
    <row r="726" ht="15.75" customHeight="1">
      <c r="A726" s="13">
        <f t="shared" si="9"/>
        <v>723</v>
      </c>
      <c r="B726" s="18">
        <f>A726/'Orbit Info'!$G$10</f>
        <v>7.641617757</v>
      </c>
      <c r="C726" s="13">
        <f t="shared" si="2"/>
        <v>0</v>
      </c>
      <c r="D726" s="13">
        <f t="shared" si="3"/>
        <v>1</v>
      </c>
      <c r="E726" s="13">
        <f t="shared" si="4"/>
        <v>0</v>
      </c>
      <c r="F726" s="13">
        <f t="shared" si="5"/>
        <v>0</v>
      </c>
      <c r="G726" s="13">
        <f t="shared" si="6"/>
        <v>1</v>
      </c>
      <c r="H726" s="13">
        <f>'Orbit Info'!C725*((C726*$O$2)+(D726*$O$3)+(E726*$O$4)+(F726*$O$5))</f>
        <v>0</v>
      </c>
      <c r="I726" s="13">
        <f t="shared" si="7"/>
        <v>8.62426</v>
      </c>
      <c r="J726" s="18">
        <f t="shared" si="8"/>
        <v>-0.1437376667</v>
      </c>
      <c r="K726" s="18">
        <f t="shared" si="10"/>
        <v>87.91252467</v>
      </c>
      <c r="L726" s="4"/>
      <c r="M726" s="4"/>
      <c r="N726" s="4"/>
      <c r="O726" s="4"/>
      <c r="P726" s="4"/>
      <c r="Q726" s="4"/>
      <c r="R726" s="4"/>
      <c r="S726" s="4"/>
      <c r="T726" s="4"/>
      <c r="U726" s="4"/>
      <c r="V726" s="4"/>
      <c r="W726" s="4"/>
    </row>
    <row r="727" ht="15.75" customHeight="1">
      <c r="A727" s="13">
        <f t="shared" si="9"/>
        <v>724</v>
      </c>
      <c r="B727" s="18">
        <f>A727/'Orbit Info'!$G$10</f>
        <v>7.652187076</v>
      </c>
      <c r="C727" s="13">
        <f t="shared" si="2"/>
        <v>0</v>
      </c>
      <c r="D727" s="13">
        <f t="shared" si="3"/>
        <v>1</v>
      </c>
      <c r="E727" s="13">
        <f t="shared" si="4"/>
        <v>0</v>
      </c>
      <c r="F727" s="13">
        <f t="shared" si="5"/>
        <v>0</v>
      </c>
      <c r="G727" s="13">
        <f t="shared" si="6"/>
        <v>1</v>
      </c>
      <c r="H727" s="13">
        <f>'Orbit Info'!C726*((C727*$O$2)+(D727*$O$3)+(E727*$O$4)+(F727*$O$5))</f>
        <v>0</v>
      </c>
      <c r="I727" s="13">
        <f t="shared" si="7"/>
        <v>8.62426</v>
      </c>
      <c r="J727" s="18">
        <f t="shared" si="8"/>
        <v>-0.1437376667</v>
      </c>
      <c r="K727" s="18">
        <f t="shared" si="10"/>
        <v>87.768787</v>
      </c>
      <c r="L727" s="4"/>
      <c r="M727" s="4"/>
      <c r="N727" s="4"/>
      <c r="O727" s="4"/>
      <c r="P727" s="4"/>
      <c r="Q727" s="4"/>
      <c r="R727" s="4"/>
      <c r="S727" s="4"/>
      <c r="T727" s="4"/>
      <c r="U727" s="4"/>
      <c r="V727" s="4"/>
      <c r="W727" s="4"/>
    </row>
    <row r="728" ht="15.75" customHeight="1">
      <c r="A728" s="13">
        <f t="shared" si="9"/>
        <v>725</v>
      </c>
      <c r="B728" s="18">
        <f>A728/'Orbit Info'!$G$10</f>
        <v>7.662756395</v>
      </c>
      <c r="C728" s="13">
        <f t="shared" si="2"/>
        <v>0</v>
      </c>
      <c r="D728" s="13">
        <f t="shared" si="3"/>
        <v>1</v>
      </c>
      <c r="E728" s="13">
        <f t="shared" si="4"/>
        <v>0</v>
      </c>
      <c r="F728" s="13">
        <f t="shared" si="5"/>
        <v>0</v>
      </c>
      <c r="G728" s="13">
        <f t="shared" si="6"/>
        <v>1</v>
      </c>
      <c r="H728" s="13">
        <f>'Orbit Info'!C727*((C728*$O$2)+(D728*$O$3)+(E728*$O$4)+(F728*$O$5))</f>
        <v>0</v>
      </c>
      <c r="I728" s="13">
        <f t="shared" si="7"/>
        <v>8.62426</v>
      </c>
      <c r="J728" s="18">
        <f t="shared" si="8"/>
        <v>-0.1437376667</v>
      </c>
      <c r="K728" s="18">
        <f t="shared" si="10"/>
        <v>87.62504933</v>
      </c>
      <c r="L728" s="4"/>
      <c r="M728" s="4"/>
      <c r="N728" s="4"/>
      <c r="O728" s="4"/>
      <c r="P728" s="4"/>
      <c r="Q728" s="4"/>
      <c r="R728" s="4"/>
      <c r="S728" s="4"/>
      <c r="T728" s="4"/>
      <c r="U728" s="4"/>
      <c r="V728" s="4"/>
      <c r="W728" s="4"/>
    </row>
    <row r="729" ht="15.75" customHeight="1">
      <c r="A729" s="13">
        <f t="shared" si="9"/>
        <v>726</v>
      </c>
      <c r="B729" s="18">
        <f>A729/'Orbit Info'!$G$10</f>
        <v>7.673325714</v>
      </c>
      <c r="C729" s="13">
        <f t="shared" si="2"/>
        <v>0</v>
      </c>
      <c r="D729" s="13">
        <f t="shared" si="3"/>
        <v>1</v>
      </c>
      <c r="E729" s="13">
        <f t="shared" si="4"/>
        <v>0</v>
      </c>
      <c r="F729" s="13">
        <f t="shared" si="5"/>
        <v>0</v>
      </c>
      <c r="G729" s="13">
        <f t="shared" si="6"/>
        <v>1</v>
      </c>
      <c r="H729" s="13">
        <f>'Orbit Info'!C728*((C729*$O$2)+(D729*$O$3)+(E729*$O$4)+(F729*$O$5))</f>
        <v>0</v>
      </c>
      <c r="I729" s="13">
        <f t="shared" si="7"/>
        <v>8.62426</v>
      </c>
      <c r="J729" s="18">
        <f t="shared" si="8"/>
        <v>-0.1437376667</v>
      </c>
      <c r="K729" s="18">
        <f t="shared" si="10"/>
        <v>87.48131167</v>
      </c>
      <c r="L729" s="4"/>
      <c r="M729" s="4"/>
      <c r="N729" s="4"/>
      <c r="O729" s="4"/>
      <c r="P729" s="4"/>
      <c r="Q729" s="4"/>
      <c r="R729" s="4"/>
      <c r="S729" s="4"/>
      <c r="T729" s="4"/>
      <c r="U729" s="4"/>
      <c r="V729" s="4"/>
      <c r="W729" s="4"/>
    </row>
    <row r="730" ht="15.75" customHeight="1">
      <c r="A730" s="13">
        <f t="shared" si="9"/>
        <v>727</v>
      </c>
      <c r="B730" s="18">
        <f>A730/'Orbit Info'!$G$10</f>
        <v>7.683895034</v>
      </c>
      <c r="C730" s="13">
        <f t="shared" si="2"/>
        <v>0</v>
      </c>
      <c r="D730" s="13">
        <f t="shared" si="3"/>
        <v>1</v>
      </c>
      <c r="E730" s="13">
        <f t="shared" si="4"/>
        <v>0</v>
      </c>
      <c r="F730" s="13">
        <f t="shared" si="5"/>
        <v>0</v>
      </c>
      <c r="G730" s="13">
        <f t="shared" si="6"/>
        <v>1</v>
      </c>
      <c r="H730" s="13">
        <f>'Orbit Info'!C729*((C730*$O$2)+(D730*$O$3)+(E730*$O$4)+(F730*$O$5))</f>
        <v>0</v>
      </c>
      <c r="I730" s="13">
        <f t="shared" si="7"/>
        <v>8.62426</v>
      </c>
      <c r="J730" s="18">
        <f t="shared" si="8"/>
        <v>-0.1437376667</v>
      </c>
      <c r="K730" s="18">
        <f t="shared" si="10"/>
        <v>87.337574</v>
      </c>
      <c r="L730" s="4"/>
      <c r="M730" s="4"/>
      <c r="N730" s="4"/>
      <c r="O730" s="4"/>
      <c r="P730" s="4"/>
      <c r="Q730" s="4"/>
      <c r="R730" s="4"/>
      <c r="S730" s="4"/>
      <c r="T730" s="4"/>
      <c r="U730" s="4"/>
      <c r="V730" s="4"/>
      <c r="W730" s="4"/>
    </row>
    <row r="731" ht="15.75" customHeight="1">
      <c r="A731" s="13">
        <f t="shared" si="9"/>
        <v>728</v>
      </c>
      <c r="B731" s="18">
        <f>A731/'Orbit Info'!$G$10</f>
        <v>7.694464353</v>
      </c>
      <c r="C731" s="13">
        <f t="shared" si="2"/>
        <v>0</v>
      </c>
      <c r="D731" s="13">
        <f t="shared" si="3"/>
        <v>1</v>
      </c>
      <c r="E731" s="13">
        <f t="shared" si="4"/>
        <v>0</v>
      </c>
      <c r="F731" s="13">
        <f t="shared" si="5"/>
        <v>0</v>
      </c>
      <c r="G731" s="13">
        <f t="shared" si="6"/>
        <v>1</v>
      </c>
      <c r="H731" s="13">
        <f>'Orbit Info'!C730*((C731*$O$2)+(D731*$O$3)+(E731*$O$4)+(F731*$O$5))</f>
        <v>0</v>
      </c>
      <c r="I731" s="13">
        <f t="shared" si="7"/>
        <v>8.62426</v>
      </c>
      <c r="J731" s="18">
        <f t="shared" si="8"/>
        <v>-0.1437376667</v>
      </c>
      <c r="K731" s="18">
        <f t="shared" si="10"/>
        <v>87.19383633</v>
      </c>
      <c r="L731" s="4"/>
      <c r="M731" s="4"/>
      <c r="N731" s="4"/>
      <c r="O731" s="4"/>
      <c r="P731" s="4"/>
      <c r="Q731" s="4"/>
      <c r="R731" s="4"/>
      <c r="S731" s="4"/>
      <c r="T731" s="4"/>
      <c r="U731" s="4"/>
      <c r="V731" s="4"/>
      <c r="W731" s="4"/>
    </row>
    <row r="732" ht="15.75" customHeight="1">
      <c r="A732" s="13">
        <f t="shared" si="9"/>
        <v>729</v>
      </c>
      <c r="B732" s="18">
        <f>A732/'Orbit Info'!$G$10</f>
        <v>7.705033672</v>
      </c>
      <c r="C732" s="13">
        <f t="shared" si="2"/>
        <v>0</v>
      </c>
      <c r="D732" s="13">
        <f t="shared" si="3"/>
        <v>1</v>
      </c>
      <c r="E732" s="13">
        <f t="shared" si="4"/>
        <v>0</v>
      </c>
      <c r="F732" s="13">
        <f t="shared" si="5"/>
        <v>0</v>
      </c>
      <c r="G732" s="13">
        <f t="shared" si="6"/>
        <v>1</v>
      </c>
      <c r="H732" s="13">
        <f>'Orbit Info'!C731*((C732*$O$2)+(D732*$O$3)+(E732*$O$4)+(F732*$O$5))</f>
        <v>0</v>
      </c>
      <c r="I732" s="13">
        <f t="shared" si="7"/>
        <v>8.62426</v>
      </c>
      <c r="J732" s="18">
        <f t="shared" si="8"/>
        <v>-0.1437376667</v>
      </c>
      <c r="K732" s="18">
        <f t="shared" si="10"/>
        <v>87.05009867</v>
      </c>
      <c r="L732" s="4"/>
      <c r="M732" s="4"/>
      <c r="N732" s="4"/>
      <c r="O732" s="4"/>
      <c r="P732" s="4"/>
      <c r="Q732" s="4"/>
      <c r="R732" s="4"/>
      <c r="S732" s="4"/>
      <c r="T732" s="4"/>
      <c r="U732" s="4"/>
      <c r="V732" s="4"/>
      <c r="W732" s="4"/>
    </row>
    <row r="733" ht="15.75" customHeight="1">
      <c r="A733" s="13">
        <f t="shared" si="9"/>
        <v>730</v>
      </c>
      <c r="B733" s="18">
        <f>A733/'Orbit Info'!$G$10</f>
        <v>7.715602991</v>
      </c>
      <c r="C733" s="13">
        <f t="shared" si="2"/>
        <v>0</v>
      </c>
      <c r="D733" s="13">
        <f t="shared" si="3"/>
        <v>1</v>
      </c>
      <c r="E733" s="13">
        <f t="shared" si="4"/>
        <v>0</v>
      </c>
      <c r="F733" s="13">
        <f t="shared" si="5"/>
        <v>0</v>
      </c>
      <c r="G733" s="13">
        <f t="shared" si="6"/>
        <v>1</v>
      </c>
      <c r="H733" s="13">
        <f>'Orbit Info'!C732*((C733*$O$2)+(D733*$O$3)+(E733*$O$4)+(F733*$O$5))</f>
        <v>0</v>
      </c>
      <c r="I733" s="13">
        <f t="shared" si="7"/>
        <v>8.62426</v>
      </c>
      <c r="J733" s="18">
        <f t="shared" si="8"/>
        <v>-0.1437376667</v>
      </c>
      <c r="K733" s="18">
        <f t="shared" si="10"/>
        <v>86.906361</v>
      </c>
      <c r="L733" s="4"/>
      <c r="M733" s="4"/>
      <c r="N733" s="4"/>
      <c r="O733" s="4"/>
      <c r="P733" s="4"/>
      <c r="Q733" s="4"/>
      <c r="R733" s="4"/>
      <c r="S733" s="4"/>
      <c r="T733" s="4"/>
      <c r="U733" s="4"/>
      <c r="V733" s="4"/>
      <c r="W733" s="4"/>
    </row>
    <row r="734" ht="15.75" customHeight="1">
      <c r="A734" s="13">
        <f t="shared" si="9"/>
        <v>731</v>
      </c>
      <c r="B734" s="18">
        <f>A734/'Orbit Info'!$G$10</f>
        <v>7.72617231</v>
      </c>
      <c r="C734" s="13">
        <f t="shared" si="2"/>
        <v>0</v>
      </c>
      <c r="D734" s="13">
        <f t="shared" si="3"/>
        <v>1</v>
      </c>
      <c r="E734" s="13">
        <f t="shared" si="4"/>
        <v>0</v>
      </c>
      <c r="F734" s="13">
        <f t="shared" si="5"/>
        <v>0</v>
      </c>
      <c r="G734" s="13">
        <f t="shared" si="6"/>
        <v>1</v>
      </c>
      <c r="H734" s="13">
        <f>'Orbit Info'!C733*((C734*$O$2)+(D734*$O$3)+(E734*$O$4)+(F734*$O$5))</f>
        <v>0</v>
      </c>
      <c r="I734" s="13">
        <f t="shared" si="7"/>
        <v>8.62426</v>
      </c>
      <c r="J734" s="18">
        <f t="shared" si="8"/>
        <v>-0.1437376667</v>
      </c>
      <c r="K734" s="18">
        <f t="shared" si="10"/>
        <v>86.76262333</v>
      </c>
      <c r="L734" s="4"/>
      <c r="M734" s="4"/>
      <c r="N734" s="4"/>
      <c r="O734" s="4"/>
      <c r="P734" s="4"/>
      <c r="Q734" s="4"/>
      <c r="R734" s="4"/>
      <c r="S734" s="4"/>
      <c r="T734" s="4"/>
      <c r="U734" s="4"/>
      <c r="V734" s="4"/>
      <c r="W734" s="4"/>
    </row>
    <row r="735" ht="15.75" customHeight="1">
      <c r="A735" s="13">
        <f t="shared" si="9"/>
        <v>732</v>
      </c>
      <c r="B735" s="18">
        <f>A735/'Orbit Info'!$G$10</f>
        <v>7.736741629</v>
      </c>
      <c r="C735" s="13">
        <f t="shared" si="2"/>
        <v>0</v>
      </c>
      <c r="D735" s="13">
        <f t="shared" si="3"/>
        <v>1</v>
      </c>
      <c r="E735" s="13">
        <f t="shared" si="4"/>
        <v>0</v>
      </c>
      <c r="F735" s="13">
        <f t="shared" si="5"/>
        <v>0</v>
      </c>
      <c r="G735" s="13">
        <f t="shared" si="6"/>
        <v>1</v>
      </c>
      <c r="H735" s="13">
        <f>'Orbit Info'!C734*((C735*$O$2)+(D735*$O$3)+(E735*$O$4)+(F735*$O$5))</f>
        <v>0</v>
      </c>
      <c r="I735" s="13">
        <f t="shared" si="7"/>
        <v>8.62426</v>
      </c>
      <c r="J735" s="18">
        <f t="shared" si="8"/>
        <v>-0.1437376667</v>
      </c>
      <c r="K735" s="18">
        <f t="shared" si="10"/>
        <v>86.61888567</v>
      </c>
      <c r="L735" s="4"/>
      <c r="M735" s="4"/>
      <c r="N735" s="4"/>
      <c r="O735" s="4"/>
      <c r="P735" s="4"/>
      <c r="Q735" s="4"/>
      <c r="R735" s="4"/>
      <c r="S735" s="4"/>
      <c r="T735" s="4"/>
      <c r="U735" s="4"/>
      <c r="V735" s="4"/>
      <c r="W735" s="4"/>
    </row>
    <row r="736" ht="15.75" customHeight="1">
      <c r="A736" s="13">
        <f t="shared" si="9"/>
        <v>733</v>
      </c>
      <c r="B736" s="18">
        <f>A736/'Orbit Info'!$G$10</f>
        <v>7.747310949</v>
      </c>
      <c r="C736" s="13">
        <f t="shared" si="2"/>
        <v>0</v>
      </c>
      <c r="D736" s="13">
        <f t="shared" si="3"/>
        <v>1</v>
      </c>
      <c r="E736" s="13">
        <f t="shared" si="4"/>
        <v>0</v>
      </c>
      <c r="F736" s="13">
        <f t="shared" si="5"/>
        <v>0</v>
      </c>
      <c r="G736" s="13">
        <f t="shared" si="6"/>
        <v>1</v>
      </c>
      <c r="H736" s="13">
        <f>'Orbit Info'!C735*((C736*$O$2)+(D736*$O$3)+(E736*$O$4)+(F736*$O$5))</f>
        <v>0</v>
      </c>
      <c r="I736" s="13">
        <f t="shared" si="7"/>
        <v>8.62426</v>
      </c>
      <c r="J736" s="18">
        <f t="shared" si="8"/>
        <v>-0.1437376667</v>
      </c>
      <c r="K736" s="18">
        <f t="shared" si="10"/>
        <v>86.475148</v>
      </c>
      <c r="L736" s="4"/>
      <c r="M736" s="4"/>
      <c r="N736" s="4"/>
      <c r="O736" s="4"/>
      <c r="P736" s="4"/>
      <c r="Q736" s="4"/>
      <c r="R736" s="4"/>
      <c r="S736" s="4"/>
      <c r="T736" s="4"/>
      <c r="U736" s="4"/>
      <c r="V736" s="4"/>
      <c r="W736" s="4"/>
    </row>
    <row r="737" ht="15.75" customHeight="1">
      <c r="A737" s="13">
        <f t="shared" si="9"/>
        <v>734</v>
      </c>
      <c r="B737" s="18">
        <f>A737/'Orbit Info'!$G$10</f>
        <v>7.757880268</v>
      </c>
      <c r="C737" s="13">
        <f t="shared" si="2"/>
        <v>0</v>
      </c>
      <c r="D737" s="13">
        <f t="shared" si="3"/>
        <v>1</v>
      </c>
      <c r="E737" s="13">
        <f t="shared" si="4"/>
        <v>0</v>
      </c>
      <c r="F737" s="13">
        <f t="shared" si="5"/>
        <v>0</v>
      </c>
      <c r="G737" s="13">
        <f t="shared" si="6"/>
        <v>1</v>
      </c>
      <c r="H737" s="13">
        <f>'Orbit Info'!C736*((C737*$O$2)+(D737*$O$3)+(E737*$O$4)+(F737*$O$5))</f>
        <v>0</v>
      </c>
      <c r="I737" s="13">
        <f t="shared" si="7"/>
        <v>8.62426</v>
      </c>
      <c r="J737" s="18">
        <f t="shared" si="8"/>
        <v>-0.1437376667</v>
      </c>
      <c r="K737" s="18">
        <f t="shared" si="10"/>
        <v>86.33141033</v>
      </c>
      <c r="L737" s="4"/>
      <c r="M737" s="4"/>
      <c r="N737" s="4"/>
      <c r="O737" s="4"/>
      <c r="P737" s="4"/>
      <c r="Q737" s="4"/>
      <c r="R737" s="4"/>
      <c r="S737" s="4"/>
      <c r="T737" s="4"/>
      <c r="U737" s="4"/>
      <c r="V737" s="4"/>
      <c r="W737" s="4"/>
    </row>
    <row r="738" ht="15.75" customHeight="1">
      <c r="A738" s="13">
        <f t="shared" si="9"/>
        <v>735</v>
      </c>
      <c r="B738" s="18">
        <f>A738/'Orbit Info'!$G$10</f>
        <v>7.768449587</v>
      </c>
      <c r="C738" s="13">
        <f t="shared" si="2"/>
        <v>0</v>
      </c>
      <c r="D738" s="13">
        <f t="shared" si="3"/>
        <v>1</v>
      </c>
      <c r="E738" s="13">
        <f t="shared" si="4"/>
        <v>0</v>
      </c>
      <c r="F738" s="13">
        <f t="shared" si="5"/>
        <v>0</v>
      </c>
      <c r="G738" s="13">
        <f t="shared" si="6"/>
        <v>1</v>
      </c>
      <c r="H738" s="13">
        <f>'Orbit Info'!C737*((C738*$O$2)+(D738*$O$3)+(E738*$O$4)+(F738*$O$5))</f>
        <v>0</v>
      </c>
      <c r="I738" s="13">
        <f t="shared" si="7"/>
        <v>8.62426</v>
      </c>
      <c r="J738" s="18">
        <f t="shared" si="8"/>
        <v>-0.1437376667</v>
      </c>
      <c r="K738" s="18">
        <f t="shared" si="10"/>
        <v>86.18767267</v>
      </c>
      <c r="L738" s="4"/>
      <c r="M738" s="4"/>
      <c r="N738" s="4"/>
      <c r="O738" s="4"/>
      <c r="P738" s="4"/>
      <c r="Q738" s="4"/>
      <c r="R738" s="4"/>
      <c r="S738" s="4"/>
      <c r="T738" s="4"/>
      <c r="U738" s="4"/>
      <c r="V738" s="4"/>
      <c r="W738" s="4"/>
    </row>
    <row r="739" ht="15.75" customHeight="1">
      <c r="A739" s="13">
        <f t="shared" si="9"/>
        <v>736</v>
      </c>
      <c r="B739" s="18">
        <f>A739/'Orbit Info'!$G$10</f>
        <v>7.779018906</v>
      </c>
      <c r="C739" s="13">
        <f t="shared" si="2"/>
        <v>0</v>
      </c>
      <c r="D739" s="13">
        <f t="shared" si="3"/>
        <v>1</v>
      </c>
      <c r="E739" s="13">
        <f t="shared" si="4"/>
        <v>0</v>
      </c>
      <c r="F739" s="13">
        <f t="shared" si="5"/>
        <v>0</v>
      </c>
      <c r="G739" s="13">
        <f t="shared" si="6"/>
        <v>1</v>
      </c>
      <c r="H739" s="13">
        <f>'Orbit Info'!C738*((C739*$O$2)+(D739*$O$3)+(E739*$O$4)+(F739*$O$5))</f>
        <v>0</v>
      </c>
      <c r="I739" s="13">
        <f t="shared" si="7"/>
        <v>8.62426</v>
      </c>
      <c r="J739" s="18">
        <f t="shared" si="8"/>
        <v>-0.1437376667</v>
      </c>
      <c r="K739" s="18">
        <f t="shared" si="10"/>
        <v>86.043935</v>
      </c>
      <c r="L739" s="4"/>
      <c r="M739" s="4"/>
      <c r="N739" s="4"/>
      <c r="O739" s="4"/>
      <c r="P739" s="4"/>
      <c r="Q739" s="4"/>
      <c r="R739" s="4"/>
      <c r="S739" s="4"/>
      <c r="T739" s="4"/>
      <c r="U739" s="4"/>
      <c r="V739" s="4"/>
      <c r="W739" s="4"/>
    </row>
    <row r="740" ht="15.75" customHeight="1">
      <c r="A740" s="13">
        <f t="shared" si="9"/>
        <v>737</v>
      </c>
      <c r="B740" s="18">
        <f>A740/'Orbit Info'!$G$10</f>
        <v>7.789588225</v>
      </c>
      <c r="C740" s="13">
        <f t="shared" si="2"/>
        <v>0</v>
      </c>
      <c r="D740" s="13">
        <f t="shared" si="3"/>
        <v>1</v>
      </c>
      <c r="E740" s="13">
        <f t="shared" si="4"/>
        <v>0</v>
      </c>
      <c r="F740" s="13">
        <f t="shared" si="5"/>
        <v>0</v>
      </c>
      <c r="G740" s="13">
        <f t="shared" si="6"/>
        <v>1</v>
      </c>
      <c r="H740" s="13">
        <f>'Orbit Info'!C739*((C740*$O$2)+(D740*$O$3)+(E740*$O$4)+(F740*$O$5))</f>
        <v>0</v>
      </c>
      <c r="I740" s="13">
        <f t="shared" si="7"/>
        <v>8.62426</v>
      </c>
      <c r="J740" s="18">
        <f t="shared" si="8"/>
        <v>-0.1437376667</v>
      </c>
      <c r="K740" s="18">
        <f t="shared" si="10"/>
        <v>85.90019733</v>
      </c>
      <c r="L740" s="4"/>
      <c r="M740" s="4"/>
      <c r="N740" s="4"/>
      <c r="O740" s="4"/>
      <c r="P740" s="4"/>
      <c r="Q740" s="4"/>
      <c r="R740" s="4"/>
      <c r="S740" s="4"/>
      <c r="T740" s="4"/>
      <c r="U740" s="4"/>
      <c r="V740" s="4"/>
      <c r="W740" s="4"/>
    </row>
    <row r="741" ht="15.75" customHeight="1">
      <c r="A741" s="13">
        <f t="shared" si="9"/>
        <v>738</v>
      </c>
      <c r="B741" s="18">
        <f>A741/'Orbit Info'!$G$10</f>
        <v>7.800157544</v>
      </c>
      <c r="C741" s="13">
        <f t="shared" si="2"/>
        <v>0</v>
      </c>
      <c r="D741" s="13">
        <f t="shared" si="3"/>
        <v>1</v>
      </c>
      <c r="E741" s="13">
        <f t="shared" si="4"/>
        <v>0</v>
      </c>
      <c r="F741" s="13">
        <f t="shared" si="5"/>
        <v>0</v>
      </c>
      <c r="G741" s="13">
        <f t="shared" si="6"/>
        <v>1</v>
      </c>
      <c r="H741" s="13">
        <f>'Orbit Info'!C740*((C741*$O$2)+(D741*$O$3)+(E741*$O$4)+(F741*$O$5))</f>
        <v>0</v>
      </c>
      <c r="I741" s="13">
        <f t="shared" si="7"/>
        <v>8.62426</v>
      </c>
      <c r="J741" s="18">
        <f t="shared" si="8"/>
        <v>-0.1437376667</v>
      </c>
      <c r="K741" s="18">
        <f t="shared" si="10"/>
        <v>85.75645967</v>
      </c>
      <c r="L741" s="4"/>
      <c r="M741" s="4"/>
      <c r="N741" s="4"/>
      <c r="O741" s="4"/>
      <c r="P741" s="4"/>
      <c r="Q741" s="4"/>
      <c r="R741" s="4"/>
      <c r="S741" s="4"/>
      <c r="T741" s="4"/>
      <c r="U741" s="4"/>
      <c r="V741" s="4"/>
      <c r="W741" s="4"/>
    </row>
    <row r="742" ht="15.75" customHeight="1">
      <c r="A742" s="13">
        <f t="shared" si="9"/>
        <v>739</v>
      </c>
      <c r="B742" s="18">
        <f>A742/'Orbit Info'!$G$10</f>
        <v>7.810726864</v>
      </c>
      <c r="C742" s="13">
        <f t="shared" si="2"/>
        <v>0</v>
      </c>
      <c r="D742" s="13">
        <f t="shared" si="3"/>
        <v>1</v>
      </c>
      <c r="E742" s="13">
        <f t="shared" si="4"/>
        <v>0</v>
      </c>
      <c r="F742" s="13">
        <f t="shared" si="5"/>
        <v>0</v>
      </c>
      <c r="G742" s="13">
        <f t="shared" si="6"/>
        <v>1</v>
      </c>
      <c r="H742" s="13">
        <f>'Orbit Info'!C741*((C742*$O$2)+(D742*$O$3)+(E742*$O$4)+(F742*$O$5))</f>
        <v>0</v>
      </c>
      <c r="I742" s="13">
        <f t="shared" si="7"/>
        <v>8.62426</v>
      </c>
      <c r="J742" s="18">
        <f t="shared" si="8"/>
        <v>-0.1437376667</v>
      </c>
      <c r="K742" s="18">
        <f t="shared" si="10"/>
        <v>85.612722</v>
      </c>
      <c r="L742" s="4"/>
      <c r="M742" s="4"/>
      <c r="N742" s="4"/>
      <c r="O742" s="4"/>
      <c r="P742" s="4"/>
      <c r="Q742" s="4"/>
      <c r="R742" s="4"/>
      <c r="S742" s="4"/>
      <c r="T742" s="4"/>
      <c r="U742" s="4"/>
      <c r="V742" s="4"/>
      <c r="W742" s="4"/>
    </row>
    <row r="743" ht="15.75" customHeight="1">
      <c r="A743" s="13">
        <f t="shared" si="9"/>
        <v>740</v>
      </c>
      <c r="B743" s="18">
        <f>A743/'Orbit Info'!$G$10</f>
        <v>7.821296183</v>
      </c>
      <c r="C743" s="13">
        <f t="shared" si="2"/>
        <v>0</v>
      </c>
      <c r="D743" s="13">
        <f t="shared" si="3"/>
        <v>1</v>
      </c>
      <c r="E743" s="13">
        <f t="shared" si="4"/>
        <v>0</v>
      </c>
      <c r="F743" s="13">
        <f t="shared" si="5"/>
        <v>0</v>
      </c>
      <c r="G743" s="13">
        <f t="shared" si="6"/>
        <v>1</v>
      </c>
      <c r="H743" s="13">
        <f>'Orbit Info'!C742*((C743*$O$2)+(D743*$O$3)+(E743*$O$4)+(F743*$O$5))</f>
        <v>0</v>
      </c>
      <c r="I743" s="13">
        <f t="shared" si="7"/>
        <v>8.62426</v>
      </c>
      <c r="J743" s="18">
        <f t="shared" si="8"/>
        <v>-0.1437376667</v>
      </c>
      <c r="K743" s="18">
        <f t="shared" si="10"/>
        <v>85.46898433</v>
      </c>
      <c r="L743" s="4"/>
      <c r="M743" s="4"/>
      <c r="N743" s="4"/>
      <c r="O743" s="4"/>
      <c r="P743" s="4"/>
      <c r="Q743" s="4"/>
      <c r="R743" s="4"/>
      <c r="S743" s="4"/>
      <c r="T743" s="4"/>
      <c r="U743" s="4"/>
      <c r="V743" s="4"/>
      <c r="W743" s="4"/>
    </row>
    <row r="744" ht="15.75" customHeight="1">
      <c r="A744" s="13">
        <f t="shared" si="9"/>
        <v>741</v>
      </c>
      <c r="B744" s="18">
        <f>A744/'Orbit Info'!$G$10</f>
        <v>7.831865502</v>
      </c>
      <c r="C744" s="13">
        <f t="shared" si="2"/>
        <v>0</v>
      </c>
      <c r="D744" s="13">
        <f t="shared" si="3"/>
        <v>1</v>
      </c>
      <c r="E744" s="13">
        <f t="shared" si="4"/>
        <v>0</v>
      </c>
      <c r="F744" s="13">
        <f t="shared" si="5"/>
        <v>0</v>
      </c>
      <c r="G744" s="13">
        <f t="shared" si="6"/>
        <v>1</v>
      </c>
      <c r="H744" s="13">
        <f>'Orbit Info'!C743*((C744*$O$2)+(D744*$O$3)+(E744*$O$4)+(F744*$O$5))</f>
        <v>0</v>
      </c>
      <c r="I744" s="13">
        <f t="shared" si="7"/>
        <v>8.62426</v>
      </c>
      <c r="J744" s="18">
        <f t="shared" si="8"/>
        <v>-0.1437376667</v>
      </c>
      <c r="K744" s="18">
        <f t="shared" si="10"/>
        <v>85.32524667</v>
      </c>
      <c r="L744" s="4"/>
      <c r="M744" s="4"/>
      <c r="N744" s="4"/>
      <c r="O744" s="4"/>
      <c r="P744" s="4"/>
      <c r="Q744" s="4"/>
      <c r="R744" s="4"/>
      <c r="S744" s="4"/>
      <c r="T744" s="4"/>
      <c r="U744" s="4"/>
      <c r="V744" s="4"/>
      <c r="W744" s="4"/>
    </row>
    <row r="745" ht="15.75" customHeight="1">
      <c r="A745" s="13">
        <f t="shared" si="9"/>
        <v>742</v>
      </c>
      <c r="B745" s="18">
        <f>A745/'Orbit Info'!$G$10</f>
        <v>7.842434821</v>
      </c>
      <c r="C745" s="13">
        <f t="shared" si="2"/>
        <v>0</v>
      </c>
      <c r="D745" s="13">
        <f t="shared" si="3"/>
        <v>1</v>
      </c>
      <c r="E745" s="13">
        <f t="shared" si="4"/>
        <v>0</v>
      </c>
      <c r="F745" s="13">
        <f t="shared" si="5"/>
        <v>0</v>
      </c>
      <c r="G745" s="13">
        <f t="shared" si="6"/>
        <v>1</v>
      </c>
      <c r="H745" s="13">
        <f>'Orbit Info'!C744*((C745*$O$2)+(D745*$O$3)+(E745*$O$4)+(F745*$O$5))</f>
        <v>0</v>
      </c>
      <c r="I745" s="13">
        <f t="shared" si="7"/>
        <v>8.62426</v>
      </c>
      <c r="J745" s="18">
        <f t="shared" si="8"/>
        <v>-0.1437376667</v>
      </c>
      <c r="K745" s="18">
        <f t="shared" si="10"/>
        <v>85.181509</v>
      </c>
      <c r="L745" s="4"/>
      <c r="M745" s="4"/>
      <c r="N745" s="4"/>
      <c r="O745" s="4"/>
      <c r="P745" s="4"/>
      <c r="Q745" s="4"/>
      <c r="R745" s="4"/>
      <c r="S745" s="4"/>
      <c r="T745" s="4"/>
      <c r="U745" s="4"/>
      <c r="V745" s="4"/>
      <c r="W745" s="4"/>
    </row>
    <row r="746" ht="15.75" customHeight="1">
      <c r="A746" s="13">
        <f t="shared" si="9"/>
        <v>743</v>
      </c>
      <c r="B746" s="18">
        <f>A746/'Orbit Info'!$G$10</f>
        <v>7.85300414</v>
      </c>
      <c r="C746" s="13">
        <f t="shared" si="2"/>
        <v>0</v>
      </c>
      <c r="D746" s="13">
        <f t="shared" si="3"/>
        <v>1</v>
      </c>
      <c r="E746" s="13">
        <f t="shared" si="4"/>
        <v>0</v>
      </c>
      <c r="F746" s="13">
        <f t="shared" si="5"/>
        <v>0</v>
      </c>
      <c r="G746" s="13">
        <f t="shared" si="6"/>
        <v>1</v>
      </c>
      <c r="H746" s="13">
        <f>'Orbit Info'!C745*((C746*$O$2)+(D746*$O$3)+(E746*$O$4)+(F746*$O$5))</f>
        <v>0</v>
      </c>
      <c r="I746" s="13">
        <f t="shared" si="7"/>
        <v>8.62426</v>
      </c>
      <c r="J746" s="18">
        <f t="shared" si="8"/>
        <v>-0.1437376667</v>
      </c>
      <c r="K746" s="18">
        <f t="shared" si="10"/>
        <v>85.03777133</v>
      </c>
      <c r="L746" s="4"/>
      <c r="M746" s="4"/>
      <c r="N746" s="4"/>
      <c r="O746" s="4"/>
      <c r="P746" s="4"/>
      <c r="Q746" s="4"/>
      <c r="R746" s="4"/>
      <c r="S746" s="4"/>
      <c r="T746" s="4"/>
      <c r="U746" s="4"/>
      <c r="V746" s="4"/>
      <c r="W746" s="4"/>
    </row>
    <row r="747" ht="15.75" customHeight="1">
      <c r="A747" s="13">
        <f t="shared" si="9"/>
        <v>744</v>
      </c>
      <c r="B747" s="18">
        <f>A747/'Orbit Info'!$G$10</f>
        <v>7.863573459</v>
      </c>
      <c r="C747" s="13">
        <f t="shared" si="2"/>
        <v>0</v>
      </c>
      <c r="D747" s="13">
        <f t="shared" si="3"/>
        <v>1</v>
      </c>
      <c r="E747" s="13">
        <f t="shared" si="4"/>
        <v>0</v>
      </c>
      <c r="F747" s="13">
        <f t="shared" si="5"/>
        <v>0</v>
      </c>
      <c r="G747" s="13">
        <f t="shared" si="6"/>
        <v>1</v>
      </c>
      <c r="H747" s="13">
        <f>'Orbit Info'!C746*((C747*$O$2)+(D747*$O$3)+(E747*$O$4)+(F747*$O$5))</f>
        <v>0</v>
      </c>
      <c r="I747" s="13">
        <f t="shared" si="7"/>
        <v>8.62426</v>
      </c>
      <c r="J747" s="18">
        <f t="shared" si="8"/>
        <v>-0.1437376667</v>
      </c>
      <c r="K747" s="18">
        <f t="shared" si="10"/>
        <v>84.89403367</v>
      </c>
      <c r="L747" s="4"/>
      <c r="M747" s="4"/>
      <c r="N747" s="4"/>
      <c r="O747" s="4"/>
      <c r="P747" s="4"/>
      <c r="Q747" s="4"/>
      <c r="R747" s="4"/>
      <c r="S747" s="4"/>
      <c r="T747" s="4"/>
      <c r="U747" s="4"/>
      <c r="V747" s="4"/>
      <c r="W747" s="4"/>
    </row>
    <row r="748" ht="15.75" customHeight="1">
      <c r="A748" s="13">
        <f t="shared" si="9"/>
        <v>745</v>
      </c>
      <c r="B748" s="18">
        <f>A748/'Orbit Info'!$G$10</f>
        <v>7.874142779</v>
      </c>
      <c r="C748" s="13">
        <f t="shared" si="2"/>
        <v>0</v>
      </c>
      <c r="D748" s="13">
        <f t="shared" si="3"/>
        <v>1</v>
      </c>
      <c r="E748" s="13">
        <f t="shared" si="4"/>
        <v>0</v>
      </c>
      <c r="F748" s="13">
        <f t="shared" si="5"/>
        <v>0</v>
      </c>
      <c r="G748" s="13">
        <f t="shared" si="6"/>
        <v>1</v>
      </c>
      <c r="H748" s="13">
        <f>'Orbit Info'!C747*((C748*$O$2)+(D748*$O$3)+(E748*$O$4)+(F748*$O$5))</f>
        <v>0</v>
      </c>
      <c r="I748" s="13">
        <f t="shared" si="7"/>
        <v>8.62426</v>
      </c>
      <c r="J748" s="18">
        <f t="shared" si="8"/>
        <v>-0.1437376667</v>
      </c>
      <c r="K748" s="18">
        <f t="shared" si="10"/>
        <v>84.750296</v>
      </c>
      <c r="L748" s="4"/>
      <c r="M748" s="4"/>
      <c r="N748" s="4"/>
      <c r="O748" s="4"/>
      <c r="P748" s="4"/>
      <c r="Q748" s="4"/>
      <c r="R748" s="4"/>
      <c r="S748" s="4"/>
      <c r="T748" s="4"/>
      <c r="U748" s="4"/>
      <c r="V748" s="4"/>
      <c r="W748" s="4"/>
    </row>
    <row r="749" ht="15.75" customHeight="1">
      <c r="A749" s="13">
        <f t="shared" si="9"/>
        <v>746</v>
      </c>
      <c r="B749" s="18">
        <f>A749/'Orbit Info'!$G$10</f>
        <v>7.884712098</v>
      </c>
      <c r="C749" s="13">
        <f t="shared" si="2"/>
        <v>0</v>
      </c>
      <c r="D749" s="13">
        <f t="shared" si="3"/>
        <v>1</v>
      </c>
      <c r="E749" s="13">
        <f t="shared" si="4"/>
        <v>0</v>
      </c>
      <c r="F749" s="13">
        <f t="shared" si="5"/>
        <v>0</v>
      </c>
      <c r="G749" s="13">
        <f t="shared" si="6"/>
        <v>1</v>
      </c>
      <c r="H749" s="13">
        <f>'Orbit Info'!C748*((C749*$O$2)+(D749*$O$3)+(E749*$O$4)+(F749*$O$5))</f>
        <v>0</v>
      </c>
      <c r="I749" s="13">
        <f t="shared" si="7"/>
        <v>8.62426</v>
      </c>
      <c r="J749" s="18">
        <f t="shared" si="8"/>
        <v>-0.1437376667</v>
      </c>
      <c r="K749" s="18">
        <f t="shared" si="10"/>
        <v>84.60655833</v>
      </c>
      <c r="L749" s="4"/>
      <c r="M749" s="4"/>
      <c r="N749" s="4"/>
      <c r="O749" s="4"/>
      <c r="P749" s="4"/>
      <c r="Q749" s="4"/>
      <c r="R749" s="4"/>
      <c r="S749" s="4"/>
      <c r="T749" s="4"/>
      <c r="U749" s="4"/>
      <c r="V749" s="4"/>
      <c r="W749" s="4"/>
    </row>
    <row r="750" ht="15.75" customHeight="1">
      <c r="A750" s="13">
        <f t="shared" si="9"/>
        <v>747</v>
      </c>
      <c r="B750" s="18">
        <f>A750/'Orbit Info'!$G$10</f>
        <v>7.895281417</v>
      </c>
      <c r="C750" s="13">
        <f t="shared" si="2"/>
        <v>0</v>
      </c>
      <c r="D750" s="13">
        <f t="shared" si="3"/>
        <v>1</v>
      </c>
      <c r="E750" s="13">
        <f t="shared" si="4"/>
        <v>0</v>
      </c>
      <c r="F750" s="13">
        <f t="shared" si="5"/>
        <v>0</v>
      </c>
      <c r="G750" s="13">
        <f t="shared" si="6"/>
        <v>1</v>
      </c>
      <c r="H750" s="13">
        <f>'Orbit Info'!C749*((C750*$O$2)+(D750*$O$3)+(E750*$O$4)+(F750*$O$5))</f>
        <v>0</v>
      </c>
      <c r="I750" s="13">
        <f t="shared" si="7"/>
        <v>8.62426</v>
      </c>
      <c r="J750" s="18">
        <f t="shared" si="8"/>
        <v>-0.1437376667</v>
      </c>
      <c r="K750" s="18">
        <f t="shared" si="10"/>
        <v>84.46282067</v>
      </c>
      <c r="L750" s="4"/>
      <c r="M750" s="4"/>
      <c r="N750" s="4"/>
      <c r="O750" s="4"/>
      <c r="P750" s="4"/>
      <c r="Q750" s="4"/>
      <c r="R750" s="4"/>
      <c r="S750" s="4"/>
      <c r="T750" s="4"/>
      <c r="U750" s="4"/>
      <c r="V750" s="4"/>
      <c r="W750" s="4"/>
    </row>
    <row r="751" ht="15.75" customHeight="1">
      <c r="A751" s="13">
        <f t="shared" si="9"/>
        <v>748</v>
      </c>
      <c r="B751" s="18">
        <f>A751/'Orbit Info'!$G$10</f>
        <v>7.905850736</v>
      </c>
      <c r="C751" s="13">
        <f t="shared" si="2"/>
        <v>0</v>
      </c>
      <c r="D751" s="13">
        <f t="shared" si="3"/>
        <v>1</v>
      </c>
      <c r="E751" s="13">
        <f t="shared" si="4"/>
        <v>0</v>
      </c>
      <c r="F751" s="13">
        <f t="shared" si="5"/>
        <v>0</v>
      </c>
      <c r="G751" s="13">
        <f t="shared" si="6"/>
        <v>1</v>
      </c>
      <c r="H751" s="13">
        <f>'Orbit Info'!C750*((C751*$O$2)+(D751*$O$3)+(E751*$O$4)+(F751*$O$5))</f>
        <v>0</v>
      </c>
      <c r="I751" s="13">
        <f t="shared" si="7"/>
        <v>8.62426</v>
      </c>
      <c r="J751" s="18">
        <f t="shared" si="8"/>
        <v>-0.1437376667</v>
      </c>
      <c r="K751" s="18">
        <f t="shared" si="10"/>
        <v>84.319083</v>
      </c>
      <c r="L751" s="4"/>
      <c r="M751" s="4"/>
      <c r="N751" s="4"/>
      <c r="O751" s="4"/>
      <c r="P751" s="4"/>
      <c r="Q751" s="4"/>
      <c r="R751" s="4"/>
      <c r="S751" s="4"/>
      <c r="T751" s="4"/>
      <c r="U751" s="4"/>
      <c r="V751" s="4"/>
      <c r="W751" s="4"/>
    </row>
    <row r="752" ht="15.75" customHeight="1">
      <c r="A752" s="13">
        <f t="shared" si="9"/>
        <v>749</v>
      </c>
      <c r="B752" s="18">
        <f>A752/'Orbit Info'!$G$10</f>
        <v>7.916420055</v>
      </c>
      <c r="C752" s="13">
        <f t="shared" si="2"/>
        <v>0</v>
      </c>
      <c r="D752" s="13">
        <f t="shared" si="3"/>
        <v>1</v>
      </c>
      <c r="E752" s="13">
        <f t="shared" si="4"/>
        <v>0</v>
      </c>
      <c r="F752" s="13">
        <f t="shared" si="5"/>
        <v>0</v>
      </c>
      <c r="G752" s="13">
        <f t="shared" si="6"/>
        <v>1</v>
      </c>
      <c r="H752" s="13">
        <f>'Orbit Info'!C751*((C752*$O$2)+(D752*$O$3)+(E752*$O$4)+(F752*$O$5))</f>
        <v>0</v>
      </c>
      <c r="I752" s="13">
        <f t="shared" si="7"/>
        <v>8.62426</v>
      </c>
      <c r="J752" s="18">
        <f t="shared" si="8"/>
        <v>-0.1437376667</v>
      </c>
      <c r="K752" s="18">
        <f t="shared" si="10"/>
        <v>84.17534533</v>
      </c>
      <c r="L752" s="4"/>
      <c r="M752" s="4"/>
      <c r="N752" s="4"/>
      <c r="O752" s="4"/>
      <c r="P752" s="4"/>
      <c r="Q752" s="4"/>
      <c r="R752" s="4"/>
      <c r="S752" s="4"/>
      <c r="T752" s="4"/>
      <c r="U752" s="4"/>
      <c r="V752" s="4"/>
      <c r="W752" s="4"/>
    </row>
    <row r="753" ht="15.75" customHeight="1">
      <c r="A753" s="13">
        <f t="shared" si="9"/>
        <v>750</v>
      </c>
      <c r="B753" s="18">
        <f>A753/'Orbit Info'!$G$10</f>
        <v>7.926989374</v>
      </c>
      <c r="C753" s="13">
        <f t="shared" si="2"/>
        <v>0</v>
      </c>
      <c r="D753" s="13">
        <f t="shared" si="3"/>
        <v>1</v>
      </c>
      <c r="E753" s="13">
        <f t="shared" si="4"/>
        <v>0</v>
      </c>
      <c r="F753" s="13">
        <f t="shared" si="5"/>
        <v>0</v>
      </c>
      <c r="G753" s="13">
        <f t="shared" si="6"/>
        <v>1</v>
      </c>
      <c r="H753" s="13">
        <f>'Orbit Info'!C752*((C753*$O$2)+(D753*$O$3)+(E753*$O$4)+(F753*$O$5))</f>
        <v>0</v>
      </c>
      <c r="I753" s="13">
        <f t="shared" si="7"/>
        <v>8.62426</v>
      </c>
      <c r="J753" s="18">
        <f t="shared" si="8"/>
        <v>-0.1437376667</v>
      </c>
      <c r="K753" s="18">
        <f t="shared" si="10"/>
        <v>84.03160767</v>
      </c>
      <c r="L753" s="4"/>
      <c r="M753" s="4"/>
      <c r="N753" s="4"/>
      <c r="O753" s="4"/>
      <c r="P753" s="4"/>
      <c r="Q753" s="4"/>
      <c r="R753" s="4"/>
      <c r="S753" s="4"/>
      <c r="T753" s="4"/>
      <c r="U753" s="4"/>
      <c r="V753" s="4"/>
      <c r="W753" s="4"/>
    </row>
    <row r="754" ht="15.75" customHeight="1">
      <c r="A754" s="13">
        <f t="shared" si="9"/>
        <v>751</v>
      </c>
      <c r="B754" s="18">
        <f>A754/'Orbit Info'!$G$10</f>
        <v>7.937558694</v>
      </c>
      <c r="C754" s="13">
        <f t="shared" si="2"/>
        <v>0</v>
      </c>
      <c r="D754" s="13">
        <f t="shared" si="3"/>
        <v>1</v>
      </c>
      <c r="E754" s="13">
        <f t="shared" si="4"/>
        <v>0</v>
      </c>
      <c r="F754" s="13">
        <f t="shared" si="5"/>
        <v>0</v>
      </c>
      <c r="G754" s="13">
        <f t="shared" si="6"/>
        <v>1</v>
      </c>
      <c r="H754" s="13">
        <f>'Orbit Info'!C753*((C754*$O$2)+(D754*$O$3)+(E754*$O$4)+(F754*$O$5))</f>
        <v>0</v>
      </c>
      <c r="I754" s="13">
        <f t="shared" si="7"/>
        <v>8.62426</v>
      </c>
      <c r="J754" s="18">
        <f t="shared" si="8"/>
        <v>-0.1437376667</v>
      </c>
      <c r="K754" s="18">
        <f t="shared" si="10"/>
        <v>83.88787</v>
      </c>
      <c r="L754" s="4"/>
      <c r="M754" s="4"/>
      <c r="N754" s="4"/>
      <c r="O754" s="4"/>
      <c r="P754" s="4"/>
      <c r="Q754" s="4"/>
      <c r="R754" s="4"/>
      <c r="S754" s="4"/>
      <c r="T754" s="4"/>
      <c r="U754" s="4"/>
      <c r="V754" s="4"/>
      <c r="W754" s="4"/>
    </row>
    <row r="755" ht="15.75" customHeight="1">
      <c r="A755" s="13">
        <f t="shared" si="9"/>
        <v>752</v>
      </c>
      <c r="B755" s="18">
        <f>A755/'Orbit Info'!$G$10</f>
        <v>7.948128013</v>
      </c>
      <c r="C755" s="13">
        <f t="shared" si="2"/>
        <v>0</v>
      </c>
      <c r="D755" s="13">
        <f t="shared" si="3"/>
        <v>1</v>
      </c>
      <c r="E755" s="13">
        <f t="shared" si="4"/>
        <v>0</v>
      </c>
      <c r="F755" s="13">
        <f t="shared" si="5"/>
        <v>0</v>
      </c>
      <c r="G755" s="13">
        <f t="shared" si="6"/>
        <v>1</v>
      </c>
      <c r="H755" s="13">
        <f>'Orbit Info'!C754*((C755*$O$2)+(D755*$O$3)+(E755*$O$4)+(F755*$O$5))</f>
        <v>0</v>
      </c>
      <c r="I755" s="13">
        <f t="shared" si="7"/>
        <v>8.62426</v>
      </c>
      <c r="J755" s="18">
        <f t="shared" si="8"/>
        <v>-0.1437376667</v>
      </c>
      <c r="K755" s="18">
        <f t="shared" si="10"/>
        <v>83.74413233</v>
      </c>
      <c r="L755" s="4"/>
      <c r="M755" s="4"/>
      <c r="N755" s="4"/>
      <c r="O755" s="4"/>
      <c r="P755" s="4"/>
      <c r="Q755" s="4"/>
      <c r="R755" s="4"/>
      <c r="S755" s="4"/>
      <c r="T755" s="4"/>
      <c r="U755" s="4"/>
      <c r="V755" s="4"/>
      <c r="W755" s="4"/>
    </row>
    <row r="756" ht="15.75" customHeight="1">
      <c r="A756" s="13">
        <f t="shared" si="9"/>
        <v>753</v>
      </c>
      <c r="B756" s="18">
        <f>A756/'Orbit Info'!$G$10</f>
        <v>7.958697332</v>
      </c>
      <c r="C756" s="13">
        <f t="shared" si="2"/>
        <v>0</v>
      </c>
      <c r="D756" s="13">
        <f t="shared" si="3"/>
        <v>1</v>
      </c>
      <c r="E756" s="13">
        <f t="shared" si="4"/>
        <v>0</v>
      </c>
      <c r="F756" s="13">
        <f t="shared" si="5"/>
        <v>0</v>
      </c>
      <c r="G756" s="13">
        <f t="shared" si="6"/>
        <v>1</v>
      </c>
      <c r="H756" s="13">
        <f>'Orbit Info'!C755*((C756*$O$2)+(D756*$O$3)+(E756*$O$4)+(F756*$O$5))</f>
        <v>0</v>
      </c>
      <c r="I756" s="13">
        <f t="shared" si="7"/>
        <v>8.62426</v>
      </c>
      <c r="J756" s="18">
        <f t="shared" si="8"/>
        <v>-0.1437376667</v>
      </c>
      <c r="K756" s="18">
        <f t="shared" si="10"/>
        <v>83.60039467</v>
      </c>
      <c r="L756" s="4"/>
      <c r="M756" s="4"/>
      <c r="N756" s="4"/>
      <c r="O756" s="4"/>
      <c r="P756" s="4"/>
      <c r="Q756" s="4"/>
      <c r="R756" s="4"/>
      <c r="S756" s="4"/>
      <c r="T756" s="4"/>
      <c r="U756" s="4"/>
      <c r="V756" s="4"/>
      <c r="W756" s="4"/>
    </row>
    <row r="757" ht="15.75" customHeight="1">
      <c r="A757" s="13">
        <f t="shared" si="9"/>
        <v>754</v>
      </c>
      <c r="B757" s="18">
        <f>A757/'Orbit Info'!$G$10</f>
        <v>7.969266651</v>
      </c>
      <c r="C757" s="13">
        <f t="shared" si="2"/>
        <v>0</v>
      </c>
      <c r="D757" s="13">
        <f t="shared" si="3"/>
        <v>1</v>
      </c>
      <c r="E757" s="13">
        <f t="shared" si="4"/>
        <v>0</v>
      </c>
      <c r="F757" s="13">
        <f t="shared" si="5"/>
        <v>0</v>
      </c>
      <c r="G757" s="13">
        <f t="shared" si="6"/>
        <v>1</v>
      </c>
      <c r="H757" s="13">
        <f>'Orbit Info'!C756*((C757*$O$2)+(D757*$O$3)+(E757*$O$4)+(F757*$O$5))</f>
        <v>0</v>
      </c>
      <c r="I757" s="13">
        <f t="shared" si="7"/>
        <v>8.62426</v>
      </c>
      <c r="J757" s="18">
        <f t="shared" si="8"/>
        <v>-0.1437376667</v>
      </c>
      <c r="K757" s="18">
        <f t="shared" si="10"/>
        <v>83.456657</v>
      </c>
      <c r="L757" s="4"/>
      <c r="M757" s="4"/>
      <c r="N757" s="4"/>
      <c r="O757" s="4"/>
      <c r="P757" s="4"/>
      <c r="Q757" s="4"/>
      <c r="R757" s="4"/>
      <c r="S757" s="4"/>
      <c r="T757" s="4"/>
      <c r="U757" s="4"/>
      <c r="V757" s="4"/>
      <c r="W757" s="4"/>
    </row>
    <row r="758" ht="15.75" customHeight="1">
      <c r="A758" s="13">
        <f t="shared" si="9"/>
        <v>755</v>
      </c>
      <c r="B758" s="18">
        <f>A758/'Orbit Info'!$G$10</f>
        <v>7.97983597</v>
      </c>
      <c r="C758" s="13">
        <f t="shared" si="2"/>
        <v>0</v>
      </c>
      <c r="D758" s="13">
        <f t="shared" si="3"/>
        <v>1</v>
      </c>
      <c r="E758" s="13">
        <f t="shared" si="4"/>
        <v>0</v>
      </c>
      <c r="F758" s="13">
        <f t="shared" si="5"/>
        <v>0</v>
      </c>
      <c r="G758" s="13">
        <f t="shared" si="6"/>
        <v>1</v>
      </c>
      <c r="H758" s="13">
        <f>'Orbit Info'!C757*((C758*$O$2)+(D758*$O$3)+(E758*$O$4)+(F758*$O$5))</f>
        <v>0</v>
      </c>
      <c r="I758" s="13">
        <f t="shared" si="7"/>
        <v>8.62426</v>
      </c>
      <c r="J758" s="18">
        <f t="shared" si="8"/>
        <v>-0.1437376667</v>
      </c>
      <c r="K758" s="18">
        <f t="shared" si="10"/>
        <v>83.31291933</v>
      </c>
      <c r="L758" s="4"/>
      <c r="M758" s="4"/>
      <c r="N758" s="4"/>
      <c r="O758" s="4"/>
      <c r="P758" s="4"/>
      <c r="Q758" s="4"/>
      <c r="R758" s="4"/>
      <c r="S758" s="4"/>
      <c r="T758" s="4"/>
      <c r="U758" s="4"/>
      <c r="V758" s="4"/>
      <c r="W758" s="4"/>
    </row>
    <row r="759" ht="15.75" customHeight="1">
      <c r="A759" s="13">
        <f t="shared" si="9"/>
        <v>756</v>
      </c>
      <c r="B759" s="18">
        <f>A759/'Orbit Info'!$G$10</f>
        <v>7.990405289</v>
      </c>
      <c r="C759" s="13">
        <f t="shared" si="2"/>
        <v>0</v>
      </c>
      <c r="D759" s="13">
        <f t="shared" si="3"/>
        <v>1</v>
      </c>
      <c r="E759" s="13">
        <f t="shared" si="4"/>
        <v>0</v>
      </c>
      <c r="F759" s="13">
        <f t="shared" si="5"/>
        <v>0</v>
      </c>
      <c r="G759" s="13">
        <f t="shared" si="6"/>
        <v>1</v>
      </c>
      <c r="H759" s="13">
        <f>'Orbit Info'!C758*((C759*$O$2)+(D759*$O$3)+(E759*$O$4)+(F759*$O$5))</f>
        <v>0</v>
      </c>
      <c r="I759" s="13">
        <f t="shared" si="7"/>
        <v>8.62426</v>
      </c>
      <c r="J759" s="18">
        <f t="shared" si="8"/>
        <v>-0.1437376667</v>
      </c>
      <c r="K759" s="18">
        <f t="shared" si="10"/>
        <v>83.16918167</v>
      </c>
      <c r="L759" s="4"/>
      <c r="M759" s="4"/>
      <c r="N759" s="4"/>
      <c r="O759" s="4"/>
      <c r="P759" s="4"/>
      <c r="Q759" s="4"/>
      <c r="R759" s="4"/>
      <c r="S759" s="4"/>
      <c r="T759" s="4"/>
      <c r="U759" s="4"/>
      <c r="V759" s="4"/>
      <c r="W759" s="4"/>
    </row>
    <row r="760" ht="15.75" customHeight="1">
      <c r="A760" s="13">
        <f t="shared" si="9"/>
        <v>757</v>
      </c>
      <c r="B760" s="18">
        <f>A760/'Orbit Info'!$G$10</f>
        <v>8.000974609</v>
      </c>
      <c r="C760" s="13">
        <f t="shared" si="2"/>
        <v>0</v>
      </c>
      <c r="D760" s="13">
        <f t="shared" si="3"/>
        <v>1</v>
      </c>
      <c r="E760" s="13">
        <f t="shared" si="4"/>
        <v>0</v>
      </c>
      <c r="F760" s="13">
        <f t="shared" si="5"/>
        <v>0</v>
      </c>
      <c r="G760" s="13">
        <f t="shared" si="6"/>
        <v>1</v>
      </c>
      <c r="H760" s="13">
        <f>'Orbit Info'!C759*((C760*$O$2)+(D760*$O$3)+(E760*$O$4)+(F760*$O$5))</f>
        <v>15.628032</v>
      </c>
      <c r="I760" s="13">
        <f t="shared" si="7"/>
        <v>8.62426</v>
      </c>
      <c r="J760" s="18">
        <f t="shared" si="8"/>
        <v>0.1167295333</v>
      </c>
      <c r="K760" s="18">
        <f t="shared" si="10"/>
        <v>83.2859112</v>
      </c>
      <c r="L760" s="4"/>
      <c r="M760" s="4"/>
      <c r="N760" s="4"/>
      <c r="O760" s="4"/>
      <c r="P760" s="4"/>
      <c r="Q760" s="4"/>
      <c r="R760" s="4"/>
      <c r="S760" s="4"/>
      <c r="T760" s="4"/>
      <c r="U760" s="4"/>
      <c r="V760" s="4"/>
      <c r="W760" s="4"/>
    </row>
    <row r="761" ht="15.75" customHeight="1">
      <c r="A761" s="13">
        <f t="shared" si="9"/>
        <v>758</v>
      </c>
      <c r="B761" s="18">
        <f>A761/'Orbit Info'!$G$10</f>
        <v>8.011543928</v>
      </c>
      <c r="C761" s="13">
        <f t="shared" si="2"/>
        <v>0</v>
      </c>
      <c r="D761" s="13">
        <f t="shared" si="3"/>
        <v>1</v>
      </c>
      <c r="E761" s="13">
        <f t="shared" si="4"/>
        <v>0</v>
      </c>
      <c r="F761" s="13">
        <f t="shared" si="5"/>
        <v>0</v>
      </c>
      <c r="G761" s="13">
        <f t="shared" si="6"/>
        <v>1</v>
      </c>
      <c r="H761" s="13">
        <f>'Orbit Info'!C760*((C761*$O$2)+(D761*$O$3)+(E761*$O$4)+(F761*$O$5))</f>
        <v>15.628032</v>
      </c>
      <c r="I761" s="13">
        <f t="shared" si="7"/>
        <v>8.62426</v>
      </c>
      <c r="J761" s="18">
        <f t="shared" si="8"/>
        <v>0.1167295333</v>
      </c>
      <c r="K761" s="18">
        <f t="shared" si="10"/>
        <v>83.40264073</v>
      </c>
      <c r="L761" s="4"/>
      <c r="M761" s="4"/>
      <c r="N761" s="4"/>
      <c r="O761" s="4"/>
      <c r="P761" s="4"/>
      <c r="Q761" s="4"/>
      <c r="R761" s="4"/>
      <c r="S761" s="4"/>
      <c r="T761" s="4"/>
      <c r="U761" s="4"/>
      <c r="V761" s="4"/>
      <c r="W761" s="4"/>
    </row>
    <row r="762" ht="15.75" customHeight="1">
      <c r="A762" s="13">
        <f t="shared" si="9"/>
        <v>759</v>
      </c>
      <c r="B762" s="18">
        <f>A762/'Orbit Info'!$G$10</f>
        <v>8.022113247</v>
      </c>
      <c r="C762" s="13">
        <f t="shared" si="2"/>
        <v>0</v>
      </c>
      <c r="D762" s="13">
        <f t="shared" si="3"/>
        <v>1</v>
      </c>
      <c r="E762" s="13">
        <f t="shared" si="4"/>
        <v>0</v>
      </c>
      <c r="F762" s="13">
        <f t="shared" si="5"/>
        <v>0</v>
      </c>
      <c r="G762" s="13">
        <f t="shared" si="6"/>
        <v>1</v>
      </c>
      <c r="H762" s="13">
        <f>'Orbit Info'!C761*((C762*$O$2)+(D762*$O$3)+(E762*$O$4)+(F762*$O$5))</f>
        <v>15.628032</v>
      </c>
      <c r="I762" s="13">
        <f t="shared" si="7"/>
        <v>8.62426</v>
      </c>
      <c r="J762" s="18">
        <f t="shared" si="8"/>
        <v>0.1167295333</v>
      </c>
      <c r="K762" s="18">
        <f t="shared" si="10"/>
        <v>83.51937027</v>
      </c>
      <c r="L762" s="4"/>
      <c r="M762" s="4"/>
      <c r="N762" s="4"/>
      <c r="O762" s="4"/>
      <c r="P762" s="4"/>
      <c r="Q762" s="4"/>
      <c r="R762" s="4"/>
      <c r="S762" s="4"/>
      <c r="T762" s="4"/>
      <c r="U762" s="4"/>
      <c r="V762" s="4"/>
      <c r="W762" s="4"/>
    </row>
    <row r="763" ht="15.75" customHeight="1">
      <c r="A763" s="13">
        <f t="shared" si="9"/>
        <v>760</v>
      </c>
      <c r="B763" s="18">
        <f>A763/'Orbit Info'!$G$10</f>
        <v>8.032682566</v>
      </c>
      <c r="C763" s="13">
        <f t="shared" si="2"/>
        <v>0</v>
      </c>
      <c r="D763" s="13">
        <f t="shared" si="3"/>
        <v>1</v>
      </c>
      <c r="E763" s="13">
        <f t="shared" si="4"/>
        <v>0</v>
      </c>
      <c r="F763" s="13">
        <f t="shared" si="5"/>
        <v>0</v>
      </c>
      <c r="G763" s="13">
        <f t="shared" si="6"/>
        <v>1</v>
      </c>
      <c r="H763" s="13">
        <f>'Orbit Info'!C762*((C763*$O$2)+(D763*$O$3)+(E763*$O$4)+(F763*$O$5))</f>
        <v>15.628032</v>
      </c>
      <c r="I763" s="13">
        <f t="shared" si="7"/>
        <v>8.62426</v>
      </c>
      <c r="J763" s="18">
        <f t="shared" si="8"/>
        <v>0.1167295333</v>
      </c>
      <c r="K763" s="18">
        <f t="shared" si="10"/>
        <v>83.6360998</v>
      </c>
      <c r="L763" s="4"/>
      <c r="M763" s="4"/>
      <c r="N763" s="4"/>
      <c r="O763" s="4"/>
      <c r="P763" s="4"/>
      <c r="Q763" s="4"/>
      <c r="R763" s="4"/>
      <c r="S763" s="4"/>
      <c r="T763" s="4"/>
      <c r="U763" s="4"/>
      <c r="V763" s="4"/>
      <c r="W763" s="4"/>
    </row>
    <row r="764" ht="15.75" customHeight="1">
      <c r="A764" s="13">
        <f t="shared" si="9"/>
        <v>761</v>
      </c>
      <c r="B764" s="18">
        <f>A764/'Orbit Info'!$G$10</f>
        <v>8.043251885</v>
      </c>
      <c r="C764" s="13">
        <f t="shared" si="2"/>
        <v>0</v>
      </c>
      <c r="D764" s="13">
        <f t="shared" si="3"/>
        <v>1</v>
      </c>
      <c r="E764" s="13">
        <f t="shared" si="4"/>
        <v>0</v>
      </c>
      <c r="F764" s="13">
        <f t="shared" si="5"/>
        <v>0</v>
      </c>
      <c r="G764" s="13">
        <f t="shared" si="6"/>
        <v>1</v>
      </c>
      <c r="H764" s="13">
        <f>'Orbit Info'!C763*((C764*$O$2)+(D764*$O$3)+(E764*$O$4)+(F764*$O$5))</f>
        <v>15.628032</v>
      </c>
      <c r="I764" s="13">
        <f t="shared" si="7"/>
        <v>8.62426</v>
      </c>
      <c r="J764" s="18">
        <f t="shared" si="8"/>
        <v>0.1167295333</v>
      </c>
      <c r="K764" s="18">
        <f t="shared" si="10"/>
        <v>83.75282933</v>
      </c>
      <c r="L764" s="4"/>
      <c r="M764" s="4"/>
      <c r="N764" s="4"/>
      <c r="O764" s="4"/>
      <c r="P764" s="4"/>
      <c r="Q764" s="4"/>
      <c r="R764" s="4"/>
      <c r="S764" s="4"/>
      <c r="T764" s="4"/>
      <c r="U764" s="4"/>
      <c r="V764" s="4"/>
      <c r="W764" s="4"/>
    </row>
    <row r="765" ht="15.75" customHeight="1">
      <c r="A765" s="13">
        <f t="shared" si="9"/>
        <v>762</v>
      </c>
      <c r="B765" s="18">
        <f>A765/'Orbit Info'!$G$10</f>
        <v>8.053821204</v>
      </c>
      <c r="C765" s="13">
        <f t="shared" si="2"/>
        <v>0</v>
      </c>
      <c r="D765" s="13">
        <f t="shared" si="3"/>
        <v>1</v>
      </c>
      <c r="E765" s="13">
        <f t="shared" si="4"/>
        <v>0</v>
      </c>
      <c r="F765" s="13">
        <f t="shared" si="5"/>
        <v>0</v>
      </c>
      <c r="G765" s="13">
        <f t="shared" si="6"/>
        <v>1</v>
      </c>
      <c r="H765" s="13">
        <f>'Orbit Info'!C764*((C765*$O$2)+(D765*$O$3)+(E765*$O$4)+(F765*$O$5))</f>
        <v>15.628032</v>
      </c>
      <c r="I765" s="13">
        <f t="shared" si="7"/>
        <v>8.62426</v>
      </c>
      <c r="J765" s="18">
        <f t="shared" si="8"/>
        <v>0.1167295333</v>
      </c>
      <c r="K765" s="18">
        <f t="shared" si="10"/>
        <v>83.86955887</v>
      </c>
      <c r="L765" s="4"/>
      <c r="M765" s="4"/>
      <c r="N765" s="4"/>
      <c r="O765" s="4"/>
      <c r="P765" s="4"/>
      <c r="Q765" s="4"/>
      <c r="R765" s="4"/>
      <c r="S765" s="4"/>
      <c r="T765" s="4"/>
      <c r="U765" s="4"/>
      <c r="V765" s="4"/>
      <c r="W765" s="4"/>
    </row>
    <row r="766" ht="15.75" customHeight="1">
      <c r="A766" s="13">
        <f t="shared" si="9"/>
        <v>763</v>
      </c>
      <c r="B766" s="18">
        <f>A766/'Orbit Info'!$G$10</f>
        <v>8.064390524</v>
      </c>
      <c r="C766" s="13">
        <f t="shared" si="2"/>
        <v>0</v>
      </c>
      <c r="D766" s="13">
        <f t="shared" si="3"/>
        <v>1</v>
      </c>
      <c r="E766" s="13">
        <f t="shared" si="4"/>
        <v>0</v>
      </c>
      <c r="F766" s="13">
        <f t="shared" si="5"/>
        <v>0</v>
      </c>
      <c r="G766" s="13">
        <f t="shared" si="6"/>
        <v>1</v>
      </c>
      <c r="H766" s="13">
        <f>'Orbit Info'!C765*((C766*$O$2)+(D766*$O$3)+(E766*$O$4)+(F766*$O$5))</f>
        <v>15.628032</v>
      </c>
      <c r="I766" s="13">
        <f t="shared" si="7"/>
        <v>8.62426</v>
      </c>
      <c r="J766" s="18">
        <f t="shared" si="8"/>
        <v>0.1167295333</v>
      </c>
      <c r="K766" s="18">
        <f t="shared" si="10"/>
        <v>83.9862884</v>
      </c>
      <c r="L766" s="4"/>
      <c r="M766" s="4"/>
      <c r="N766" s="4"/>
      <c r="O766" s="4"/>
      <c r="P766" s="4"/>
      <c r="Q766" s="4"/>
      <c r="R766" s="4"/>
      <c r="S766" s="4"/>
      <c r="T766" s="4"/>
      <c r="U766" s="4"/>
      <c r="V766" s="4"/>
      <c r="W766" s="4"/>
    </row>
    <row r="767" ht="15.75" customHeight="1">
      <c r="A767" s="13">
        <f t="shared" si="9"/>
        <v>764</v>
      </c>
      <c r="B767" s="18">
        <f>A767/'Orbit Info'!$G$10</f>
        <v>8.074959843</v>
      </c>
      <c r="C767" s="13">
        <f t="shared" si="2"/>
        <v>0</v>
      </c>
      <c r="D767" s="13">
        <f t="shared" si="3"/>
        <v>1</v>
      </c>
      <c r="E767" s="13">
        <f t="shared" si="4"/>
        <v>0</v>
      </c>
      <c r="F767" s="13">
        <f t="shared" si="5"/>
        <v>0</v>
      </c>
      <c r="G767" s="13">
        <f t="shared" si="6"/>
        <v>1</v>
      </c>
      <c r="H767" s="13">
        <f>'Orbit Info'!C766*((C767*$O$2)+(D767*$O$3)+(E767*$O$4)+(F767*$O$5))</f>
        <v>15.628032</v>
      </c>
      <c r="I767" s="13">
        <f t="shared" si="7"/>
        <v>8.62426</v>
      </c>
      <c r="J767" s="18">
        <f t="shared" si="8"/>
        <v>0.1167295333</v>
      </c>
      <c r="K767" s="18">
        <f t="shared" si="10"/>
        <v>84.10301793</v>
      </c>
      <c r="L767" s="4"/>
      <c r="M767" s="4"/>
      <c r="N767" s="4"/>
      <c r="O767" s="4"/>
      <c r="P767" s="4"/>
      <c r="Q767" s="4"/>
      <c r="R767" s="4"/>
      <c r="S767" s="4"/>
      <c r="T767" s="4"/>
      <c r="U767" s="4"/>
      <c r="V767" s="4"/>
      <c r="W767" s="4"/>
    </row>
    <row r="768" ht="15.75" customHeight="1">
      <c r="A768" s="13">
        <f t="shared" si="9"/>
        <v>765</v>
      </c>
      <c r="B768" s="18">
        <f>A768/'Orbit Info'!$G$10</f>
        <v>8.085529162</v>
      </c>
      <c r="C768" s="13">
        <f t="shared" si="2"/>
        <v>0</v>
      </c>
      <c r="D768" s="13">
        <f t="shared" si="3"/>
        <v>1</v>
      </c>
      <c r="E768" s="13">
        <f t="shared" si="4"/>
        <v>0</v>
      </c>
      <c r="F768" s="13">
        <f t="shared" si="5"/>
        <v>0</v>
      </c>
      <c r="G768" s="13">
        <f t="shared" si="6"/>
        <v>1</v>
      </c>
      <c r="H768" s="13">
        <f>'Orbit Info'!C767*((C768*$O$2)+(D768*$O$3)+(E768*$O$4)+(F768*$O$5))</f>
        <v>15.628032</v>
      </c>
      <c r="I768" s="13">
        <f t="shared" si="7"/>
        <v>8.62426</v>
      </c>
      <c r="J768" s="18">
        <f t="shared" si="8"/>
        <v>0.1167295333</v>
      </c>
      <c r="K768" s="18">
        <f t="shared" si="10"/>
        <v>84.21974747</v>
      </c>
      <c r="L768" s="4"/>
      <c r="M768" s="4"/>
      <c r="N768" s="4"/>
      <c r="O768" s="4"/>
      <c r="P768" s="4"/>
      <c r="Q768" s="4"/>
      <c r="R768" s="4"/>
      <c r="S768" s="4"/>
      <c r="T768" s="4"/>
      <c r="U768" s="4"/>
      <c r="V768" s="4"/>
      <c r="W768" s="4"/>
    </row>
    <row r="769" ht="15.75" customHeight="1">
      <c r="A769" s="13">
        <f t="shared" si="9"/>
        <v>766</v>
      </c>
      <c r="B769" s="18">
        <f>A769/'Orbit Info'!$G$10</f>
        <v>8.096098481</v>
      </c>
      <c r="C769" s="13">
        <f t="shared" si="2"/>
        <v>0</v>
      </c>
      <c r="D769" s="13">
        <f t="shared" si="3"/>
        <v>1</v>
      </c>
      <c r="E769" s="13">
        <f t="shared" si="4"/>
        <v>0</v>
      </c>
      <c r="F769" s="13">
        <f t="shared" si="5"/>
        <v>0</v>
      </c>
      <c r="G769" s="13">
        <f t="shared" si="6"/>
        <v>1</v>
      </c>
      <c r="H769" s="13">
        <f>'Orbit Info'!C768*((C769*$O$2)+(D769*$O$3)+(E769*$O$4)+(F769*$O$5))</f>
        <v>15.628032</v>
      </c>
      <c r="I769" s="13">
        <f t="shared" si="7"/>
        <v>8.62426</v>
      </c>
      <c r="J769" s="18">
        <f t="shared" si="8"/>
        <v>0.1167295333</v>
      </c>
      <c r="K769" s="18">
        <f t="shared" si="10"/>
        <v>84.336477</v>
      </c>
      <c r="L769" s="4"/>
      <c r="M769" s="4"/>
      <c r="N769" s="4"/>
      <c r="O769" s="4"/>
      <c r="P769" s="4"/>
      <c r="Q769" s="4"/>
      <c r="R769" s="4"/>
      <c r="S769" s="4"/>
      <c r="T769" s="4"/>
      <c r="U769" s="4"/>
      <c r="V769" s="4"/>
      <c r="W769" s="4"/>
    </row>
    <row r="770" ht="15.75" customHeight="1">
      <c r="A770" s="13">
        <f t="shared" si="9"/>
        <v>767</v>
      </c>
      <c r="B770" s="18">
        <f>A770/'Orbit Info'!$G$10</f>
        <v>8.1066678</v>
      </c>
      <c r="C770" s="13">
        <f t="shared" si="2"/>
        <v>0</v>
      </c>
      <c r="D770" s="13">
        <f t="shared" si="3"/>
        <v>1</v>
      </c>
      <c r="E770" s="13">
        <f t="shared" si="4"/>
        <v>0</v>
      </c>
      <c r="F770" s="13">
        <f t="shared" si="5"/>
        <v>0</v>
      </c>
      <c r="G770" s="13">
        <f t="shared" si="6"/>
        <v>1</v>
      </c>
      <c r="H770" s="13">
        <f>'Orbit Info'!C769*((C770*$O$2)+(D770*$O$3)+(E770*$O$4)+(F770*$O$5))</f>
        <v>15.628032</v>
      </c>
      <c r="I770" s="13">
        <f t="shared" si="7"/>
        <v>8.62426</v>
      </c>
      <c r="J770" s="18">
        <f t="shared" si="8"/>
        <v>0.1167295333</v>
      </c>
      <c r="K770" s="18">
        <f t="shared" si="10"/>
        <v>84.45320653</v>
      </c>
      <c r="L770" s="4"/>
      <c r="M770" s="4"/>
      <c r="N770" s="4"/>
      <c r="O770" s="4"/>
      <c r="P770" s="4"/>
      <c r="Q770" s="4"/>
      <c r="R770" s="4"/>
      <c r="S770" s="4"/>
      <c r="T770" s="4"/>
      <c r="U770" s="4"/>
      <c r="V770" s="4"/>
      <c r="W770" s="4"/>
    </row>
    <row r="771" ht="15.75" customHeight="1">
      <c r="A771" s="13">
        <f t="shared" si="9"/>
        <v>768</v>
      </c>
      <c r="B771" s="18">
        <f>A771/'Orbit Info'!$G$10</f>
        <v>8.117237119</v>
      </c>
      <c r="C771" s="13">
        <f t="shared" si="2"/>
        <v>0</v>
      </c>
      <c r="D771" s="13">
        <f t="shared" si="3"/>
        <v>1</v>
      </c>
      <c r="E771" s="13">
        <f t="shared" si="4"/>
        <v>0</v>
      </c>
      <c r="F771" s="13">
        <f t="shared" si="5"/>
        <v>0</v>
      </c>
      <c r="G771" s="13">
        <f t="shared" si="6"/>
        <v>1</v>
      </c>
      <c r="H771" s="13">
        <f>'Orbit Info'!C770*((C771*$O$2)+(D771*$O$3)+(E771*$O$4)+(F771*$O$5))</f>
        <v>15.628032</v>
      </c>
      <c r="I771" s="13">
        <f t="shared" si="7"/>
        <v>8.62426</v>
      </c>
      <c r="J771" s="18">
        <f t="shared" si="8"/>
        <v>0.1167295333</v>
      </c>
      <c r="K771" s="18">
        <f t="shared" si="10"/>
        <v>84.56993607</v>
      </c>
      <c r="L771" s="4"/>
      <c r="M771" s="4"/>
      <c r="N771" s="4"/>
      <c r="O771" s="4"/>
      <c r="P771" s="4"/>
      <c r="Q771" s="4"/>
      <c r="R771" s="4"/>
      <c r="S771" s="4"/>
      <c r="T771" s="4"/>
      <c r="U771" s="4"/>
      <c r="V771" s="4"/>
      <c r="W771" s="4"/>
    </row>
    <row r="772" ht="15.75" customHeight="1">
      <c r="A772" s="13">
        <f t="shared" si="9"/>
        <v>769</v>
      </c>
      <c r="B772" s="18">
        <f>A772/'Orbit Info'!$G$10</f>
        <v>8.127806439</v>
      </c>
      <c r="C772" s="13">
        <f t="shared" si="2"/>
        <v>0</v>
      </c>
      <c r="D772" s="13">
        <f t="shared" si="3"/>
        <v>1</v>
      </c>
      <c r="E772" s="13">
        <f t="shared" si="4"/>
        <v>0</v>
      </c>
      <c r="F772" s="13">
        <f t="shared" si="5"/>
        <v>0</v>
      </c>
      <c r="G772" s="13">
        <f t="shared" si="6"/>
        <v>1</v>
      </c>
      <c r="H772" s="13">
        <f>'Orbit Info'!C771*((C772*$O$2)+(D772*$O$3)+(E772*$O$4)+(F772*$O$5))</f>
        <v>15.628032</v>
      </c>
      <c r="I772" s="13">
        <f t="shared" si="7"/>
        <v>8.62426</v>
      </c>
      <c r="J772" s="18">
        <f t="shared" si="8"/>
        <v>0.1167295333</v>
      </c>
      <c r="K772" s="18">
        <f t="shared" si="10"/>
        <v>84.6866656</v>
      </c>
      <c r="L772" s="4"/>
      <c r="M772" s="4"/>
      <c r="N772" s="4"/>
      <c r="O772" s="4"/>
      <c r="P772" s="4"/>
      <c r="Q772" s="4"/>
      <c r="R772" s="4"/>
      <c r="S772" s="4"/>
      <c r="T772" s="4"/>
      <c r="U772" s="4"/>
      <c r="V772" s="4"/>
      <c r="W772" s="4"/>
    </row>
    <row r="773" ht="15.75" customHeight="1">
      <c r="A773" s="13">
        <f t="shared" si="9"/>
        <v>770</v>
      </c>
      <c r="B773" s="18">
        <f>A773/'Orbit Info'!$G$10</f>
        <v>8.138375758</v>
      </c>
      <c r="C773" s="13">
        <f t="shared" si="2"/>
        <v>0</v>
      </c>
      <c r="D773" s="13">
        <f t="shared" si="3"/>
        <v>1</v>
      </c>
      <c r="E773" s="13">
        <f t="shared" si="4"/>
        <v>0</v>
      </c>
      <c r="F773" s="13">
        <f t="shared" si="5"/>
        <v>0</v>
      </c>
      <c r="G773" s="13">
        <f t="shared" si="6"/>
        <v>1</v>
      </c>
      <c r="H773" s="13">
        <f>'Orbit Info'!C772*((C773*$O$2)+(D773*$O$3)+(E773*$O$4)+(F773*$O$5))</f>
        <v>15.628032</v>
      </c>
      <c r="I773" s="13">
        <f t="shared" si="7"/>
        <v>8.62426</v>
      </c>
      <c r="J773" s="18">
        <f t="shared" si="8"/>
        <v>0.1167295333</v>
      </c>
      <c r="K773" s="18">
        <f t="shared" si="10"/>
        <v>84.80339513</v>
      </c>
      <c r="L773" s="4"/>
      <c r="M773" s="4"/>
      <c r="N773" s="4"/>
      <c r="O773" s="4"/>
      <c r="P773" s="4"/>
      <c r="Q773" s="4"/>
      <c r="R773" s="4"/>
      <c r="S773" s="4"/>
      <c r="T773" s="4"/>
      <c r="U773" s="4"/>
      <c r="V773" s="4"/>
      <c r="W773" s="4"/>
    </row>
    <row r="774" ht="15.75" customHeight="1">
      <c r="A774" s="13">
        <f t="shared" si="9"/>
        <v>771</v>
      </c>
      <c r="B774" s="18">
        <f>A774/'Orbit Info'!$G$10</f>
        <v>8.148945077</v>
      </c>
      <c r="C774" s="13">
        <f t="shared" si="2"/>
        <v>0</v>
      </c>
      <c r="D774" s="13">
        <f t="shared" si="3"/>
        <v>1</v>
      </c>
      <c r="E774" s="13">
        <f t="shared" si="4"/>
        <v>0</v>
      </c>
      <c r="F774" s="13">
        <f t="shared" si="5"/>
        <v>0</v>
      </c>
      <c r="G774" s="13">
        <f t="shared" si="6"/>
        <v>1</v>
      </c>
      <c r="H774" s="13">
        <f>'Orbit Info'!C773*((C774*$O$2)+(D774*$O$3)+(E774*$O$4)+(F774*$O$5))</f>
        <v>15.628032</v>
      </c>
      <c r="I774" s="13">
        <f t="shared" si="7"/>
        <v>8.62426</v>
      </c>
      <c r="J774" s="18">
        <f t="shared" si="8"/>
        <v>0.1167295333</v>
      </c>
      <c r="K774" s="18">
        <f t="shared" si="10"/>
        <v>84.92012467</v>
      </c>
      <c r="L774" s="4"/>
      <c r="M774" s="4"/>
      <c r="N774" s="4"/>
      <c r="O774" s="4"/>
      <c r="P774" s="4"/>
      <c r="Q774" s="4"/>
      <c r="R774" s="4"/>
      <c r="S774" s="4"/>
      <c r="T774" s="4"/>
      <c r="U774" s="4"/>
      <c r="V774" s="4"/>
      <c r="W774" s="4"/>
    </row>
    <row r="775" ht="15.75" customHeight="1">
      <c r="A775" s="13">
        <f t="shared" si="9"/>
        <v>772</v>
      </c>
      <c r="B775" s="18">
        <f>A775/'Orbit Info'!$G$10</f>
        <v>8.159514396</v>
      </c>
      <c r="C775" s="13">
        <f t="shared" si="2"/>
        <v>0</v>
      </c>
      <c r="D775" s="13">
        <f t="shared" si="3"/>
        <v>1</v>
      </c>
      <c r="E775" s="13">
        <f t="shared" si="4"/>
        <v>0</v>
      </c>
      <c r="F775" s="13">
        <f t="shared" si="5"/>
        <v>0</v>
      </c>
      <c r="G775" s="13">
        <f t="shared" si="6"/>
        <v>1</v>
      </c>
      <c r="H775" s="13">
        <f>'Orbit Info'!C774*((C775*$O$2)+(D775*$O$3)+(E775*$O$4)+(F775*$O$5))</f>
        <v>15.628032</v>
      </c>
      <c r="I775" s="13">
        <f t="shared" si="7"/>
        <v>8.62426</v>
      </c>
      <c r="J775" s="18">
        <f t="shared" si="8"/>
        <v>0.1167295333</v>
      </c>
      <c r="K775" s="18">
        <f t="shared" si="10"/>
        <v>85.0368542</v>
      </c>
      <c r="L775" s="4"/>
      <c r="M775" s="4"/>
      <c r="N775" s="4"/>
      <c r="O775" s="4"/>
      <c r="P775" s="4"/>
      <c r="Q775" s="4"/>
      <c r="R775" s="4"/>
      <c r="S775" s="4"/>
      <c r="T775" s="4"/>
      <c r="U775" s="4"/>
      <c r="V775" s="4"/>
      <c r="W775" s="4"/>
    </row>
    <row r="776" ht="15.75" customHeight="1">
      <c r="A776" s="13">
        <f t="shared" si="9"/>
        <v>773</v>
      </c>
      <c r="B776" s="18">
        <f>A776/'Orbit Info'!$G$10</f>
        <v>8.170083715</v>
      </c>
      <c r="C776" s="13">
        <f t="shared" si="2"/>
        <v>0</v>
      </c>
      <c r="D776" s="13">
        <f t="shared" si="3"/>
        <v>1</v>
      </c>
      <c r="E776" s="13">
        <f t="shared" si="4"/>
        <v>0</v>
      </c>
      <c r="F776" s="13">
        <f t="shared" si="5"/>
        <v>0</v>
      </c>
      <c r="G776" s="13">
        <f t="shared" si="6"/>
        <v>1</v>
      </c>
      <c r="H776" s="13">
        <f>'Orbit Info'!C775*((C776*$O$2)+(D776*$O$3)+(E776*$O$4)+(F776*$O$5))</f>
        <v>15.628032</v>
      </c>
      <c r="I776" s="13">
        <f t="shared" si="7"/>
        <v>8.62426</v>
      </c>
      <c r="J776" s="18">
        <f t="shared" si="8"/>
        <v>0.1167295333</v>
      </c>
      <c r="K776" s="18">
        <f t="shared" si="10"/>
        <v>85.15358373</v>
      </c>
      <c r="L776" s="4"/>
      <c r="M776" s="4"/>
      <c r="N776" s="4"/>
      <c r="O776" s="4"/>
      <c r="P776" s="4"/>
      <c r="Q776" s="4"/>
      <c r="R776" s="4"/>
      <c r="S776" s="4"/>
      <c r="T776" s="4"/>
      <c r="U776" s="4"/>
      <c r="V776" s="4"/>
      <c r="W776" s="4"/>
    </row>
    <row r="777" ht="15.75" customHeight="1">
      <c r="A777" s="13">
        <f t="shared" si="9"/>
        <v>774</v>
      </c>
      <c r="B777" s="18">
        <f>A777/'Orbit Info'!$G$10</f>
        <v>8.180653034</v>
      </c>
      <c r="C777" s="13">
        <f t="shared" si="2"/>
        <v>0</v>
      </c>
      <c r="D777" s="13">
        <f t="shared" si="3"/>
        <v>1</v>
      </c>
      <c r="E777" s="13">
        <f t="shared" si="4"/>
        <v>0</v>
      </c>
      <c r="F777" s="13">
        <f t="shared" si="5"/>
        <v>0</v>
      </c>
      <c r="G777" s="13">
        <f t="shared" si="6"/>
        <v>1</v>
      </c>
      <c r="H777" s="13">
        <f>'Orbit Info'!C776*((C777*$O$2)+(D777*$O$3)+(E777*$O$4)+(F777*$O$5))</f>
        <v>15.628032</v>
      </c>
      <c r="I777" s="13">
        <f t="shared" si="7"/>
        <v>8.62426</v>
      </c>
      <c r="J777" s="18">
        <f t="shared" si="8"/>
        <v>0.1167295333</v>
      </c>
      <c r="K777" s="18">
        <f t="shared" si="10"/>
        <v>85.27031327</v>
      </c>
      <c r="L777" s="4"/>
      <c r="M777" s="4"/>
      <c r="N777" s="4"/>
      <c r="O777" s="4"/>
      <c r="P777" s="4"/>
      <c r="Q777" s="4"/>
      <c r="R777" s="4"/>
      <c r="S777" s="4"/>
      <c r="T777" s="4"/>
      <c r="U777" s="4"/>
      <c r="V777" s="4"/>
      <c r="W777" s="4"/>
    </row>
    <row r="778" ht="15.75" customHeight="1">
      <c r="A778" s="13">
        <f t="shared" si="9"/>
        <v>775</v>
      </c>
      <c r="B778" s="18">
        <f>A778/'Orbit Info'!$G$10</f>
        <v>8.191222354</v>
      </c>
      <c r="C778" s="13">
        <f t="shared" si="2"/>
        <v>0</v>
      </c>
      <c r="D778" s="13">
        <f t="shared" si="3"/>
        <v>1</v>
      </c>
      <c r="E778" s="13">
        <f t="shared" si="4"/>
        <v>0</v>
      </c>
      <c r="F778" s="13">
        <f t="shared" si="5"/>
        <v>0</v>
      </c>
      <c r="G778" s="13">
        <f t="shared" si="6"/>
        <v>1</v>
      </c>
      <c r="H778" s="13">
        <f>'Orbit Info'!C777*((C778*$O$2)+(D778*$O$3)+(E778*$O$4)+(F778*$O$5))</f>
        <v>15.628032</v>
      </c>
      <c r="I778" s="13">
        <f t="shared" si="7"/>
        <v>8.62426</v>
      </c>
      <c r="J778" s="18">
        <f t="shared" si="8"/>
        <v>0.1167295333</v>
      </c>
      <c r="K778" s="18">
        <f t="shared" si="10"/>
        <v>85.3870428</v>
      </c>
      <c r="L778" s="4"/>
      <c r="M778" s="4"/>
      <c r="N778" s="4"/>
      <c r="O778" s="4"/>
      <c r="P778" s="4"/>
      <c r="Q778" s="4"/>
      <c r="R778" s="4"/>
      <c r="S778" s="4"/>
      <c r="T778" s="4"/>
      <c r="U778" s="4"/>
      <c r="V778" s="4"/>
      <c r="W778" s="4"/>
    </row>
    <row r="779" ht="15.75" customHeight="1">
      <c r="A779" s="13">
        <f t="shared" si="9"/>
        <v>776</v>
      </c>
      <c r="B779" s="18">
        <f>A779/'Orbit Info'!$G$10</f>
        <v>8.201791673</v>
      </c>
      <c r="C779" s="13">
        <f t="shared" si="2"/>
        <v>0</v>
      </c>
      <c r="D779" s="13">
        <f t="shared" si="3"/>
        <v>1</v>
      </c>
      <c r="E779" s="13">
        <f t="shared" si="4"/>
        <v>0</v>
      </c>
      <c r="F779" s="13">
        <f t="shared" si="5"/>
        <v>0</v>
      </c>
      <c r="G779" s="13">
        <f t="shared" si="6"/>
        <v>1</v>
      </c>
      <c r="H779" s="13">
        <f>'Orbit Info'!C778*((C779*$O$2)+(D779*$O$3)+(E779*$O$4)+(F779*$O$5))</f>
        <v>15.628032</v>
      </c>
      <c r="I779" s="13">
        <f t="shared" si="7"/>
        <v>8.62426</v>
      </c>
      <c r="J779" s="18">
        <f t="shared" si="8"/>
        <v>0.1167295333</v>
      </c>
      <c r="K779" s="18">
        <f t="shared" si="10"/>
        <v>85.50377233</v>
      </c>
      <c r="L779" s="4"/>
      <c r="M779" s="4"/>
      <c r="N779" s="4"/>
      <c r="O779" s="4"/>
      <c r="P779" s="4"/>
      <c r="Q779" s="4"/>
      <c r="R779" s="4"/>
      <c r="S779" s="4"/>
      <c r="T779" s="4"/>
      <c r="U779" s="4"/>
      <c r="V779" s="4"/>
      <c r="W779" s="4"/>
    </row>
    <row r="780" ht="15.75" customHeight="1">
      <c r="A780" s="13">
        <f t="shared" si="9"/>
        <v>777</v>
      </c>
      <c r="B780" s="18">
        <f>A780/'Orbit Info'!$G$10</f>
        <v>8.212360992</v>
      </c>
      <c r="C780" s="13">
        <f t="shared" si="2"/>
        <v>0</v>
      </c>
      <c r="D780" s="13">
        <f t="shared" si="3"/>
        <v>1</v>
      </c>
      <c r="E780" s="13">
        <f t="shared" si="4"/>
        <v>0</v>
      </c>
      <c r="F780" s="13">
        <f t="shared" si="5"/>
        <v>0</v>
      </c>
      <c r="G780" s="13">
        <f t="shared" si="6"/>
        <v>1</v>
      </c>
      <c r="H780" s="13">
        <f>'Orbit Info'!C779*((C780*$O$2)+(D780*$O$3)+(E780*$O$4)+(F780*$O$5))</f>
        <v>15.628032</v>
      </c>
      <c r="I780" s="13">
        <f t="shared" si="7"/>
        <v>8.62426</v>
      </c>
      <c r="J780" s="18">
        <f t="shared" si="8"/>
        <v>0.1167295333</v>
      </c>
      <c r="K780" s="18">
        <f t="shared" si="10"/>
        <v>85.62050187</v>
      </c>
      <c r="L780" s="4"/>
      <c r="M780" s="4"/>
      <c r="N780" s="4"/>
      <c r="O780" s="4"/>
      <c r="P780" s="4"/>
      <c r="Q780" s="4"/>
      <c r="R780" s="4"/>
      <c r="S780" s="4"/>
      <c r="T780" s="4"/>
      <c r="U780" s="4"/>
      <c r="V780" s="4"/>
      <c r="W780" s="4"/>
    </row>
    <row r="781" ht="15.75" customHeight="1">
      <c r="A781" s="13">
        <f t="shared" si="9"/>
        <v>778</v>
      </c>
      <c r="B781" s="18">
        <f>A781/'Orbit Info'!$G$10</f>
        <v>8.222930311</v>
      </c>
      <c r="C781" s="13">
        <f t="shared" si="2"/>
        <v>0</v>
      </c>
      <c r="D781" s="13">
        <f t="shared" si="3"/>
        <v>1</v>
      </c>
      <c r="E781" s="13">
        <f t="shared" si="4"/>
        <v>0</v>
      </c>
      <c r="F781" s="13">
        <f t="shared" si="5"/>
        <v>0</v>
      </c>
      <c r="G781" s="13">
        <f t="shared" si="6"/>
        <v>1</v>
      </c>
      <c r="H781" s="13">
        <f>'Orbit Info'!C780*((C781*$O$2)+(D781*$O$3)+(E781*$O$4)+(F781*$O$5))</f>
        <v>15.628032</v>
      </c>
      <c r="I781" s="13">
        <f t="shared" si="7"/>
        <v>8.62426</v>
      </c>
      <c r="J781" s="18">
        <f t="shared" si="8"/>
        <v>0.1167295333</v>
      </c>
      <c r="K781" s="18">
        <f t="shared" si="10"/>
        <v>85.7372314</v>
      </c>
      <c r="L781" s="4"/>
      <c r="M781" s="4"/>
      <c r="N781" s="4"/>
      <c r="O781" s="4"/>
      <c r="P781" s="4"/>
      <c r="Q781" s="4"/>
      <c r="R781" s="4"/>
      <c r="S781" s="4"/>
      <c r="T781" s="4"/>
      <c r="U781" s="4"/>
      <c r="V781" s="4"/>
      <c r="W781" s="4"/>
    </row>
    <row r="782" ht="15.75" customHeight="1">
      <c r="A782" s="13">
        <f t="shared" si="9"/>
        <v>779</v>
      </c>
      <c r="B782" s="18">
        <f>A782/'Orbit Info'!$G$10</f>
        <v>8.23349963</v>
      </c>
      <c r="C782" s="13">
        <f t="shared" si="2"/>
        <v>0</v>
      </c>
      <c r="D782" s="13">
        <f t="shared" si="3"/>
        <v>1</v>
      </c>
      <c r="E782" s="13">
        <f t="shared" si="4"/>
        <v>0</v>
      </c>
      <c r="F782" s="13">
        <f t="shared" si="5"/>
        <v>0</v>
      </c>
      <c r="G782" s="13">
        <f t="shared" si="6"/>
        <v>1</v>
      </c>
      <c r="H782" s="13">
        <f>'Orbit Info'!C781*((C782*$O$2)+(D782*$O$3)+(E782*$O$4)+(F782*$O$5))</f>
        <v>15.628032</v>
      </c>
      <c r="I782" s="13">
        <f t="shared" si="7"/>
        <v>8.62426</v>
      </c>
      <c r="J782" s="18">
        <f t="shared" si="8"/>
        <v>0.1167295333</v>
      </c>
      <c r="K782" s="18">
        <f t="shared" si="10"/>
        <v>85.85396093</v>
      </c>
      <c r="L782" s="4"/>
      <c r="M782" s="4"/>
      <c r="N782" s="4"/>
      <c r="O782" s="4"/>
      <c r="P782" s="4"/>
      <c r="Q782" s="4"/>
      <c r="R782" s="4"/>
      <c r="S782" s="4"/>
      <c r="T782" s="4"/>
      <c r="U782" s="4"/>
      <c r="V782" s="4"/>
      <c r="W782" s="4"/>
    </row>
    <row r="783" ht="15.75" customHeight="1">
      <c r="A783" s="13">
        <f t="shared" si="9"/>
        <v>780</v>
      </c>
      <c r="B783" s="18">
        <f>A783/'Orbit Info'!$G$10</f>
        <v>8.244068949</v>
      </c>
      <c r="C783" s="13">
        <f t="shared" si="2"/>
        <v>0</v>
      </c>
      <c r="D783" s="13">
        <f t="shared" si="3"/>
        <v>1</v>
      </c>
      <c r="E783" s="13">
        <f t="shared" si="4"/>
        <v>0</v>
      </c>
      <c r="F783" s="13">
        <f t="shared" si="5"/>
        <v>0</v>
      </c>
      <c r="G783" s="13">
        <f t="shared" si="6"/>
        <v>1</v>
      </c>
      <c r="H783" s="13">
        <f>'Orbit Info'!C782*((C783*$O$2)+(D783*$O$3)+(E783*$O$4)+(F783*$O$5))</f>
        <v>15.628032</v>
      </c>
      <c r="I783" s="13">
        <f t="shared" si="7"/>
        <v>8.62426</v>
      </c>
      <c r="J783" s="18">
        <f t="shared" si="8"/>
        <v>0.1167295333</v>
      </c>
      <c r="K783" s="18">
        <f t="shared" si="10"/>
        <v>85.97069047</v>
      </c>
      <c r="L783" s="4"/>
      <c r="M783" s="4"/>
      <c r="N783" s="4"/>
      <c r="O783" s="4"/>
      <c r="P783" s="4"/>
      <c r="Q783" s="4"/>
      <c r="R783" s="4"/>
      <c r="S783" s="4"/>
      <c r="T783" s="4"/>
      <c r="U783" s="4"/>
      <c r="V783" s="4"/>
      <c r="W783" s="4"/>
    </row>
    <row r="784" ht="15.75" customHeight="1">
      <c r="A784" s="13">
        <f t="shared" si="9"/>
        <v>781</v>
      </c>
      <c r="B784" s="18">
        <f>A784/'Orbit Info'!$G$10</f>
        <v>8.254638269</v>
      </c>
      <c r="C784" s="13">
        <f t="shared" si="2"/>
        <v>0</v>
      </c>
      <c r="D784" s="13">
        <f t="shared" si="3"/>
        <v>1</v>
      </c>
      <c r="E784" s="13">
        <f t="shared" si="4"/>
        <v>0</v>
      </c>
      <c r="F784" s="13">
        <f t="shared" si="5"/>
        <v>0</v>
      </c>
      <c r="G784" s="13">
        <f t="shared" si="6"/>
        <v>1</v>
      </c>
      <c r="H784" s="13">
        <f>'Orbit Info'!C783*((C784*$O$2)+(D784*$O$3)+(E784*$O$4)+(F784*$O$5))</f>
        <v>15.628032</v>
      </c>
      <c r="I784" s="13">
        <f t="shared" si="7"/>
        <v>8.62426</v>
      </c>
      <c r="J784" s="18">
        <f t="shared" si="8"/>
        <v>0.1167295333</v>
      </c>
      <c r="K784" s="18">
        <f t="shared" si="10"/>
        <v>86.08742</v>
      </c>
      <c r="L784" s="4"/>
      <c r="M784" s="4"/>
      <c r="N784" s="4"/>
      <c r="O784" s="4"/>
      <c r="P784" s="4"/>
      <c r="Q784" s="4"/>
      <c r="R784" s="4"/>
      <c r="S784" s="4"/>
      <c r="T784" s="4"/>
      <c r="U784" s="4"/>
      <c r="V784" s="4"/>
      <c r="W784" s="4"/>
    </row>
    <row r="785" ht="15.75" customHeight="1">
      <c r="A785" s="13">
        <f t="shared" si="9"/>
        <v>782</v>
      </c>
      <c r="B785" s="18">
        <f>A785/'Orbit Info'!$G$10</f>
        <v>8.265207588</v>
      </c>
      <c r="C785" s="13">
        <f t="shared" si="2"/>
        <v>0</v>
      </c>
      <c r="D785" s="13">
        <f t="shared" si="3"/>
        <v>1</v>
      </c>
      <c r="E785" s="13">
        <f t="shared" si="4"/>
        <v>0</v>
      </c>
      <c r="F785" s="13">
        <f t="shared" si="5"/>
        <v>0</v>
      </c>
      <c r="G785" s="13">
        <f t="shared" si="6"/>
        <v>1</v>
      </c>
      <c r="H785" s="13">
        <f>'Orbit Info'!C784*((C785*$O$2)+(D785*$O$3)+(E785*$O$4)+(F785*$O$5))</f>
        <v>15.628032</v>
      </c>
      <c r="I785" s="13">
        <f t="shared" si="7"/>
        <v>8.62426</v>
      </c>
      <c r="J785" s="18">
        <f t="shared" si="8"/>
        <v>0.1167295333</v>
      </c>
      <c r="K785" s="18">
        <f t="shared" si="10"/>
        <v>86.20414953</v>
      </c>
      <c r="L785" s="4"/>
      <c r="M785" s="4"/>
      <c r="N785" s="4"/>
      <c r="O785" s="4"/>
      <c r="P785" s="4"/>
      <c r="Q785" s="4"/>
      <c r="R785" s="4"/>
      <c r="S785" s="4"/>
      <c r="T785" s="4"/>
      <c r="U785" s="4"/>
      <c r="V785" s="4"/>
      <c r="W785" s="4"/>
    </row>
    <row r="786" ht="15.75" customHeight="1">
      <c r="A786" s="13">
        <f t="shared" si="9"/>
        <v>783</v>
      </c>
      <c r="B786" s="18">
        <f>A786/'Orbit Info'!$G$10</f>
        <v>8.275776907</v>
      </c>
      <c r="C786" s="13">
        <f t="shared" si="2"/>
        <v>0</v>
      </c>
      <c r="D786" s="13">
        <f t="shared" si="3"/>
        <v>1</v>
      </c>
      <c r="E786" s="13">
        <f t="shared" si="4"/>
        <v>0</v>
      </c>
      <c r="F786" s="13">
        <f t="shared" si="5"/>
        <v>0</v>
      </c>
      <c r="G786" s="13">
        <f t="shared" si="6"/>
        <v>1</v>
      </c>
      <c r="H786" s="13">
        <f>'Orbit Info'!C785*((C786*$O$2)+(D786*$O$3)+(E786*$O$4)+(F786*$O$5))</f>
        <v>15.628032</v>
      </c>
      <c r="I786" s="13">
        <f t="shared" si="7"/>
        <v>8.62426</v>
      </c>
      <c r="J786" s="18">
        <f t="shared" si="8"/>
        <v>0.1167295333</v>
      </c>
      <c r="K786" s="18">
        <f t="shared" si="10"/>
        <v>86.32087907</v>
      </c>
      <c r="L786" s="4"/>
      <c r="M786" s="4"/>
      <c r="N786" s="4"/>
      <c r="O786" s="4"/>
      <c r="P786" s="4"/>
      <c r="Q786" s="4"/>
      <c r="R786" s="4"/>
      <c r="S786" s="4"/>
      <c r="T786" s="4"/>
      <c r="U786" s="4"/>
      <c r="V786" s="4"/>
      <c r="W786" s="4"/>
    </row>
    <row r="787" ht="15.75" customHeight="1">
      <c r="A787" s="13">
        <f t="shared" si="9"/>
        <v>784</v>
      </c>
      <c r="B787" s="18">
        <f>A787/'Orbit Info'!$G$10</f>
        <v>8.286346226</v>
      </c>
      <c r="C787" s="13">
        <f t="shared" si="2"/>
        <v>0</v>
      </c>
      <c r="D787" s="13">
        <f t="shared" si="3"/>
        <v>1</v>
      </c>
      <c r="E787" s="13">
        <f t="shared" si="4"/>
        <v>0</v>
      </c>
      <c r="F787" s="13">
        <f t="shared" si="5"/>
        <v>0</v>
      </c>
      <c r="G787" s="13">
        <f t="shared" si="6"/>
        <v>1</v>
      </c>
      <c r="H787" s="13">
        <f>'Orbit Info'!C786*((C787*$O$2)+(D787*$O$3)+(E787*$O$4)+(F787*$O$5))</f>
        <v>15.628032</v>
      </c>
      <c r="I787" s="13">
        <f t="shared" si="7"/>
        <v>8.62426</v>
      </c>
      <c r="J787" s="18">
        <f t="shared" si="8"/>
        <v>0.1167295333</v>
      </c>
      <c r="K787" s="18">
        <f t="shared" si="10"/>
        <v>86.4376086</v>
      </c>
      <c r="L787" s="4"/>
      <c r="M787" s="4"/>
      <c r="N787" s="4"/>
      <c r="O787" s="4"/>
      <c r="P787" s="4"/>
      <c r="Q787" s="4"/>
      <c r="R787" s="4"/>
      <c r="S787" s="4"/>
      <c r="T787" s="4"/>
      <c r="U787" s="4"/>
      <c r="V787" s="4"/>
      <c r="W787" s="4"/>
    </row>
    <row r="788" ht="15.75" customHeight="1">
      <c r="A788" s="13">
        <f t="shared" si="9"/>
        <v>785</v>
      </c>
      <c r="B788" s="18">
        <f>A788/'Orbit Info'!$G$10</f>
        <v>8.296915545</v>
      </c>
      <c r="C788" s="13">
        <f t="shared" si="2"/>
        <v>0</v>
      </c>
      <c r="D788" s="13">
        <f t="shared" si="3"/>
        <v>1</v>
      </c>
      <c r="E788" s="13">
        <f t="shared" si="4"/>
        <v>0</v>
      </c>
      <c r="F788" s="13">
        <f t="shared" si="5"/>
        <v>0</v>
      </c>
      <c r="G788" s="13">
        <f t="shared" si="6"/>
        <v>1</v>
      </c>
      <c r="H788" s="13">
        <f>'Orbit Info'!C787*((C788*$O$2)+(D788*$O$3)+(E788*$O$4)+(F788*$O$5))</f>
        <v>15.628032</v>
      </c>
      <c r="I788" s="13">
        <f t="shared" si="7"/>
        <v>8.62426</v>
      </c>
      <c r="J788" s="18">
        <f t="shared" si="8"/>
        <v>0.1167295333</v>
      </c>
      <c r="K788" s="18">
        <f t="shared" si="10"/>
        <v>86.55433813</v>
      </c>
      <c r="L788" s="4"/>
      <c r="M788" s="4"/>
      <c r="N788" s="4"/>
      <c r="O788" s="4"/>
      <c r="P788" s="4"/>
      <c r="Q788" s="4"/>
      <c r="R788" s="4"/>
      <c r="S788" s="4"/>
      <c r="T788" s="4"/>
      <c r="U788" s="4"/>
      <c r="V788" s="4"/>
      <c r="W788" s="4"/>
    </row>
    <row r="789" ht="15.75" customHeight="1">
      <c r="A789" s="13">
        <f t="shared" si="9"/>
        <v>786</v>
      </c>
      <c r="B789" s="18">
        <f>A789/'Orbit Info'!$G$10</f>
        <v>8.307484864</v>
      </c>
      <c r="C789" s="13">
        <f t="shared" si="2"/>
        <v>0</v>
      </c>
      <c r="D789" s="13">
        <f t="shared" si="3"/>
        <v>1</v>
      </c>
      <c r="E789" s="13">
        <f t="shared" si="4"/>
        <v>0</v>
      </c>
      <c r="F789" s="13">
        <f t="shared" si="5"/>
        <v>0</v>
      </c>
      <c r="G789" s="13">
        <f t="shared" si="6"/>
        <v>1</v>
      </c>
      <c r="H789" s="13">
        <f>'Orbit Info'!C788*((C789*$O$2)+(D789*$O$3)+(E789*$O$4)+(F789*$O$5))</f>
        <v>15.628032</v>
      </c>
      <c r="I789" s="13">
        <f t="shared" si="7"/>
        <v>8.62426</v>
      </c>
      <c r="J789" s="18">
        <f t="shared" si="8"/>
        <v>0.1167295333</v>
      </c>
      <c r="K789" s="18">
        <f t="shared" si="10"/>
        <v>86.67106767</v>
      </c>
      <c r="L789" s="4"/>
      <c r="M789" s="4"/>
      <c r="N789" s="4"/>
      <c r="O789" s="4"/>
      <c r="P789" s="4"/>
      <c r="Q789" s="4"/>
      <c r="R789" s="4"/>
      <c r="S789" s="4"/>
      <c r="T789" s="4"/>
      <c r="U789" s="4"/>
      <c r="V789" s="4"/>
      <c r="W789" s="4"/>
    </row>
    <row r="790" ht="15.75" customHeight="1">
      <c r="A790" s="13">
        <f t="shared" si="9"/>
        <v>787</v>
      </c>
      <c r="B790" s="18">
        <f>A790/'Orbit Info'!$G$10</f>
        <v>8.318054184</v>
      </c>
      <c r="C790" s="13">
        <f t="shared" si="2"/>
        <v>0</v>
      </c>
      <c r="D790" s="13">
        <f t="shared" si="3"/>
        <v>1</v>
      </c>
      <c r="E790" s="13">
        <f t="shared" si="4"/>
        <v>0</v>
      </c>
      <c r="F790" s="13">
        <f t="shared" si="5"/>
        <v>0</v>
      </c>
      <c r="G790" s="13">
        <f t="shared" si="6"/>
        <v>1</v>
      </c>
      <c r="H790" s="13">
        <f>'Orbit Info'!C789*((C790*$O$2)+(D790*$O$3)+(E790*$O$4)+(F790*$O$5))</f>
        <v>15.628032</v>
      </c>
      <c r="I790" s="13">
        <f t="shared" si="7"/>
        <v>8.62426</v>
      </c>
      <c r="J790" s="18">
        <f t="shared" si="8"/>
        <v>0.1167295333</v>
      </c>
      <c r="K790" s="18">
        <f t="shared" si="10"/>
        <v>86.7877972</v>
      </c>
      <c r="L790" s="4"/>
      <c r="M790" s="4"/>
      <c r="N790" s="4"/>
      <c r="O790" s="4"/>
      <c r="P790" s="4"/>
      <c r="Q790" s="4"/>
      <c r="R790" s="4"/>
      <c r="S790" s="4"/>
      <c r="T790" s="4"/>
      <c r="U790" s="4"/>
      <c r="V790" s="4"/>
      <c r="W790" s="4"/>
    </row>
    <row r="791" ht="15.75" customHeight="1">
      <c r="A791" s="13">
        <f t="shared" si="9"/>
        <v>788</v>
      </c>
      <c r="B791" s="18">
        <f>A791/'Orbit Info'!$G$10</f>
        <v>8.328623503</v>
      </c>
      <c r="C791" s="13">
        <f t="shared" si="2"/>
        <v>0</v>
      </c>
      <c r="D791" s="13">
        <f t="shared" si="3"/>
        <v>1</v>
      </c>
      <c r="E791" s="13">
        <f t="shared" si="4"/>
        <v>0</v>
      </c>
      <c r="F791" s="13">
        <f t="shared" si="5"/>
        <v>0</v>
      </c>
      <c r="G791" s="13">
        <f t="shared" si="6"/>
        <v>1</v>
      </c>
      <c r="H791" s="13">
        <f>'Orbit Info'!C790*((C791*$O$2)+(D791*$O$3)+(E791*$O$4)+(F791*$O$5))</f>
        <v>15.628032</v>
      </c>
      <c r="I791" s="13">
        <f t="shared" si="7"/>
        <v>8.62426</v>
      </c>
      <c r="J791" s="18">
        <f t="shared" si="8"/>
        <v>0.1167295333</v>
      </c>
      <c r="K791" s="18">
        <f t="shared" si="10"/>
        <v>86.90452673</v>
      </c>
      <c r="L791" s="4"/>
      <c r="M791" s="4"/>
      <c r="N791" s="4"/>
      <c r="O791" s="4"/>
      <c r="P791" s="4"/>
      <c r="Q791" s="4"/>
      <c r="R791" s="4"/>
      <c r="S791" s="4"/>
      <c r="T791" s="4"/>
      <c r="U791" s="4"/>
      <c r="V791" s="4"/>
      <c r="W791" s="4"/>
    </row>
    <row r="792" ht="15.75" customHeight="1">
      <c r="A792" s="13">
        <f t="shared" si="9"/>
        <v>789</v>
      </c>
      <c r="B792" s="18">
        <f>A792/'Orbit Info'!$G$10</f>
        <v>8.339192822</v>
      </c>
      <c r="C792" s="13">
        <f t="shared" si="2"/>
        <v>0</v>
      </c>
      <c r="D792" s="13">
        <f t="shared" si="3"/>
        <v>1</v>
      </c>
      <c r="E792" s="13">
        <f t="shared" si="4"/>
        <v>0</v>
      </c>
      <c r="F792" s="13">
        <f t="shared" si="5"/>
        <v>0</v>
      </c>
      <c r="G792" s="13">
        <f t="shared" si="6"/>
        <v>1</v>
      </c>
      <c r="H792" s="13">
        <f>'Orbit Info'!C791*((C792*$O$2)+(D792*$O$3)+(E792*$O$4)+(F792*$O$5))</f>
        <v>15.628032</v>
      </c>
      <c r="I792" s="13">
        <f t="shared" si="7"/>
        <v>8.62426</v>
      </c>
      <c r="J792" s="18">
        <f t="shared" si="8"/>
        <v>0.1167295333</v>
      </c>
      <c r="K792" s="18">
        <f t="shared" si="10"/>
        <v>87.02125627</v>
      </c>
      <c r="L792" s="4"/>
      <c r="M792" s="4"/>
      <c r="N792" s="4"/>
      <c r="O792" s="4"/>
      <c r="P792" s="4"/>
      <c r="Q792" s="4"/>
      <c r="R792" s="4"/>
      <c r="S792" s="4"/>
      <c r="T792" s="4"/>
      <c r="U792" s="4"/>
      <c r="V792" s="4"/>
      <c r="W792" s="4"/>
    </row>
    <row r="793" ht="15.75" customHeight="1">
      <c r="A793" s="13">
        <f t="shared" si="9"/>
        <v>790</v>
      </c>
      <c r="B793" s="18">
        <f>A793/'Orbit Info'!$G$10</f>
        <v>8.349762141</v>
      </c>
      <c r="C793" s="13">
        <f t="shared" si="2"/>
        <v>0</v>
      </c>
      <c r="D793" s="13">
        <f t="shared" si="3"/>
        <v>1</v>
      </c>
      <c r="E793" s="13">
        <f t="shared" si="4"/>
        <v>0</v>
      </c>
      <c r="F793" s="13">
        <f t="shared" si="5"/>
        <v>0</v>
      </c>
      <c r="G793" s="13">
        <f t="shared" si="6"/>
        <v>1</v>
      </c>
      <c r="H793" s="13">
        <f>'Orbit Info'!C792*((C793*$O$2)+(D793*$O$3)+(E793*$O$4)+(F793*$O$5))</f>
        <v>15.628032</v>
      </c>
      <c r="I793" s="13">
        <f t="shared" si="7"/>
        <v>8.62426</v>
      </c>
      <c r="J793" s="18">
        <f t="shared" si="8"/>
        <v>0.1167295333</v>
      </c>
      <c r="K793" s="18">
        <f t="shared" si="10"/>
        <v>87.1379858</v>
      </c>
      <c r="L793" s="4"/>
      <c r="M793" s="4"/>
      <c r="N793" s="4"/>
      <c r="O793" s="4"/>
      <c r="P793" s="4"/>
      <c r="Q793" s="4"/>
      <c r="R793" s="4"/>
      <c r="S793" s="4"/>
      <c r="T793" s="4"/>
      <c r="U793" s="4"/>
      <c r="V793" s="4"/>
      <c r="W793" s="4"/>
    </row>
    <row r="794" ht="15.75" customHeight="1">
      <c r="A794" s="13">
        <f t="shared" si="9"/>
        <v>791</v>
      </c>
      <c r="B794" s="18">
        <f>A794/'Orbit Info'!$G$10</f>
        <v>8.36033146</v>
      </c>
      <c r="C794" s="13">
        <f t="shared" si="2"/>
        <v>0</v>
      </c>
      <c r="D794" s="13">
        <f t="shared" si="3"/>
        <v>1</v>
      </c>
      <c r="E794" s="13">
        <f t="shared" si="4"/>
        <v>0</v>
      </c>
      <c r="F794" s="13">
        <f t="shared" si="5"/>
        <v>0</v>
      </c>
      <c r="G794" s="13">
        <f t="shared" si="6"/>
        <v>1</v>
      </c>
      <c r="H794" s="13">
        <f>'Orbit Info'!C793*((C794*$O$2)+(D794*$O$3)+(E794*$O$4)+(F794*$O$5))</f>
        <v>15.628032</v>
      </c>
      <c r="I794" s="13">
        <f t="shared" si="7"/>
        <v>8.62426</v>
      </c>
      <c r="J794" s="18">
        <f t="shared" si="8"/>
        <v>0.1167295333</v>
      </c>
      <c r="K794" s="18">
        <f t="shared" si="10"/>
        <v>87.25471533</v>
      </c>
      <c r="L794" s="4"/>
      <c r="M794" s="4"/>
      <c r="N794" s="4"/>
      <c r="O794" s="4"/>
      <c r="P794" s="4"/>
      <c r="Q794" s="4"/>
      <c r="R794" s="4"/>
      <c r="S794" s="4"/>
      <c r="T794" s="4"/>
      <c r="U794" s="4"/>
      <c r="V794" s="4"/>
      <c r="W794" s="4"/>
    </row>
    <row r="795" ht="15.75" customHeight="1">
      <c r="A795" s="13">
        <f t="shared" si="9"/>
        <v>792</v>
      </c>
      <c r="B795" s="18">
        <f>A795/'Orbit Info'!$G$10</f>
        <v>8.370900779</v>
      </c>
      <c r="C795" s="13">
        <f t="shared" si="2"/>
        <v>0</v>
      </c>
      <c r="D795" s="13">
        <f t="shared" si="3"/>
        <v>1</v>
      </c>
      <c r="E795" s="13">
        <f t="shared" si="4"/>
        <v>0</v>
      </c>
      <c r="F795" s="13">
        <f t="shared" si="5"/>
        <v>0</v>
      </c>
      <c r="G795" s="13">
        <f t="shared" si="6"/>
        <v>1</v>
      </c>
      <c r="H795" s="13">
        <f>'Orbit Info'!C794*((C795*$O$2)+(D795*$O$3)+(E795*$O$4)+(F795*$O$5))</f>
        <v>15.628032</v>
      </c>
      <c r="I795" s="13">
        <f t="shared" si="7"/>
        <v>8.62426</v>
      </c>
      <c r="J795" s="18">
        <f t="shared" si="8"/>
        <v>0.1167295333</v>
      </c>
      <c r="K795" s="18">
        <f t="shared" si="10"/>
        <v>87.37144487</v>
      </c>
      <c r="L795" s="4"/>
      <c r="M795" s="4"/>
      <c r="N795" s="4"/>
      <c r="O795" s="4"/>
      <c r="P795" s="4"/>
      <c r="Q795" s="4"/>
      <c r="R795" s="4"/>
      <c r="S795" s="4"/>
      <c r="T795" s="4"/>
      <c r="U795" s="4"/>
      <c r="V795" s="4"/>
      <c r="W795" s="4"/>
    </row>
    <row r="796" ht="15.75" customHeight="1">
      <c r="A796" s="13">
        <f t="shared" si="9"/>
        <v>793</v>
      </c>
      <c r="B796" s="18">
        <f>A796/'Orbit Info'!$G$10</f>
        <v>8.381470099</v>
      </c>
      <c r="C796" s="13">
        <f t="shared" si="2"/>
        <v>0</v>
      </c>
      <c r="D796" s="13">
        <f t="shared" si="3"/>
        <v>1</v>
      </c>
      <c r="E796" s="13">
        <f t="shared" si="4"/>
        <v>0</v>
      </c>
      <c r="F796" s="13">
        <f t="shared" si="5"/>
        <v>0</v>
      </c>
      <c r="G796" s="13">
        <f t="shared" si="6"/>
        <v>1</v>
      </c>
      <c r="H796" s="13">
        <f>'Orbit Info'!C795*((C796*$O$2)+(D796*$O$3)+(E796*$O$4)+(F796*$O$5))</f>
        <v>15.628032</v>
      </c>
      <c r="I796" s="13">
        <f t="shared" si="7"/>
        <v>8.62426</v>
      </c>
      <c r="J796" s="18">
        <f t="shared" si="8"/>
        <v>0.1167295333</v>
      </c>
      <c r="K796" s="18">
        <f t="shared" si="10"/>
        <v>87.4881744</v>
      </c>
      <c r="L796" s="4"/>
      <c r="M796" s="4"/>
      <c r="N796" s="4"/>
      <c r="O796" s="4"/>
      <c r="P796" s="4"/>
      <c r="Q796" s="4"/>
      <c r="R796" s="4"/>
      <c r="S796" s="4"/>
      <c r="T796" s="4"/>
      <c r="U796" s="4"/>
      <c r="V796" s="4"/>
      <c r="W796" s="4"/>
    </row>
    <row r="797" ht="15.75" customHeight="1">
      <c r="A797" s="13">
        <f t="shared" si="9"/>
        <v>794</v>
      </c>
      <c r="B797" s="18">
        <f>A797/'Orbit Info'!$G$10</f>
        <v>8.392039418</v>
      </c>
      <c r="C797" s="13">
        <f t="shared" si="2"/>
        <v>0</v>
      </c>
      <c r="D797" s="13">
        <f t="shared" si="3"/>
        <v>1</v>
      </c>
      <c r="E797" s="13">
        <f t="shared" si="4"/>
        <v>0</v>
      </c>
      <c r="F797" s="13">
        <f t="shared" si="5"/>
        <v>0</v>
      </c>
      <c r="G797" s="13">
        <f t="shared" si="6"/>
        <v>1</v>
      </c>
      <c r="H797" s="13">
        <f>'Orbit Info'!C796*((C797*$O$2)+(D797*$O$3)+(E797*$O$4)+(F797*$O$5))</f>
        <v>15.628032</v>
      </c>
      <c r="I797" s="13">
        <f t="shared" si="7"/>
        <v>8.62426</v>
      </c>
      <c r="J797" s="18">
        <f t="shared" si="8"/>
        <v>0.1167295333</v>
      </c>
      <c r="K797" s="18">
        <f t="shared" si="10"/>
        <v>87.60490393</v>
      </c>
      <c r="L797" s="4"/>
      <c r="M797" s="4"/>
      <c r="N797" s="4"/>
      <c r="O797" s="4"/>
      <c r="P797" s="4"/>
      <c r="Q797" s="4"/>
      <c r="R797" s="4"/>
      <c r="S797" s="4"/>
      <c r="T797" s="4"/>
      <c r="U797" s="4"/>
      <c r="V797" s="4"/>
      <c r="W797" s="4"/>
    </row>
    <row r="798" ht="15.75" customHeight="1">
      <c r="A798" s="13">
        <f t="shared" si="9"/>
        <v>795</v>
      </c>
      <c r="B798" s="18">
        <f>A798/'Orbit Info'!$G$10</f>
        <v>8.402608737</v>
      </c>
      <c r="C798" s="13">
        <f t="shared" si="2"/>
        <v>0</v>
      </c>
      <c r="D798" s="13">
        <f t="shared" si="3"/>
        <v>1</v>
      </c>
      <c r="E798" s="13">
        <f t="shared" si="4"/>
        <v>0</v>
      </c>
      <c r="F798" s="13">
        <f t="shared" si="5"/>
        <v>0</v>
      </c>
      <c r="G798" s="13">
        <f t="shared" si="6"/>
        <v>1</v>
      </c>
      <c r="H798" s="13">
        <f>'Orbit Info'!C797*((C798*$O$2)+(D798*$O$3)+(E798*$O$4)+(F798*$O$5))</f>
        <v>15.628032</v>
      </c>
      <c r="I798" s="13">
        <f t="shared" si="7"/>
        <v>8.62426</v>
      </c>
      <c r="J798" s="18">
        <f t="shared" si="8"/>
        <v>0.1167295333</v>
      </c>
      <c r="K798" s="18">
        <f t="shared" si="10"/>
        <v>87.72163347</v>
      </c>
      <c r="L798" s="4"/>
      <c r="M798" s="4"/>
      <c r="N798" s="4"/>
      <c r="O798" s="4"/>
      <c r="P798" s="4"/>
      <c r="Q798" s="4"/>
      <c r="R798" s="4"/>
      <c r="S798" s="4"/>
      <c r="T798" s="4"/>
      <c r="U798" s="4"/>
      <c r="V798" s="4"/>
      <c r="W798" s="4"/>
    </row>
    <row r="799" ht="15.75" customHeight="1">
      <c r="A799" s="13">
        <f t="shared" si="9"/>
        <v>796</v>
      </c>
      <c r="B799" s="18">
        <f>A799/'Orbit Info'!$G$10</f>
        <v>8.413178056</v>
      </c>
      <c r="C799" s="13">
        <f t="shared" si="2"/>
        <v>0</v>
      </c>
      <c r="D799" s="13">
        <f t="shared" si="3"/>
        <v>1</v>
      </c>
      <c r="E799" s="13">
        <f t="shared" si="4"/>
        <v>0</v>
      </c>
      <c r="F799" s="13">
        <f t="shared" si="5"/>
        <v>0</v>
      </c>
      <c r="G799" s="13">
        <f t="shared" si="6"/>
        <v>1</v>
      </c>
      <c r="H799" s="13">
        <f>'Orbit Info'!C798*((C799*$O$2)+(D799*$O$3)+(E799*$O$4)+(F799*$O$5))</f>
        <v>15.628032</v>
      </c>
      <c r="I799" s="13">
        <f t="shared" si="7"/>
        <v>8.62426</v>
      </c>
      <c r="J799" s="18">
        <f t="shared" si="8"/>
        <v>0.1167295333</v>
      </c>
      <c r="K799" s="18">
        <f t="shared" si="10"/>
        <v>87.838363</v>
      </c>
      <c r="L799" s="4"/>
      <c r="M799" s="4"/>
      <c r="N799" s="4"/>
      <c r="O799" s="4"/>
      <c r="P799" s="4"/>
      <c r="Q799" s="4"/>
      <c r="R799" s="4"/>
      <c r="S799" s="4"/>
      <c r="T799" s="4"/>
      <c r="U799" s="4"/>
      <c r="V799" s="4"/>
      <c r="W799" s="4"/>
    </row>
    <row r="800" ht="15.75" customHeight="1">
      <c r="A800" s="13">
        <f t="shared" si="9"/>
        <v>797</v>
      </c>
      <c r="B800" s="18">
        <f>A800/'Orbit Info'!$G$10</f>
        <v>8.423747375</v>
      </c>
      <c r="C800" s="13">
        <f t="shared" si="2"/>
        <v>0</v>
      </c>
      <c r="D800" s="13">
        <f t="shared" si="3"/>
        <v>1</v>
      </c>
      <c r="E800" s="13">
        <f t="shared" si="4"/>
        <v>0</v>
      </c>
      <c r="F800" s="13">
        <f t="shared" si="5"/>
        <v>0</v>
      </c>
      <c r="G800" s="13">
        <f t="shared" si="6"/>
        <v>1</v>
      </c>
      <c r="H800" s="13">
        <f>'Orbit Info'!C799*((C800*$O$2)+(D800*$O$3)+(E800*$O$4)+(F800*$O$5))</f>
        <v>15.628032</v>
      </c>
      <c r="I800" s="13">
        <f t="shared" si="7"/>
        <v>8.62426</v>
      </c>
      <c r="J800" s="18">
        <f t="shared" si="8"/>
        <v>0.1167295333</v>
      </c>
      <c r="K800" s="18">
        <f t="shared" si="10"/>
        <v>87.95509253</v>
      </c>
      <c r="L800" s="4"/>
      <c r="M800" s="4"/>
      <c r="N800" s="4"/>
      <c r="O800" s="4"/>
      <c r="P800" s="4"/>
      <c r="Q800" s="4"/>
      <c r="R800" s="4"/>
      <c r="S800" s="4"/>
      <c r="T800" s="4"/>
      <c r="U800" s="4"/>
      <c r="V800" s="4"/>
      <c r="W800" s="4"/>
    </row>
    <row r="801" ht="15.75" customHeight="1">
      <c r="A801" s="13">
        <f t="shared" si="9"/>
        <v>798</v>
      </c>
      <c r="B801" s="18">
        <f>A801/'Orbit Info'!$G$10</f>
        <v>8.434316694</v>
      </c>
      <c r="C801" s="13">
        <f t="shared" si="2"/>
        <v>0</v>
      </c>
      <c r="D801" s="13">
        <f t="shared" si="3"/>
        <v>1</v>
      </c>
      <c r="E801" s="13">
        <f t="shared" si="4"/>
        <v>0</v>
      </c>
      <c r="F801" s="13">
        <f t="shared" si="5"/>
        <v>0</v>
      </c>
      <c r="G801" s="13">
        <f t="shared" si="6"/>
        <v>1</v>
      </c>
      <c r="H801" s="13">
        <f>'Orbit Info'!C800*((C801*$O$2)+(D801*$O$3)+(E801*$O$4)+(F801*$O$5))</f>
        <v>15.628032</v>
      </c>
      <c r="I801" s="13">
        <f t="shared" si="7"/>
        <v>8.62426</v>
      </c>
      <c r="J801" s="18">
        <f t="shared" si="8"/>
        <v>0.1167295333</v>
      </c>
      <c r="K801" s="18">
        <f t="shared" si="10"/>
        <v>88.07182207</v>
      </c>
      <c r="L801" s="4"/>
      <c r="M801" s="4"/>
      <c r="N801" s="4"/>
      <c r="O801" s="4"/>
      <c r="P801" s="4"/>
      <c r="Q801" s="4"/>
      <c r="R801" s="4"/>
      <c r="S801" s="4"/>
      <c r="T801" s="4"/>
      <c r="U801" s="4"/>
      <c r="V801" s="4"/>
      <c r="W801" s="4"/>
    </row>
    <row r="802" ht="15.75" customHeight="1">
      <c r="A802" s="13">
        <f t="shared" si="9"/>
        <v>799</v>
      </c>
      <c r="B802" s="18">
        <f>A802/'Orbit Info'!$G$10</f>
        <v>8.444886014</v>
      </c>
      <c r="C802" s="13">
        <f t="shared" si="2"/>
        <v>0</v>
      </c>
      <c r="D802" s="13">
        <f t="shared" si="3"/>
        <v>1</v>
      </c>
      <c r="E802" s="13">
        <f t="shared" si="4"/>
        <v>0</v>
      </c>
      <c r="F802" s="13">
        <f t="shared" si="5"/>
        <v>0</v>
      </c>
      <c r="G802" s="13">
        <f t="shared" si="6"/>
        <v>1</v>
      </c>
      <c r="H802" s="13">
        <f>'Orbit Info'!C801*((C802*$O$2)+(D802*$O$3)+(E802*$O$4)+(F802*$O$5))</f>
        <v>15.628032</v>
      </c>
      <c r="I802" s="13">
        <f t="shared" si="7"/>
        <v>8.62426</v>
      </c>
      <c r="J802" s="18">
        <f t="shared" si="8"/>
        <v>0.1167295333</v>
      </c>
      <c r="K802" s="18">
        <f t="shared" si="10"/>
        <v>88.1885516</v>
      </c>
      <c r="L802" s="4"/>
      <c r="M802" s="4"/>
      <c r="N802" s="4"/>
      <c r="O802" s="4"/>
      <c r="P802" s="4"/>
      <c r="Q802" s="4"/>
      <c r="R802" s="4"/>
      <c r="S802" s="4"/>
      <c r="T802" s="4"/>
      <c r="U802" s="4"/>
      <c r="V802" s="4"/>
      <c r="W802" s="4"/>
    </row>
    <row r="803" ht="15.75" customHeight="1">
      <c r="A803" s="13">
        <f t="shared" si="9"/>
        <v>800</v>
      </c>
      <c r="B803" s="18">
        <f>A803/'Orbit Info'!$G$10</f>
        <v>8.455455333</v>
      </c>
      <c r="C803" s="13">
        <f t="shared" si="2"/>
        <v>0</v>
      </c>
      <c r="D803" s="13">
        <f t="shared" si="3"/>
        <v>1</v>
      </c>
      <c r="E803" s="13">
        <f t="shared" si="4"/>
        <v>0</v>
      </c>
      <c r="F803" s="13">
        <f t="shared" si="5"/>
        <v>0</v>
      </c>
      <c r="G803" s="13">
        <f t="shared" si="6"/>
        <v>1</v>
      </c>
      <c r="H803" s="13">
        <f>'Orbit Info'!C802*((C803*$O$2)+(D803*$O$3)+(E803*$O$4)+(F803*$O$5))</f>
        <v>15.628032</v>
      </c>
      <c r="I803" s="13">
        <f t="shared" si="7"/>
        <v>8.62426</v>
      </c>
      <c r="J803" s="18">
        <f t="shared" si="8"/>
        <v>0.1167295333</v>
      </c>
      <c r="K803" s="18">
        <f t="shared" si="10"/>
        <v>88.2</v>
      </c>
      <c r="L803" s="4"/>
      <c r="M803" s="4"/>
      <c r="N803" s="4"/>
      <c r="O803" s="4"/>
      <c r="P803" s="4"/>
      <c r="Q803" s="4"/>
      <c r="R803" s="4"/>
      <c r="S803" s="4"/>
      <c r="T803" s="4"/>
      <c r="U803" s="4"/>
      <c r="V803" s="4"/>
      <c r="W803" s="4"/>
    </row>
    <row r="804" ht="15.75" customHeight="1">
      <c r="A804" s="13">
        <f t="shared" si="9"/>
        <v>801</v>
      </c>
      <c r="B804" s="18">
        <f>A804/'Orbit Info'!$G$10</f>
        <v>8.466024652</v>
      </c>
      <c r="C804" s="13">
        <f t="shared" si="2"/>
        <v>0</v>
      </c>
      <c r="D804" s="13">
        <f t="shared" si="3"/>
        <v>1</v>
      </c>
      <c r="E804" s="13">
        <f t="shared" si="4"/>
        <v>0</v>
      </c>
      <c r="F804" s="13">
        <f t="shared" si="5"/>
        <v>0</v>
      </c>
      <c r="G804" s="13">
        <f t="shared" si="6"/>
        <v>1</v>
      </c>
      <c r="H804" s="13">
        <f>'Orbit Info'!C803*((C804*$O$2)+(D804*$O$3)+(E804*$O$4)+(F804*$O$5))</f>
        <v>15.628032</v>
      </c>
      <c r="I804" s="13">
        <f t="shared" si="7"/>
        <v>8.62426</v>
      </c>
      <c r="J804" s="18">
        <f t="shared" si="8"/>
        <v>0.1167295333</v>
      </c>
      <c r="K804" s="18">
        <f t="shared" si="10"/>
        <v>88.2</v>
      </c>
      <c r="L804" s="4"/>
      <c r="M804" s="4"/>
      <c r="N804" s="4"/>
      <c r="O804" s="4"/>
      <c r="P804" s="4"/>
      <c r="Q804" s="4"/>
      <c r="R804" s="4"/>
      <c r="S804" s="4"/>
      <c r="T804" s="4"/>
      <c r="U804" s="4"/>
      <c r="V804" s="4"/>
      <c r="W804" s="4"/>
    </row>
    <row r="805" ht="15.75" customHeight="1">
      <c r="A805" s="13">
        <f t="shared" si="9"/>
        <v>802</v>
      </c>
      <c r="B805" s="18">
        <f>A805/'Orbit Info'!$G$10</f>
        <v>8.476593971</v>
      </c>
      <c r="C805" s="13">
        <f t="shared" si="2"/>
        <v>0</v>
      </c>
      <c r="D805" s="13">
        <f t="shared" si="3"/>
        <v>1</v>
      </c>
      <c r="E805" s="13">
        <f t="shared" si="4"/>
        <v>0</v>
      </c>
      <c r="F805" s="13">
        <f t="shared" si="5"/>
        <v>0</v>
      </c>
      <c r="G805" s="13">
        <f t="shared" si="6"/>
        <v>1</v>
      </c>
      <c r="H805" s="13">
        <f>'Orbit Info'!C804*((C805*$O$2)+(D805*$O$3)+(E805*$O$4)+(F805*$O$5))</f>
        <v>15.628032</v>
      </c>
      <c r="I805" s="13">
        <f t="shared" si="7"/>
        <v>8.62426</v>
      </c>
      <c r="J805" s="18">
        <f t="shared" si="8"/>
        <v>0.1167295333</v>
      </c>
      <c r="K805" s="18">
        <f t="shared" si="10"/>
        <v>88.2</v>
      </c>
      <c r="L805" s="4"/>
      <c r="M805" s="4"/>
      <c r="N805" s="4"/>
      <c r="O805" s="4"/>
      <c r="P805" s="4"/>
      <c r="Q805" s="4"/>
      <c r="R805" s="4"/>
      <c r="S805" s="4"/>
      <c r="T805" s="4"/>
      <c r="U805" s="4"/>
      <c r="V805" s="4"/>
      <c r="W805" s="4"/>
    </row>
    <row r="806" ht="15.75" customHeight="1">
      <c r="A806" s="13">
        <f t="shared" si="9"/>
        <v>803</v>
      </c>
      <c r="B806" s="18">
        <f>A806/'Orbit Info'!$G$10</f>
        <v>8.48716329</v>
      </c>
      <c r="C806" s="13">
        <f t="shared" si="2"/>
        <v>0</v>
      </c>
      <c r="D806" s="13">
        <f t="shared" si="3"/>
        <v>1</v>
      </c>
      <c r="E806" s="13">
        <f t="shared" si="4"/>
        <v>0</v>
      </c>
      <c r="F806" s="13">
        <f t="shared" si="5"/>
        <v>0</v>
      </c>
      <c r="G806" s="13">
        <f t="shared" si="6"/>
        <v>1</v>
      </c>
      <c r="H806" s="13">
        <f>'Orbit Info'!C805*((C806*$O$2)+(D806*$O$3)+(E806*$O$4)+(F806*$O$5))</f>
        <v>15.628032</v>
      </c>
      <c r="I806" s="13">
        <f t="shared" si="7"/>
        <v>8.62426</v>
      </c>
      <c r="J806" s="18">
        <f t="shared" si="8"/>
        <v>0.1167295333</v>
      </c>
      <c r="K806" s="18">
        <f t="shared" si="10"/>
        <v>88.2</v>
      </c>
      <c r="L806" s="4"/>
      <c r="M806" s="4"/>
      <c r="N806" s="4"/>
      <c r="O806" s="4"/>
      <c r="P806" s="4"/>
      <c r="Q806" s="4"/>
      <c r="R806" s="4"/>
      <c r="S806" s="4"/>
      <c r="T806" s="4"/>
      <c r="U806" s="4"/>
      <c r="V806" s="4"/>
      <c r="W806" s="4"/>
    </row>
    <row r="807" ht="15.75" customHeight="1">
      <c r="A807" s="13">
        <f t="shared" si="9"/>
        <v>804</v>
      </c>
      <c r="B807" s="18">
        <f>A807/'Orbit Info'!$G$10</f>
        <v>8.497732609</v>
      </c>
      <c r="C807" s="13">
        <f t="shared" si="2"/>
        <v>0</v>
      </c>
      <c r="D807" s="13">
        <f t="shared" si="3"/>
        <v>1</v>
      </c>
      <c r="E807" s="13">
        <f t="shared" si="4"/>
        <v>0</v>
      </c>
      <c r="F807" s="13">
        <f t="shared" si="5"/>
        <v>0</v>
      </c>
      <c r="G807" s="13">
        <f t="shared" si="6"/>
        <v>1</v>
      </c>
      <c r="H807" s="13">
        <f>'Orbit Info'!C806*((C807*$O$2)+(D807*$O$3)+(E807*$O$4)+(F807*$O$5))</f>
        <v>15.628032</v>
      </c>
      <c r="I807" s="13">
        <f t="shared" si="7"/>
        <v>8.62426</v>
      </c>
      <c r="J807" s="18">
        <f t="shared" si="8"/>
        <v>0.1167295333</v>
      </c>
      <c r="K807" s="18">
        <f t="shared" si="10"/>
        <v>88.2</v>
      </c>
      <c r="L807" s="4"/>
      <c r="M807" s="4"/>
      <c r="N807" s="4"/>
      <c r="O807" s="4"/>
      <c r="P807" s="4"/>
      <c r="Q807" s="4"/>
      <c r="R807" s="4"/>
      <c r="S807" s="4"/>
      <c r="T807" s="4"/>
      <c r="U807" s="4"/>
      <c r="V807" s="4"/>
      <c r="W807" s="4"/>
    </row>
    <row r="808" ht="15.75" customHeight="1">
      <c r="A808" s="13">
        <f t="shared" si="9"/>
        <v>805</v>
      </c>
      <c r="B808" s="18">
        <f>A808/'Orbit Info'!$G$10</f>
        <v>8.508301929</v>
      </c>
      <c r="C808" s="13">
        <f t="shared" si="2"/>
        <v>0</v>
      </c>
      <c r="D808" s="13">
        <f t="shared" si="3"/>
        <v>1</v>
      </c>
      <c r="E808" s="13">
        <f t="shared" si="4"/>
        <v>0</v>
      </c>
      <c r="F808" s="13">
        <f t="shared" si="5"/>
        <v>0</v>
      </c>
      <c r="G808" s="13">
        <f t="shared" si="6"/>
        <v>1</v>
      </c>
      <c r="H808" s="13">
        <f>'Orbit Info'!C807*((C808*$O$2)+(D808*$O$3)+(E808*$O$4)+(F808*$O$5))</f>
        <v>15.628032</v>
      </c>
      <c r="I808" s="13">
        <f t="shared" si="7"/>
        <v>8.62426</v>
      </c>
      <c r="J808" s="18">
        <f t="shared" si="8"/>
        <v>0.1167295333</v>
      </c>
      <c r="K808" s="18">
        <f t="shared" si="10"/>
        <v>88.2</v>
      </c>
      <c r="L808" s="4"/>
      <c r="M808" s="4"/>
      <c r="N808" s="4"/>
      <c r="O808" s="4"/>
      <c r="P808" s="4"/>
      <c r="Q808" s="4"/>
      <c r="R808" s="4"/>
      <c r="S808" s="4"/>
      <c r="T808" s="4"/>
      <c r="U808" s="4"/>
      <c r="V808" s="4"/>
      <c r="W808" s="4"/>
    </row>
    <row r="809" ht="15.75" customHeight="1">
      <c r="A809" s="13">
        <f t="shared" si="9"/>
        <v>806</v>
      </c>
      <c r="B809" s="18">
        <f>A809/'Orbit Info'!$G$10</f>
        <v>8.518871248</v>
      </c>
      <c r="C809" s="13">
        <f t="shared" si="2"/>
        <v>0</v>
      </c>
      <c r="D809" s="13">
        <f t="shared" si="3"/>
        <v>1</v>
      </c>
      <c r="E809" s="13">
        <f t="shared" si="4"/>
        <v>0</v>
      </c>
      <c r="F809" s="13">
        <f t="shared" si="5"/>
        <v>0</v>
      </c>
      <c r="G809" s="13">
        <f t="shared" si="6"/>
        <v>1</v>
      </c>
      <c r="H809" s="13">
        <f>'Orbit Info'!C808*((C809*$O$2)+(D809*$O$3)+(E809*$O$4)+(F809*$O$5))</f>
        <v>15.628032</v>
      </c>
      <c r="I809" s="13">
        <f t="shared" si="7"/>
        <v>8.62426</v>
      </c>
      <c r="J809" s="18">
        <f t="shared" si="8"/>
        <v>0.1167295333</v>
      </c>
      <c r="K809" s="18">
        <f t="shared" si="10"/>
        <v>88.2</v>
      </c>
      <c r="L809" s="4"/>
      <c r="M809" s="4"/>
      <c r="N809" s="4"/>
      <c r="O809" s="4"/>
      <c r="P809" s="4"/>
      <c r="Q809" s="4"/>
      <c r="R809" s="4"/>
      <c r="S809" s="4"/>
      <c r="T809" s="4"/>
      <c r="U809" s="4"/>
      <c r="V809" s="4"/>
      <c r="W809" s="4"/>
    </row>
    <row r="810" ht="15.75" customHeight="1">
      <c r="A810" s="13">
        <f t="shared" si="9"/>
        <v>807</v>
      </c>
      <c r="B810" s="18">
        <f>A810/'Orbit Info'!$G$10</f>
        <v>8.529440567</v>
      </c>
      <c r="C810" s="13">
        <f t="shared" si="2"/>
        <v>0</v>
      </c>
      <c r="D810" s="13">
        <f t="shared" si="3"/>
        <v>1</v>
      </c>
      <c r="E810" s="13">
        <f t="shared" si="4"/>
        <v>0</v>
      </c>
      <c r="F810" s="13">
        <f t="shared" si="5"/>
        <v>0</v>
      </c>
      <c r="G810" s="13">
        <f t="shared" si="6"/>
        <v>1</v>
      </c>
      <c r="H810" s="13">
        <f>'Orbit Info'!C809*((C810*$O$2)+(D810*$O$3)+(E810*$O$4)+(F810*$O$5))</f>
        <v>15.628032</v>
      </c>
      <c r="I810" s="13">
        <f t="shared" si="7"/>
        <v>8.62426</v>
      </c>
      <c r="J810" s="18">
        <f t="shared" si="8"/>
        <v>0.1167295333</v>
      </c>
      <c r="K810" s="18">
        <f t="shared" si="10"/>
        <v>88.2</v>
      </c>
      <c r="L810" s="4"/>
      <c r="M810" s="4"/>
      <c r="N810" s="4"/>
      <c r="O810" s="4"/>
      <c r="P810" s="4"/>
      <c r="Q810" s="4"/>
      <c r="R810" s="4"/>
      <c r="S810" s="4"/>
      <c r="T810" s="4"/>
      <c r="U810" s="4"/>
      <c r="V810" s="4"/>
      <c r="W810" s="4"/>
    </row>
    <row r="811" ht="15.75" customHeight="1">
      <c r="A811" s="13">
        <f t="shared" si="9"/>
        <v>808</v>
      </c>
      <c r="B811" s="18">
        <f>A811/'Orbit Info'!$G$10</f>
        <v>8.540009886</v>
      </c>
      <c r="C811" s="13">
        <f t="shared" si="2"/>
        <v>0</v>
      </c>
      <c r="D811" s="13">
        <f t="shared" si="3"/>
        <v>1</v>
      </c>
      <c r="E811" s="13">
        <f t="shared" si="4"/>
        <v>0</v>
      </c>
      <c r="F811" s="13">
        <f t="shared" si="5"/>
        <v>0</v>
      </c>
      <c r="G811" s="13">
        <f t="shared" si="6"/>
        <v>1</v>
      </c>
      <c r="H811" s="13">
        <f>'Orbit Info'!C810*((C811*$O$2)+(D811*$O$3)+(E811*$O$4)+(F811*$O$5))</f>
        <v>15.628032</v>
      </c>
      <c r="I811" s="13">
        <f t="shared" si="7"/>
        <v>8.62426</v>
      </c>
      <c r="J811" s="18">
        <f t="shared" si="8"/>
        <v>0.1167295333</v>
      </c>
      <c r="K811" s="18">
        <f t="shared" si="10"/>
        <v>88.2</v>
      </c>
      <c r="L811" s="4"/>
      <c r="M811" s="4"/>
      <c r="N811" s="4"/>
      <c r="O811" s="4"/>
      <c r="P811" s="4"/>
      <c r="Q811" s="4"/>
      <c r="R811" s="4"/>
      <c r="S811" s="4"/>
      <c r="T811" s="4"/>
      <c r="U811" s="4"/>
      <c r="V811" s="4"/>
      <c r="W811" s="4"/>
    </row>
    <row r="812" ht="15.75" customHeight="1">
      <c r="A812" s="13">
        <f t="shared" si="9"/>
        <v>809</v>
      </c>
      <c r="B812" s="18">
        <f>A812/'Orbit Info'!$G$10</f>
        <v>8.550579205</v>
      </c>
      <c r="C812" s="13">
        <f t="shared" si="2"/>
        <v>0</v>
      </c>
      <c r="D812" s="13">
        <f t="shared" si="3"/>
        <v>1</v>
      </c>
      <c r="E812" s="13">
        <f t="shared" si="4"/>
        <v>0</v>
      </c>
      <c r="F812" s="13">
        <f t="shared" si="5"/>
        <v>0</v>
      </c>
      <c r="G812" s="13">
        <f t="shared" si="6"/>
        <v>1</v>
      </c>
      <c r="H812" s="13">
        <f>'Orbit Info'!C811*((C812*$O$2)+(D812*$O$3)+(E812*$O$4)+(F812*$O$5))</f>
        <v>15.628032</v>
      </c>
      <c r="I812" s="13">
        <f t="shared" si="7"/>
        <v>8.62426</v>
      </c>
      <c r="J812" s="18">
        <f t="shared" si="8"/>
        <v>0.1167295333</v>
      </c>
      <c r="K812" s="18">
        <f t="shared" si="10"/>
        <v>88.2</v>
      </c>
      <c r="L812" s="4"/>
      <c r="M812" s="4"/>
      <c r="N812" s="4"/>
      <c r="O812" s="4"/>
      <c r="P812" s="4"/>
      <c r="Q812" s="4"/>
      <c r="R812" s="4"/>
      <c r="S812" s="4"/>
      <c r="T812" s="4"/>
      <c r="U812" s="4"/>
      <c r="V812" s="4"/>
      <c r="W812" s="4"/>
    </row>
    <row r="813" ht="15.75" customHeight="1">
      <c r="A813" s="13">
        <f t="shared" si="9"/>
        <v>810</v>
      </c>
      <c r="B813" s="18">
        <f>A813/'Orbit Info'!$G$10</f>
        <v>8.561148524</v>
      </c>
      <c r="C813" s="13">
        <f t="shared" si="2"/>
        <v>0</v>
      </c>
      <c r="D813" s="13">
        <f t="shared" si="3"/>
        <v>1</v>
      </c>
      <c r="E813" s="13">
        <f t="shared" si="4"/>
        <v>0</v>
      </c>
      <c r="F813" s="13">
        <f t="shared" si="5"/>
        <v>0</v>
      </c>
      <c r="G813" s="13">
        <f t="shared" si="6"/>
        <v>1</v>
      </c>
      <c r="H813" s="13">
        <f>'Orbit Info'!C812*((C813*$O$2)+(D813*$O$3)+(E813*$O$4)+(F813*$O$5))</f>
        <v>15.628032</v>
      </c>
      <c r="I813" s="13">
        <f t="shared" si="7"/>
        <v>8.62426</v>
      </c>
      <c r="J813" s="18">
        <f t="shared" si="8"/>
        <v>0.1167295333</v>
      </c>
      <c r="K813" s="18">
        <f t="shared" si="10"/>
        <v>88.2</v>
      </c>
      <c r="L813" s="4"/>
      <c r="M813" s="4"/>
      <c r="N813" s="4"/>
      <c r="O813" s="4"/>
      <c r="P813" s="4"/>
      <c r="Q813" s="4"/>
      <c r="R813" s="4"/>
      <c r="S813" s="4"/>
      <c r="T813" s="4"/>
      <c r="U813" s="4"/>
      <c r="V813" s="4"/>
      <c r="W813" s="4"/>
    </row>
    <row r="814" ht="15.75" customHeight="1">
      <c r="A814" s="13">
        <f t="shared" si="9"/>
        <v>811</v>
      </c>
      <c r="B814" s="18">
        <f>A814/'Orbit Info'!$G$10</f>
        <v>8.571717844</v>
      </c>
      <c r="C814" s="13">
        <f t="shared" si="2"/>
        <v>0</v>
      </c>
      <c r="D814" s="13">
        <f t="shared" si="3"/>
        <v>1</v>
      </c>
      <c r="E814" s="13">
        <f t="shared" si="4"/>
        <v>0</v>
      </c>
      <c r="F814" s="13">
        <f t="shared" si="5"/>
        <v>0</v>
      </c>
      <c r="G814" s="13">
        <f t="shared" si="6"/>
        <v>1</v>
      </c>
      <c r="H814" s="13">
        <f>'Orbit Info'!C813*((C814*$O$2)+(D814*$O$3)+(E814*$O$4)+(F814*$O$5))</f>
        <v>15.628032</v>
      </c>
      <c r="I814" s="13">
        <f t="shared" si="7"/>
        <v>8.62426</v>
      </c>
      <c r="J814" s="18">
        <f t="shared" si="8"/>
        <v>0.1167295333</v>
      </c>
      <c r="K814" s="18">
        <f t="shared" si="10"/>
        <v>88.2</v>
      </c>
      <c r="L814" s="4"/>
      <c r="M814" s="4"/>
      <c r="N814" s="4"/>
      <c r="O814" s="4"/>
      <c r="P814" s="4"/>
      <c r="Q814" s="4"/>
      <c r="R814" s="4"/>
      <c r="S814" s="4"/>
      <c r="T814" s="4"/>
      <c r="U814" s="4"/>
      <c r="V814" s="4"/>
      <c r="W814" s="4"/>
    </row>
    <row r="815" ht="15.75" customHeight="1">
      <c r="A815" s="13">
        <f t="shared" si="9"/>
        <v>812</v>
      </c>
      <c r="B815" s="18">
        <f>A815/'Orbit Info'!$G$10</f>
        <v>8.582287163</v>
      </c>
      <c r="C815" s="13">
        <f t="shared" si="2"/>
        <v>0</v>
      </c>
      <c r="D815" s="13">
        <f t="shared" si="3"/>
        <v>1</v>
      </c>
      <c r="E815" s="13">
        <f t="shared" si="4"/>
        <v>0</v>
      </c>
      <c r="F815" s="13">
        <f t="shared" si="5"/>
        <v>0</v>
      </c>
      <c r="G815" s="13">
        <f t="shared" si="6"/>
        <v>1</v>
      </c>
      <c r="H815" s="13">
        <f>'Orbit Info'!C814*((C815*$O$2)+(D815*$O$3)+(E815*$O$4)+(F815*$O$5))</f>
        <v>15.628032</v>
      </c>
      <c r="I815" s="13">
        <f t="shared" si="7"/>
        <v>8.62426</v>
      </c>
      <c r="J815" s="18">
        <f t="shared" si="8"/>
        <v>0.1167295333</v>
      </c>
      <c r="K815" s="18">
        <f t="shared" si="10"/>
        <v>88.2</v>
      </c>
      <c r="L815" s="4"/>
      <c r="M815" s="4"/>
      <c r="N815" s="4"/>
      <c r="O815" s="4"/>
      <c r="P815" s="4"/>
      <c r="Q815" s="4"/>
      <c r="R815" s="4"/>
      <c r="S815" s="4"/>
      <c r="T815" s="4"/>
      <c r="U815" s="4"/>
      <c r="V815" s="4"/>
      <c r="W815" s="4"/>
    </row>
    <row r="816" ht="15.75" customHeight="1">
      <c r="A816" s="13">
        <f t="shared" si="9"/>
        <v>813</v>
      </c>
      <c r="B816" s="18">
        <f>A816/'Orbit Info'!$G$10</f>
        <v>8.592856482</v>
      </c>
      <c r="C816" s="13">
        <f t="shared" si="2"/>
        <v>0</v>
      </c>
      <c r="D816" s="13">
        <f t="shared" si="3"/>
        <v>1</v>
      </c>
      <c r="E816" s="13">
        <f t="shared" si="4"/>
        <v>0</v>
      </c>
      <c r="F816" s="13">
        <f t="shared" si="5"/>
        <v>0</v>
      </c>
      <c r="G816" s="13">
        <f t="shared" si="6"/>
        <v>1</v>
      </c>
      <c r="H816" s="13">
        <f>'Orbit Info'!C815*((C816*$O$2)+(D816*$O$3)+(E816*$O$4)+(F816*$O$5))</f>
        <v>15.628032</v>
      </c>
      <c r="I816" s="13">
        <f t="shared" si="7"/>
        <v>8.62426</v>
      </c>
      <c r="J816" s="18">
        <f t="shared" si="8"/>
        <v>0.1167295333</v>
      </c>
      <c r="K816" s="18">
        <f t="shared" si="10"/>
        <v>88.2</v>
      </c>
      <c r="L816" s="4"/>
      <c r="M816" s="4"/>
      <c r="N816" s="4"/>
      <c r="O816" s="4"/>
      <c r="P816" s="4"/>
      <c r="Q816" s="4"/>
      <c r="R816" s="4"/>
      <c r="S816" s="4"/>
      <c r="T816" s="4"/>
      <c r="U816" s="4"/>
      <c r="V816" s="4"/>
      <c r="W816" s="4"/>
    </row>
    <row r="817" ht="15.75" customHeight="1">
      <c r="A817" s="13">
        <f t="shared" si="9"/>
        <v>814</v>
      </c>
      <c r="B817" s="18">
        <f>A817/'Orbit Info'!$G$10</f>
        <v>8.603425801</v>
      </c>
      <c r="C817" s="13">
        <f t="shared" si="2"/>
        <v>0</v>
      </c>
      <c r="D817" s="13">
        <f t="shared" si="3"/>
        <v>1</v>
      </c>
      <c r="E817" s="13">
        <f t="shared" si="4"/>
        <v>0</v>
      </c>
      <c r="F817" s="13">
        <f t="shared" si="5"/>
        <v>0</v>
      </c>
      <c r="G817" s="13">
        <f t="shared" si="6"/>
        <v>1</v>
      </c>
      <c r="H817" s="13">
        <f>'Orbit Info'!C816*((C817*$O$2)+(D817*$O$3)+(E817*$O$4)+(F817*$O$5))</f>
        <v>15.628032</v>
      </c>
      <c r="I817" s="13">
        <f t="shared" si="7"/>
        <v>8.62426</v>
      </c>
      <c r="J817" s="18">
        <f t="shared" si="8"/>
        <v>0.1167295333</v>
      </c>
      <c r="K817" s="18">
        <f t="shared" si="10"/>
        <v>88.2</v>
      </c>
      <c r="L817" s="4"/>
      <c r="M817" s="4"/>
      <c r="N817" s="4"/>
      <c r="O817" s="4"/>
      <c r="P817" s="4"/>
      <c r="Q817" s="4"/>
      <c r="R817" s="4"/>
      <c r="S817" s="4"/>
      <c r="T817" s="4"/>
      <c r="U817" s="4"/>
      <c r="V817" s="4"/>
      <c r="W817" s="4"/>
    </row>
    <row r="818" ht="15.75" customHeight="1">
      <c r="A818" s="13">
        <f t="shared" si="9"/>
        <v>815</v>
      </c>
      <c r="B818" s="18">
        <f>A818/'Orbit Info'!$G$10</f>
        <v>8.61399512</v>
      </c>
      <c r="C818" s="13">
        <f t="shared" si="2"/>
        <v>0</v>
      </c>
      <c r="D818" s="13">
        <f t="shared" si="3"/>
        <v>1</v>
      </c>
      <c r="E818" s="13">
        <f t="shared" si="4"/>
        <v>0</v>
      </c>
      <c r="F818" s="13">
        <f t="shared" si="5"/>
        <v>0</v>
      </c>
      <c r="G818" s="13">
        <f t="shared" si="6"/>
        <v>1</v>
      </c>
      <c r="H818" s="13">
        <f>'Orbit Info'!C817*((C818*$O$2)+(D818*$O$3)+(E818*$O$4)+(F818*$O$5))</f>
        <v>15.628032</v>
      </c>
      <c r="I818" s="13">
        <f t="shared" si="7"/>
        <v>8.62426</v>
      </c>
      <c r="J818" s="18">
        <f t="shared" si="8"/>
        <v>0.1167295333</v>
      </c>
      <c r="K818" s="18">
        <f t="shared" si="10"/>
        <v>88.2</v>
      </c>
      <c r="L818" s="4"/>
      <c r="M818" s="4"/>
      <c r="N818" s="4"/>
      <c r="O818" s="4"/>
      <c r="P818" s="4"/>
      <c r="Q818" s="4"/>
      <c r="R818" s="4"/>
      <c r="S818" s="4"/>
      <c r="T818" s="4"/>
      <c r="U818" s="4"/>
      <c r="V818" s="4"/>
      <c r="W818" s="4"/>
    </row>
    <row r="819" ht="15.75" customHeight="1">
      <c r="A819" s="13">
        <f t="shared" si="9"/>
        <v>816</v>
      </c>
      <c r="B819" s="18">
        <f>A819/'Orbit Info'!$G$10</f>
        <v>8.624564439</v>
      </c>
      <c r="C819" s="13">
        <f t="shared" si="2"/>
        <v>0</v>
      </c>
      <c r="D819" s="13">
        <f t="shared" si="3"/>
        <v>1</v>
      </c>
      <c r="E819" s="13">
        <f t="shared" si="4"/>
        <v>0</v>
      </c>
      <c r="F819" s="13">
        <f t="shared" si="5"/>
        <v>0</v>
      </c>
      <c r="G819" s="13">
        <f t="shared" si="6"/>
        <v>1</v>
      </c>
      <c r="H819" s="13">
        <f>'Orbit Info'!C818*((C819*$O$2)+(D819*$O$3)+(E819*$O$4)+(F819*$O$5))</f>
        <v>0</v>
      </c>
      <c r="I819" s="13">
        <f t="shared" si="7"/>
        <v>8.62426</v>
      </c>
      <c r="J819" s="18">
        <f t="shared" si="8"/>
        <v>-0.1437376667</v>
      </c>
      <c r="K819" s="18">
        <f t="shared" si="10"/>
        <v>88.05626233</v>
      </c>
      <c r="L819" s="4"/>
      <c r="M819" s="4"/>
      <c r="N819" s="4"/>
      <c r="O819" s="4"/>
      <c r="P819" s="4"/>
      <c r="Q819" s="4"/>
      <c r="R819" s="4"/>
      <c r="S819" s="4"/>
      <c r="T819" s="4"/>
      <c r="U819" s="4"/>
      <c r="V819" s="4"/>
      <c r="W819" s="4"/>
    </row>
    <row r="820" ht="15.75" customHeight="1">
      <c r="A820" s="13">
        <f t="shared" si="9"/>
        <v>817</v>
      </c>
      <c r="B820" s="18">
        <f>A820/'Orbit Info'!$G$10</f>
        <v>8.635133759</v>
      </c>
      <c r="C820" s="13">
        <f t="shared" si="2"/>
        <v>0</v>
      </c>
      <c r="D820" s="13">
        <f t="shared" si="3"/>
        <v>1</v>
      </c>
      <c r="E820" s="13">
        <f t="shared" si="4"/>
        <v>0</v>
      </c>
      <c r="F820" s="13">
        <f t="shared" si="5"/>
        <v>0</v>
      </c>
      <c r="G820" s="13">
        <f t="shared" si="6"/>
        <v>1</v>
      </c>
      <c r="H820" s="13">
        <f>'Orbit Info'!C819*((C820*$O$2)+(D820*$O$3)+(E820*$O$4)+(F820*$O$5))</f>
        <v>0</v>
      </c>
      <c r="I820" s="13">
        <f t="shared" si="7"/>
        <v>8.62426</v>
      </c>
      <c r="J820" s="18">
        <f t="shared" si="8"/>
        <v>-0.1437376667</v>
      </c>
      <c r="K820" s="18">
        <f t="shared" si="10"/>
        <v>87.91252467</v>
      </c>
      <c r="L820" s="4"/>
      <c r="M820" s="4"/>
      <c r="N820" s="4"/>
      <c r="O820" s="4"/>
      <c r="P820" s="4"/>
      <c r="Q820" s="4"/>
      <c r="R820" s="4"/>
      <c r="S820" s="4"/>
      <c r="T820" s="4"/>
      <c r="U820" s="4"/>
      <c r="V820" s="4"/>
      <c r="W820" s="4"/>
    </row>
    <row r="821" ht="15.75" customHeight="1">
      <c r="A821" s="13">
        <f t="shared" si="9"/>
        <v>818</v>
      </c>
      <c r="B821" s="18">
        <f>A821/'Orbit Info'!$G$10</f>
        <v>8.645703078</v>
      </c>
      <c r="C821" s="13">
        <f t="shared" si="2"/>
        <v>0</v>
      </c>
      <c r="D821" s="13">
        <f t="shared" si="3"/>
        <v>1</v>
      </c>
      <c r="E821" s="13">
        <f t="shared" si="4"/>
        <v>0</v>
      </c>
      <c r="F821" s="13">
        <f t="shared" si="5"/>
        <v>0</v>
      </c>
      <c r="G821" s="13">
        <f t="shared" si="6"/>
        <v>1</v>
      </c>
      <c r="H821" s="13">
        <f>'Orbit Info'!C820*((C821*$O$2)+(D821*$O$3)+(E821*$O$4)+(F821*$O$5))</f>
        <v>0</v>
      </c>
      <c r="I821" s="13">
        <f t="shared" si="7"/>
        <v>8.62426</v>
      </c>
      <c r="J821" s="18">
        <f t="shared" si="8"/>
        <v>-0.1437376667</v>
      </c>
      <c r="K821" s="18">
        <f t="shared" si="10"/>
        <v>87.768787</v>
      </c>
      <c r="L821" s="4"/>
      <c r="M821" s="4"/>
      <c r="N821" s="4"/>
      <c r="O821" s="4"/>
      <c r="P821" s="4"/>
      <c r="Q821" s="4"/>
      <c r="R821" s="4"/>
      <c r="S821" s="4"/>
      <c r="T821" s="4"/>
      <c r="U821" s="4"/>
      <c r="V821" s="4"/>
      <c r="W821" s="4"/>
    </row>
    <row r="822" ht="15.75" customHeight="1">
      <c r="A822" s="13">
        <f t="shared" si="9"/>
        <v>819</v>
      </c>
      <c r="B822" s="18">
        <f>A822/'Orbit Info'!$G$10</f>
        <v>8.656272397</v>
      </c>
      <c r="C822" s="13">
        <f t="shared" si="2"/>
        <v>0</v>
      </c>
      <c r="D822" s="13">
        <f t="shared" si="3"/>
        <v>1</v>
      </c>
      <c r="E822" s="13">
        <f t="shared" si="4"/>
        <v>0</v>
      </c>
      <c r="F822" s="13">
        <f t="shared" si="5"/>
        <v>0</v>
      </c>
      <c r="G822" s="13">
        <f t="shared" si="6"/>
        <v>1</v>
      </c>
      <c r="H822" s="13">
        <f>'Orbit Info'!C821*((C822*$O$2)+(D822*$O$3)+(E822*$O$4)+(F822*$O$5))</f>
        <v>0</v>
      </c>
      <c r="I822" s="13">
        <f t="shared" si="7"/>
        <v>8.62426</v>
      </c>
      <c r="J822" s="18">
        <f t="shared" si="8"/>
        <v>-0.1437376667</v>
      </c>
      <c r="K822" s="18">
        <f t="shared" si="10"/>
        <v>87.62504933</v>
      </c>
      <c r="L822" s="4"/>
      <c r="M822" s="4"/>
      <c r="N822" s="4"/>
      <c r="O822" s="4"/>
      <c r="P822" s="4"/>
      <c r="Q822" s="4"/>
      <c r="R822" s="4"/>
      <c r="S822" s="4"/>
      <c r="T822" s="4"/>
      <c r="U822" s="4"/>
      <c r="V822" s="4"/>
      <c r="W822" s="4"/>
    </row>
    <row r="823" ht="15.75" customHeight="1">
      <c r="A823" s="13">
        <f t="shared" si="9"/>
        <v>820</v>
      </c>
      <c r="B823" s="18">
        <f>A823/'Orbit Info'!$G$10</f>
        <v>8.666841716</v>
      </c>
      <c r="C823" s="13">
        <f t="shared" si="2"/>
        <v>0</v>
      </c>
      <c r="D823" s="13">
        <f t="shared" si="3"/>
        <v>1</v>
      </c>
      <c r="E823" s="13">
        <f t="shared" si="4"/>
        <v>0</v>
      </c>
      <c r="F823" s="13">
        <f t="shared" si="5"/>
        <v>0</v>
      </c>
      <c r="G823" s="13">
        <f t="shared" si="6"/>
        <v>1</v>
      </c>
      <c r="H823" s="13">
        <f>'Orbit Info'!C822*((C823*$O$2)+(D823*$O$3)+(E823*$O$4)+(F823*$O$5))</f>
        <v>0</v>
      </c>
      <c r="I823" s="13">
        <f t="shared" si="7"/>
        <v>8.62426</v>
      </c>
      <c r="J823" s="18">
        <f t="shared" si="8"/>
        <v>-0.1437376667</v>
      </c>
      <c r="K823" s="18">
        <f t="shared" si="10"/>
        <v>87.48131167</v>
      </c>
      <c r="L823" s="4"/>
      <c r="M823" s="4"/>
      <c r="N823" s="4"/>
      <c r="O823" s="4"/>
      <c r="P823" s="4"/>
      <c r="Q823" s="4"/>
      <c r="R823" s="4"/>
      <c r="S823" s="4"/>
      <c r="T823" s="4"/>
      <c r="U823" s="4"/>
      <c r="V823" s="4"/>
      <c r="W823" s="4"/>
    </row>
    <row r="824" ht="15.75" customHeight="1">
      <c r="A824" s="13">
        <f t="shared" si="9"/>
        <v>821</v>
      </c>
      <c r="B824" s="18">
        <f>A824/'Orbit Info'!$G$10</f>
        <v>8.677411035</v>
      </c>
      <c r="C824" s="13">
        <f t="shared" si="2"/>
        <v>0</v>
      </c>
      <c r="D824" s="13">
        <f t="shared" si="3"/>
        <v>1</v>
      </c>
      <c r="E824" s="13">
        <f t="shared" si="4"/>
        <v>0</v>
      </c>
      <c r="F824" s="13">
        <f t="shared" si="5"/>
        <v>0</v>
      </c>
      <c r="G824" s="13">
        <f t="shared" si="6"/>
        <v>1</v>
      </c>
      <c r="H824" s="13">
        <f>'Orbit Info'!C823*((C824*$O$2)+(D824*$O$3)+(E824*$O$4)+(F824*$O$5))</f>
        <v>0</v>
      </c>
      <c r="I824" s="13">
        <f t="shared" si="7"/>
        <v>8.62426</v>
      </c>
      <c r="J824" s="18">
        <f t="shared" si="8"/>
        <v>-0.1437376667</v>
      </c>
      <c r="K824" s="18">
        <f t="shared" si="10"/>
        <v>87.337574</v>
      </c>
      <c r="L824" s="4"/>
      <c r="M824" s="4"/>
      <c r="N824" s="4"/>
      <c r="O824" s="4"/>
      <c r="P824" s="4"/>
      <c r="Q824" s="4"/>
      <c r="R824" s="4"/>
      <c r="S824" s="4"/>
      <c r="T824" s="4"/>
      <c r="U824" s="4"/>
      <c r="V824" s="4"/>
      <c r="W824" s="4"/>
    </row>
    <row r="825" ht="15.75" customHeight="1">
      <c r="A825" s="13">
        <f t="shared" si="9"/>
        <v>822</v>
      </c>
      <c r="B825" s="18">
        <f>A825/'Orbit Info'!$G$10</f>
        <v>8.687980354</v>
      </c>
      <c r="C825" s="13">
        <f t="shared" si="2"/>
        <v>0</v>
      </c>
      <c r="D825" s="13">
        <f t="shared" si="3"/>
        <v>1</v>
      </c>
      <c r="E825" s="13">
        <f t="shared" si="4"/>
        <v>0</v>
      </c>
      <c r="F825" s="13">
        <f t="shared" si="5"/>
        <v>0</v>
      </c>
      <c r="G825" s="13">
        <f t="shared" si="6"/>
        <v>1</v>
      </c>
      <c r="H825" s="13">
        <f>'Orbit Info'!C824*((C825*$O$2)+(D825*$O$3)+(E825*$O$4)+(F825*$O$5))</f>
        <v>0</v>
      </c>
      <c r="I825" s="13">
        <f t="shared" si="7"/>
        <v>8.62426</v>
      </c>
      <c r="J825" s="18">
        <f t="shared" si="8"/>
        <v>-0.1437376667</v>
      </c>
      <c r="K825" s="18">
        <f t="shared" si="10"/>
        <v>87.19383633</v>
      </c>
      <c r="L825" s="4"/>
      <c r="M825" s="4"/>
      <c r="N825" s="4"/>
      <c r="O825" s="4"/>
      <c r="P825" s="4"/>
      <c r="Q825" s="4"/>
      <c r="R825" s="4"/>
      <c r="S825" s="4"/>
      <c r="T825" s="4"/>
      <c r="U825" s="4"/>
      <c r="V825" s="4"/>
      <c r="W825" s="4"/>
    </row>
    <row r="826" ht="15.75" customHeight="1">
      <c r="A826" s="13">
        <f t="shared" si="9"/>
        <v>823</v>
      </c>
      <c r="B826" s="18">
        <f>A826/'Orbit Info'!$G$10</f>
        <v>8.698549674</v>
      </c>
      <c r="C826" s="13">
        <f t="shared" si="2"/>
        <v>0</v>
      </c>
      <c r="D826" s="13">
        <f t="shared" si="3"/>
        <v>1</v>
      </c>
      <c r="E826" s="13">
        <f t="shared" si="4"/>
        <v>0</v>
      </c>
      <c r="F826" s="13">
        <f t="shared" si="5"/>
        <v>0</v>
      </c>
      <c r="G826" s="13">
        <f t="shared" si="6"/>
        <v>1</v>
      </c>
      <c r="H826" s="13">
        <f>'Orbit Info'!C825*((C826*$O$2)+(D826*$O$3)+(E826*$O$4)+(F826*$O$5))</f>
        <v>0</v>
      </c>
      <c r="I826" s="13">
        <f t="shared" si="7"/>
        <v>8.62426</v>
      </c>
      <c r="J826" s="18">
        <f t="shared" si="8"/>
        <v>-0.1437376667</v>
      </c>
      <c r="K826" s="18">
        <f t="shared" si="10"/>
        <v>87.05009867</v>
      </c>
      <c r="L826" s="4"/>
      <c r="M826" s="4"/>
      <c r="N826" s="4"/>
      <c r="O826" s="4"/>
      <c r="P826" s="4"/>
      <c r="Q826" s="4"/>
      <c r="R826" s="4"/>
      <c r="S826" s="4"/>
      <c r="T826" s="4"/>
      <c r="U826" s="4"/>
      <c r="V826" s="4"/>
      <c r="W826" s="4"/>
    </row>
    <row r="827" ht="15.75" customHeight="1">
      <c r="A827" s="13">
        <f t="shared" si="9"/>
        <v>824</v>
      </c>
      <c r="B827" s="18">
        <f>A827/'Orbit Info'!$G$10</f>
        <v>8.709118993</v>
      </c>
      <c r="C827" s="13">
        <f t="shared" si="2"/>
        <v>0</v>
      </c>
      <c r="D827" s="13">
        <f t="shared" si="3"/>
        <v>1</v>
      </c>
      <c r="E827" s="13">
        <f t="shared" si="4"/>
        <v>0</v>
      </c>
      <c r="F827" s="13">
        <f t="shared" si="5"/>
        <v>0</v>
      </c>
      <c r="G827" s="13">
        <f t="shared" si="6"/>
        <v>1</v>
      </c>
      <c r="H827" s="13">
        <f>'Orbit Info'!C826*((C827*$O$2)+(D827*$O$3)+(E827*$O$4)+(F827*$O$5))</f>
        <v>0</v>
      </c>
      <c r="I827" s="13">
        <f t="shared" si="7"/>
        <v>8.62426</v>
      </c>
      <c r="J827" s="18">
        <f t="shared" si="8"/>
        <v>-0.1437376667</v>
      </c>
      <c r="K827" s="18">
        <f t="shared" si="10"/>
        <v>86.906361</v>
      </c>
      <c r="L827" s="4"/>
      <c r="M827" s="4"/>
      <c r="N827" s="4"/>
      <c r="O827" s="4"/>
      <c r="P827" s="4"/>
      <c r="Q827" s="4"/>
      <c r="R827" s="4"/>
      <c r="S827" s="4"/>
      <c r="T827" s="4"/>
      <c r="U827" s="4"/>
      <c r="V827" s="4"/>
      <c r="W827" s="4"/>
    </row>
    <row r="828" ht="15.75" customHeight="1">
      <c r="A828" s="13">
        <f t="shared" si="9"/>
        <v>825</v>
      </c>
      <c r="B828" s="18">
        <f>A828/'Orbit Info'!$G$10</f>
        <v>8.719688312</v>
      </c>
      <c r="C828" s="13">
        <f t="shared" si="2"/>
        <v>0</v>
      </c>
      <c r="D828" s="13">
        <f t="shared" si="3"/>
        <v>1</v>
      </c>
      <c r="E828" s="13">
        <f t="shared" si="4"/>
        <v>0</v>
      </c>
      <c r="F828" s="13">
        <f t="shared" si="5"/>
        <v>0</v>
      </c>
      <c r="G828" s="13">
        <f t="shared" si="6"/>
        <v>1</v>
      </c>
      <c r="H828" s="13">
        <f>'Orbit Info'!C827*((C828*$O$2)+(D828*$O$3)+(E828*$O$4)+(F828*$O$5))</f>
        <v>0</v>
      </c>
      <c r="I828" s="13">
        <f t="shared" si="7"/>
        <v>8.62426</v>
      </c>
      <c r="J828" s="18">
        <f t="shared" si="8"/>
        <v>-0.1437376667</v>
      </c>
      <c r="K828" s="18">
        <f t="shared" si="10"/>
        <v>86.76262333</v>
      </c>
      <c r="L828" s="4"/>
      <c r="M828" s="4"/>
      <c r="N828" s="4"/>
      <c r="O828" s="4"/>
      <c r="P828" s="4"/>
      <c r="Q828" s="4"/>
      <c r="R828" s="4"/>
      <c r="S828" s="4"/>
      <c r="T828" s="4"/>
      <c r="U828" s="4"/>
      <c r="V828" s="4"/>
      <c r="W828" s="4"/>
    </row>
    <row r="829" ht="15.75" customHeight="1">
      <c r="A829" s="13">
        <f t="shared" si="9"/>
        <v>826</v>
      </c>
      <c r="B829" s="18">
        <f>A829/'Orbit Info'!$G$10</f>
        <v>8.730257631</v>
      </c>
      <c r="C829" s="13">
        <f t="shared" si="2"/>
        <v>0</v>
      </c>
      <c r="D829" s="13">
        <f t="shared" si="3"/>
        <v>1</v>
      </c>
      <c r="E829" s="13">
        <f t="shared" si="4"/>
        <v>0</v>
      </c>
      <c r="F829" s="13">
        <f t="shared" si="5"/>
        <v>0</v>
      </c>
      <c r="G829" s="13">
        <f t="shared" si="6"/>
        <v>1</v>
      </c>
      <c r="H829" s="13">
        <f>'Orbit Info'!C828*((C829*$O$2)+(D829*$O$3)+(E829*$O$4)+(F829*$O$5))</f>
        <v>0</v>
      </c>
      <c r="I829" s="13">
        <f t="shared" si="7"/>
        <v>8.62426</v>
      </c>
      <c r="J829" s="18">
        <f t="shared" si="8"/>
        <v>-0.1437376667</v>
      </c>
      <c r="K829" s="18">
        <f t="shared" si="10"/>
        <v>86.61888567</v>
      </c>
      <c r="L829" s="4"/>
      <c r="M829" s="4"/>
      <c r="N829" s="4"/>
      <c r="O829" s="4"/>
      <c r="P829" s="4"/>
      <c r="Q829" s="4"/>
      <c r="R829" s="4"/>
      <c r="S829" s="4"/>
      <c r="T829" s="4"/>
      <c r="U829" s="4"/>
      <c r="V829" s="4"/>
      <c r="W829" s="4"/>
    </row>
    <row r="830" ht="15.75" customHeight="1">
      <c r="A830" s="13">
        <f t="shared" si="9"/>
        <v>827</v>
      </c>
      <c r="B830" s="18">
        <f>A830/'Orbit Info'!$G$10</f>
        <v>8.74082695</v>
      </c>
      <c r="C830" s="13">
        <f t="shared" si="2"/>
        <v>0</v>
      </c>
      <c r="D830" s="13">
        <f t="shared" si="3"/>
        <v>1</v>
      </c>
      <c r="E830" s="13">
        <f t="shared" si="4"/>
        <v>0</v>
      </c>
      <c r="F830" s="13">
        <f t="shared" si="5"/>
        <v>0</v>
      </c>
      <c r="G830" s="13">
        <f t="shared" si="6"/>
        <v>1</v>
      </c>
      <c r="H830" s="13">
        <f>'Orbit Info'!C829*((C830*$O$2)+(D830*$O$3)+(E830*$O$4)+(F830*$O$5))</f>
        <v>0</v>
      </c>
      <c r="I830" s="13">
        <f t="shared" si="7"/>
        <v>8.62426</v>
      </c>
      <c r="J830" s="18">
        <f t="shared" si="8"/>
        <v>-0.1437376667</v>
      </c>
      <c r="K830" s="18">
        <f t="shared" si="10"/>
        <v>86.475148</v>
      </c>
      <c r="L830" s="4"/>
      <c r="M830" s="4"/>
      <c r="N830" s="4"/>
      <c r="O830" s="4"/>
      <c r="P830" s="4"/>
      <c r="Q830" s="4"/>
      <c r="R830" s="4"/>
      <c r="S830" s="4"/>
      <c r="T830" s="4"/>
      <c r="U830" s="4"/>
      <c r="V830" s="4"/>
      <c r="W830" s="4"/>
    </row>
    <row r="831" ht="15.75" customHeight="1">
      <c r="A831" s="13">
        <f t="shared" si="9"/>
        <v>828</v>
      </c>
      <c r="B831" s="18">
        <f>A831/'Orbit Info'!$G$10</f>
        <v>8.751396269</v>
      </c>
      <c r="C831" s="13">
        <f t="shared" si="2"/>
        <v>0</v>
      </c>
      <c r="D831" s="13">
        <f t="shared" si="3"/>
        <v>1</v>
      </c>
      <c r="E831" s="13">
        <f t="shared" si="4"/>
        <v>0</v>
      </c>
      <c r="F831" s="13">
        <f t="shared" si="5"/>
        <v>0</v>
      </c>
      <c r="G831" s="13">
        <f t="shared" si="6"/>
        <v>1</v>
      </c>
      <c r="H831" s="13">
        <f>'Orbit Info'!C830*((C831*$O$2)+(D831*$O$3)+(E831*$O$4)+(F831*$O$5))</f>
        <v>0</v>
      </c>
      <c r="I831" s="13">
        <f t="shared" si="7"/>
        <v>8.62426</v>
      </c>
      <c r="J831" s="18">
        <f t="shared" si="8"/>
        <v>-0.1437376667</v>
      </c>
      <c r="K831" s="18">
        <f t="shared" si="10"/>
        <v>86.33141033</v>
      </c>
      <c r="L831" s="4"/>
      <c r="M831" s="4"/>
      <c r="N831" s="4"/>
      <c r="O831" s="4"/>
      <c r="P831" s="4"/>
      <c r="Q831" s="4"/>
      <c r="R831" s="4"/>
      <c r="S831" s="4"/>
      <c r="T831" s="4"/>
      <c r="U831" s="4"/>
      <c r="V831" s="4"/>
      <c r="W831" s="4"/>
    </row>
    <row r="832" ht="15.75" customHeight="1">
      <c r="A832" s="13">
        <f t="shared" si="9"/>
        <v>829</v>
      </c>
      <c r="B832" s="18">
        <f>A832/'Orbit Info'!$G$10</f>
        <v>8.761965589</v>
      </c>
      <c r="C832" s="13">
        <f t="shared" si="2"/>
        <v>0</v>
      </c>
      <c r="D832" s="13">
        <f t="shared" si="3"/>
        <v>1</v>
      </c>
      <c r="E832" s="13">
        <f t="shared" si="4"/>
        <v>0</v>
      </c>
      <c r="F832" s="13">
        <f t="shared" si="5"/>
        <v>0</v>
      </c>
      <c r="G832" s="13">
        <f t="shared" si="6"/>
        <v>1</v>
      </c>
      <c r="H832" s="13">
        <f>'Orbit Info'!C831*((C832*$O$2)+(D832*$O$3)+(E832*$O$4)+(F832*$O$5))</f>
        <v>0</v>
      </c>
      <c r="I832" s="13">
        <f t="shared" si="7"/>
        <v>8.62426</v>
      </c>
      <c r="J832" s="18">
        <f t="shared" si="8"/>
        <v>-0.1437376667</v>
      </c>
      <c r="K832" s="18">
        <f t="shared" si="10"/>
        <v>86.18767267</v>
      </c>
      <c r="L832" s="4"/>
      <c r="M832" s="4"/>
      <c r="N832" s="4"/>
      <c r="O832" s="4"/>
      <c r="P832" s="4"/>
      <c r="Q832" s="4"/>
      <c r="R832" s="4"/>
      <c r="S832" s="4"/>
      <c r="T832" s="4"/>
      <c r="U832" s="4"/>
      <c r="V832" s="4"/>
      <c r="W832" s="4"/>
    </row>
    <row r="833" ht="15.75" customHeight="1">
      <c r="A833" s="13">
        <f t="shared" si="9"/>
        <v>830</v>
      </c>
      <c r="B833" s="18">
        <f>A833/'Orbit Info'!$G$10</f>
        <v>8.772534908</v>
      </c>
      <c r="C833" s="13">
        <f t="shared" si="2"/>
        <v>0</v>
      </c>
      <c r="D833" s="13">
        <f t="shared" si="3"/>
        <v>1</v>
      </c>
      <c r="E833" s="13">
        <f t="shared" si="4"/>
        <v>0</v>
      </c>
      <c r="F833" s="13">
        <f t="shared" si="5"/>
        <v>0</v>
      </c>
      <c r="G833" s="13">
        <f t="shared" si="6"/>
        <v>1</v>
      </c>
      <c r="H833" s="13">
        <f>'Orbit Info'!C832*((C833*$O$2)+(D833*$O$3)+(E833*$O$4)+(F833*$O$5))</f>
        <v>0</v>
      </c>
      <c r="I833" s="13">
        <f t="shared" si="7"/>
        <v>8.62426</v>
      </c>
      <c r="J833" s="18">
        <f t="shared" si="8"/>
        <v>-0.1437376667</v>
      </c>
      <c r="K833" s="18">
        <f t="shared" si="10"/>
        <v>86.043935</v>
      </c>
      <c r="L833" s="4"/>
      <c r="M833" s="4"/>
      <c r="N833" s="4"/>
      <c r="O833" s="4"/>
      <c r="P833" s="4"/>
      <c r="Q833" s="4"/>
      <c r="R833" s="4"/>
      <c r="S833" s="4"/>
      <c r="T833" s="4"/>
      <c r="U833" s="4"/>
      <c r="V833" s="4"/>
      <c r="W833" s="4"/>
    </row>
    <row r="834" ht="15.75" customHeight="1">
      <c r="A834" s="13">
        <f t="shared" si="9"/>
        <v>831</v>
      </c>
      <c r="B834" s="18">
        <f>A834/'Orbit Info'!$G$10</f>
        <v>8.783104227</v>
      </c>
      <c r="C834" s="13">
        <f t="shared" si="2"/>
        <v>0</v>
      </c>
      <c r="D834" s="13">
        <f t="shared" si="3"/>
        <v>1</v>
      </c>
      <c r="E834" s="13">
        <f t="shared" si="4"/>
        <v>0</v>
      </c>
      <c r="F834" s="13">
        <f t="shared" si="5"/>
        <v>0</v>
      </c>
      <c r="G834" s="13">
        <f t="shared" si="6"/>
        <v>1</v>
      </c>
      <c r="H834" s="13">
        <f>'Orbit Info'!C833*((C834*$O$2)+(D834*$O$3)+(E834*$O$4)+(F834*$O$5))</f>
        <v>0</v>
      </c>
      <c r="I834" s="13">
        <f t="shared" si="7"/>
        <v>8.62426</v>
      </c>
      <c r="J834" s="18">
        <f t="shared" si="8"/>
        <v>-0.1437376667</v>
      </c>
      <c r="K834" s="18">
        <f t="shared" si="10"/>
        <v>85.90019733</v>
      </c>
      <c r="L834" s="4"/>
      <c r="M834" s="4"/>
      <c r="N834" s="4"/>
      <c r="O834" s="4"/>
      <c r="P834" s="4"/>
      <c r="Q834" s="4"/>
      <c r="R834" s="4"/>
      <c r="S834" s="4"/>
      <c r="T834" s="4"/>
      <c r="U834" s="4"/>
      <c r="V834" s="4"/>
      <c r="W834" s="4"/>
    </row>
    <row r="835" ht="15.75" customHeight="1">
      <c r="A835" s="13">
        <f t="shared" si="9"/>
        <v>832</v>
      </c>
      <c r="B835" s="18">
        <f>A835/'Orbit Info'!$G$10</f>
        <v>8.793673546</v>
      </c>
      <c r="C835" s="13">
        <f t="shared" si="2"/>
        <v>0</v>
      </c>
      <c r="D835" s="13">
        <f t="shared" si="3"/>
        <v>1</v>
      </c>
      <c r="E835" s="13">
        <f t="shared" si="4"/>
        <v>0</v>
      </c>
      <c r="F835" s="13">
        <f t="shared" si="5"/>
        <v>0</v>
      </c>
      <c r="G835" s="13">
        <f t="shared" si="6"/>
        <v>1</v>
      </c>
      <c r="H835" s="13">
        <f>'Orbit Info'!C834*((C835*$O$2)+(D835*$O$3)+(E835*$O$4)+(F835*$O$5))</f>
        <v>0</v>
      </c>
      <c r="I835" s="13">
        <f t="shared" si="7"/>
        <v>8.62426</v>
      </c>
      <c r="J835" s="18">
        <f t="shared" si="8"/>
        <v>-0.1437376667</v>
      </c>
      <c r="K835" s="18">
        <f t="shared" si="10"/>
        <v>85.75645967</v>
      </c>
      <c r="L835" s="4"/>
      <c r="M835" s="4"/>
      <c r="N835" s="4"/>
      <c r="O835" s="4"/>
      <c r="P835" s="4"/>
      <c r="Q835" s="4"/>
      <c r="R835" s="4"/>
      <c r="S835" s="4"/>
      <c r="T835" s="4"/>
      <c r="U835" s="4"/>
      <c r="V835" s="4"/>
      <c r="W835" s="4"/>
    </row>
    <row r="836" ht="15.75" customHeight="1">
      <c r="A836" s="13">
        <f t="shared" si="9"/>
        <v>833</v>
      </c>
      <c r="B836" s="18">
        <f>A836/'Orbit Info'!$G$10</f>
        <v>8.804242865</v>
      </c>
      <c r="C836" s="13">
        <f t="shared" si="2"/>
        <v>0</v>
      </c>
      <c r="D836" s="13">
        <f t="shared" si="3"/>
        <v>1</v>
      </c>
      <c r="E836" s="13">
        <f t="shared" si="4"/>
        <v>0</v>
      </c>
      <c r="F836" s="13">
        <f t="shared" si="5"/>
        <v>0</v>
      </c>
      <c r="G836" s="13">
        <f t="shared" si="6"/>
        <v>1</v>
      </c>
      <c r="H836" s="13">
        <f>'Orbit Info'!C835*((C836*$O$2)+(D836*$O$3)+(E836*$O$4)+(F836*$O$5))</f>
        <v>0</v>
      </c>
      <c r="I836" s="13">
        <f t="shared" si="7"/>
        <v>8.62426</v>
      </c>
      <c r="J836" s="18">
        <f t="shared" si="8"/>
        <v>-0.1437376667</v>
      </c>
      <c r="K836" s="18">
        <f t="shared" si="10"/>
        <v>85.612722</v>
      </c>
      <c r="L836" s="4"/>
      <c r="M836" s="4"/>
      <c r="N836" s="4"/>
      <c r="O836" s="4"/>
      <c r="P836" s="4"/>
      <c r="Q836" s="4"/>
      <c r="R836" s="4"/>
      <c r="S836" s="4"/>
      <c r="T836" s="4"/>
      <c r="U836" s="4"/>
      <c r="V836" s="4"/>
      <c r="W836" s="4"/>
    </row>
    <row r="837" ht="15.75" customHeight="1">
      <c r="A837" s="13">
        <f t="shared" si="9"/>
        <v>834</v>
      </c>
      <c r="B837" s="18">
        <f>A837/'Orbit Info'!$G$10</f>
        <v>8.814812184</v>
      </c>
      <c r="C837" s="13">
        <f t="shared" si="2"/>
        <v>0</v>
      </c>
      <c r="D837" s="13">
        <f t="shared" si="3"/>
        <v>1</v>
      </c>
      <c r="E837" s="13">
        <f t="shared" si="4"/>
        <v>0</v>
      </c>
      <c r="F837" s="13">
        <f t="shared" si="5"/>
        <v>0</v>
      </c>
      <c r="G837" s="13">
        <f t="shared" si="6"/>
        <v>1</v>
      </c>
      <c r="H837" s="13">
        <f>'Orbit Info'!C836*((C837*$O$2)+(D837*$O$3)+(E837*$O$4)+(F837*$O$5))</f>
        <v>0</v>
      </c>
      <c r="I837" s="13">
        <f t="shared" si="7"/>
        <v>8.62426</v>
      </c>
      <c r="J837" s="18">
        <f t="shared" si="8"/>
        <v>-0.1437376667</v>
      </c>
      <c r="K837" s="18">
        <f t="shared" si="10"/>
        <v>85.46898433</v>
      </c>
      <c r="L837" s="4"/>
      <c r="M837" s="4"/>
      <c r="N837" s="4"/>
      <c r="O837" s="4"/>
      <c r="P837" s="4"/>
      <c r="Q837" s="4"/>
      <c r="R837" s="4"/>
      <c r="S837" s="4"/>
      <c r="T837" s="4"/>
      <c r="U837" s="4"/>
      <c r="V837" s="4"/>
      <c r="W837" s="4"/>
    </row>
    <row r="838" ht="15.75" customHeight="1">
      <c r="A838" s="13">
        <f t="shared" si="9"/>
        <v>835</v>
      </c>
      <c r="B838" s="18">
        <f>A838/'Orbit Info'!$G$10</f>
        <v>8.825381504</v>
      </c>
      <c r="C838" s="13">
        <f t="shared" si="2"/>
        <v>0</v>
      </c>
      <c r="D838" s="13">
        <f t="shared" si="3"/>
        <v>1</v>
      </c>
      <c r="E838" s="13">
        <f t="shared" si="4"/>
        <v>0</v>
      </c>
      <c r="F838" s="13">
        <f t="shared" si="5"/>
        <v>0</v>
      </c>
      <c r="G838" s="13">
        <f t="shared" si="6"/>
        <v>1</v>
      </c>
      <c r="H838" s="13">
        <f>'Orbit Info'!C837*((C838*$O$2)+(D838*$O$3)+(E838*$O$4)+(F838*$O$5))</f>
        <v>0</v>
      </c>
      <c r="I838" s="13">
        <f t="shared" si="7"/>
        <v>8.62426</v>
      </c>
      <c r="J838" s="18">
        <f t="shared" si="8"/>
        <v>-0.1437376667</v>
      </c>
      <c r="K838" s="18">
        <f t="shared" si="10"/>
        <v>85.32524667</v>
      </c>
      <c r="L838" s="4"/>
      <c r="M838" s="4"/>
      <c r="N838" s="4"/>
      <c r="O838" s="4"/>
      <c r="P838" s="4"/>
      <c r="Q838" s="4"/>
      <c r="R838" s="4"/>
      <c r="S838" s="4"/>
      <c r="T838" s="4"/>
      <c r="U838" s="4"/>
      <c r="V838" s="4"/>
      <c r="W838" s="4"/>
    </row>
    <row r="839" ht="15.75" customHeight="1">
      <c r="A839" s="13">
        <f t="shared" si="9"/>
        <v>836</v>
      </c>
      <c r="B839" s="18">
        <f>A839/'Orbit Info'!$G$10</f>
        <v>8.835950823</v>
      </c>
      <c r="C839" s="13">
        <f t="shared" si="2"/>
        <v>0</v>
      </c>
      <c r="D839" s="13">
        <f t="shared" si="3"/>
        <v>1</v>
      </c>
      <c r="E839" s="13">
        <f t="shared" si="4"/>
        <v>0</v>
      </c>
      <c r="F839" s="13">
        <f t="shared" si="5"/>
        <v>0</v>
      </c>
      <c r="G839" s="13">
        <f t="shared" si="6"/>
        <v>1</v>
      </c>
      <c r="H839" s="13">
        <f>'Orbit Info'!C838*((C839*$O$2)+(D839*$O$3)+(E839*$O$4)+(F839*$O$5))</f>
        <v>0</v>
      </c>
      <c r="I839" s="13">
        <f t="shared" si="7"/>
        <v>8.62426</v>
      </c>
      <c r="J839" s="18">
        <f t="shared" si="8"/>
        <v>-0.1437376667</v>
      </c>
      <c r="K839" s="18">
        <f t="shared" si="10"/>
        <v>85.181509</v>
      </c>
      <c r="L839" s="4"/>
      <c r="M839" s="4"/>
      <c r="N839" s="4"/>
      <c r="O839" s="4"/>
      <c r="P839" s="4"/>
      <c r="Q839" s="4"/>
      <c r="R839" s="4"/>
      <c r="S839" s="4"/>
      <c r="T839" s="4"/>
      <c r="U839" s="4"/>
      <c r="V839" s="4"/>
      <c r="W839" s="4"/>
    </row>
    <row r="840" ht="15.75" customHeight="1">
      <c r="A840" s="13">
        <f t="shared" si="9"/>
        <v>837</v>
      </c>
      <c r="B840" s="18">
        <f>A840/'Orbit Info'!$G$10</f>
        <v>8.846520142</v>
      </c>
      <c r="C840" s="13">
        <f t="shared" si="2"/>
        <v>0</v>
      </c>
      <c r="D840" s="13">
        <f t="shared" si="3"/>
        <v>1</v>
      </c>
      <c r="E840" s="13">
        <f t="shared" si="4"/>
        <v>0</v>
      </c>
      <c r="F840" s="13">
        <f t="shared" si="5"/>
        <v>0</v>
      </c>
      <c r="G840" s="13">
        <f t="shared" si="6"/>
        <v>1</v>
      </c>
      <c r="H840" s="13">
        <f>'Orbit Info'!C839*((C840*$O$2)+(D840*$O$3)+(E840*$O$4)+(F840*$O$5))</f>
        <v>0</v>
      </c>
      <c r="I840" s="13">
        <f t="shared" si="7"/>
        <v>8.62426</v>
      </c>
      <c r="J840" s="18">
        <f t="shared" si="8"/>
        <v>-0.1437376667</v>
      </c>
      <c r="K840" s="18">
        <f t="shared" si="10"/>
        <v>85.03777133</v>
      </c>
      <c r="L840" s="4"/>
      <c r="M840" s="4"/>
      <c r="N840" s="4"/>
      <c r="O840" s="4"/>
      <c r="P840" s="4"/>
      <c r="Q840" s="4"/>
      <c r="R840" s="4"/>
      <c r="S840" s="4"/>
      <c r="T840" s="4"/>
      <c r="U840" s="4"/>
      <c r="V840" s="4"/>
      <c r="W840" s="4"/>
    </row>
    <row r="841" ht="15.75" customHeight="1">
      <c r="A841" s="13">
        <f t="shared" si="9"/>
        <v>838</v>
      </c>
      <c r="B841" s="18">
        <f>A841/'Orbit Info'!$G$10</f>
        <v>8.857089461</v>
      </c>
      <c r="C841" s="13">
        <f t="shared" si="2"/>
        <v>0</v>
      </c>
      <c r="D841" s="13">
        <f t="shared" si="3"/>
        <v>1</v>
      </c>
      <c r="E841" s="13">
        <f t="shared" si="4"/>
        <v>0</v>
      </c>
      <c r="F841" s="13">
        <f t="shared" si="5"/>
        <v>0</v>
      </c>
      <c r="G841" s="13">
        <f t="shared" si="6"/>
        <v>1</v>
      </c>
      <c r="H841" s="13">
        <f>'Orbit Info'!C840*((C841*$O$2)+(D841*$O$3)+(E841*$O$4)+(F841*$O$5))</f>
        <v>0</v>
      </c>
      <c r="I841" s="13">
        <f t="shared" si="7"/>
        <v>8.62426</v>
      </c>
      <c r="J841" s="18">
        <f t="shared" si="8"/>
        <v>-0.1437376667</v>
      </c>
      <c r="K841" s="18">
        <f t="shared" si="10"/>
        <v>84.89403367</v>
      </c>
      <c r="L841" s="4"/>
      <c r="M841" s="4"/>
      <c r="N841" s="4"/>
      <c r="O841" s="4"/>
      <c r="P841" s="4"/>
      <c r="Q841" s="4"/>
      <c r="R841" s="4"/>
      <c r="S841" s="4"/>
      <c r="T841" s="4"/>
      <c r="U841" s="4"/>
      <c r="V841" s="4"/>
      <c r="W841" s="4"/>
    </row>
    <row r="842" ht="15.75" customHeight="1">
      <c r="A842" s="13">
        <f t="shared" si="9"/>
        <v>839</v>
      </c>
      <c r="B842" s="18">
        <f>A842/'Orbit Info'!$G$10</f>
        <v>8.86765878</v>
      </c>
      <c r="C842" s="13">
        <f t="shared" si="2"/>
        <v>0</v>
      </c>
      <c r="D842" s="13">
        <f t="shared" si="3"/>
        <v>1</v>
      </c>
      <c r="E842" s="13">
        <f t="shared" si="4"/>
        <v>0</v>
      </c>
      <c r="F842" s="13">
        <f t="shared" si="5"/>
        <v>0</v>
      </c>
      <c r="G842" s="13">
        <f t="shared" si="6"/>
        <v>1</v>
      </c>
      <c r="H842" s="13">
        <f>'Orbit Info'!C841*((C842*$O$2)+(D842*$O$3)+(E842*$O$4)+(F842*$O$5))</f>
        <v>0</v>
      </c>
      <c r="I842" s="13">
        <f t="shared" si="7"/>
        <v>8.62426</v>
      </c>
      <c r="J842" s="18">
        <f t="shared" si="8"/>
        <v>-0.1437376667</v>
      </c>
      <c r="K842" s="18">
        <f t="shared" si="10"/>
        <v>84.750296</v>
      </c>
      <c r="L842" s="4"/>
      <c r="M842" s="4"/>
      <c r="N842" s="4"/>
      <c r="O842" s="4"/>
      <c r="P842" s="4"/>
      <c r="Q842" s="4"/>
      <c r="R842" s="4"/>
      <c r="S842" s="4"/>
      <c r="T842" s="4"/>
      <c r="U842" s="4"/>
      <c r="V842" s="4"/>
      <c r="W842" s="4"/>
    </row>
    <row r="843" ht="15.75" customHeight="1">
      <c r="A843" s="13">
        <f t="shared" si="9"/>
        <v>840</v>
      </c>
      <c r="B843" s="18">
        <f>A843/'Orbit Info'!$G$10</f>
        <v>8.878228099</v>
      </c>
      <c r="C843" s="13">
        <f t="shared" si="2"/>
        <v>0</v>
      </c>
      <c r="D843" s="13">
        <f t="shared" si="3"/>
        <v>1</v>
      </c>
      <c r="E843" s="13">
        <f t="shared" si="4"/>
        <v>0</v>
      </c>
      <c r="F843" s="13">
        <f t="shared" si="5"/>
        <v>0</v>
      </c>
      <c r="G843" s="13">
        <f t="shared" si="6"/>
        <v>1</v>
      </c>
      <c r="H843" s="13">
        <f>'Orbit Info'!C842*((C843*$O$2)+(D843*$O$3)+(E843*$O$4)+(F843*$O$5))</f>
        <v>0</v>
      </c>
      <c r="I843" s="13">
        <f t="shared" si="7"/>
        <v>8.62426</v>
      </c>
      <c r="J843" s="18">
        <f t="shared" si="8"/>
        <v>-0.1437376667</v>
      </c>
      <c r="K843" s="18">
        <f t="shared" si="10"/>
        <v>84.60655833</v>
      </c>
      <c r="L843" s="4"/>
      <c r="M843" s="4"/>
      <c r="N843" s="4"/>
      <c r="O843" s="4"/>
      <c r="P843" s="4"/>
      <c r="Q843" s="4"/>
      <c r="R843" s="4"/>
      <c r="S843" s="4"/>
      <c r="T843" s="4"/>
      <c r="U843" s="4"/>
      <c r="V843" s="4"/>
      <c r="W843" s="4"/>
    </row>
    <row r="844" ht="15.75" customHeight="1">
      <c r="A844" s="13">
        <f t="shared" si="9"/>
        <v>841</v>
      </c>
      <c r="B844" s="18">
        <f>A844/'Orbit Info'!$G$10</f>
        <v>8.888797419</v>
      </c>
      <c r="C844" s="13">
        <f t="shared" si="2"/>
        <v>0</v>
      </c>
      <c r="D844" s="13">
        <f t="shared" si="3"/>
        <v>1</v>
      </c>
      <c r="E844" s="13">
        <f t="shared" si="4"/>
        <v>0</v>
      </c>
      <c r="F844" s="13">
        <f t="shared" si="5"/>
        <v>0</v>
      </c>
      <c r="G844" s="13">
        <f t="shared" si="6"/>
        <v>1</v>
      </c>
      <c r="H844" s="13">
        <f>'Orbit Info'!C843*((C844*$O$2)+(D844*$O$3)+(E844*$O$4)+(F844*$O$5))</f>
        <v>0</v>
      </c>
      <c r="I844" s="13">
        <f t="shared" si="7"/>
        <v>8.62426</v>
      </c>
      <c r="J844" s="18">
        <f t="shared" si="8"/>
        <v>-0.1437376667</v>
      </c>
      <c r="K844" s="18">
        <f t="shared" si="10"/>
        <v>84.46282067</v>
      </c>
      <c r="L844" s="4"/>
      <c r="M844" s="4"/>
      <c r="N844" s="4"/>
      <c r="O844" s="4"/>
      <c r="P844" s="4"/>
      <c r="Q844" s="4"/>
      <c r="R844" s="4"/>
      <c r="S844" s="4"/>
      <c r="T844" s="4"/>
      <c r="U844" s="4"/>
      <c r="V844" s="4"/>
      <c r="W844" s="4"/>
    </row>
    <row r="845" ht="15.75" customHeight="1">
      <c r="A845" s="13">
        <f t="shared" si="9"/>
        <v>842</v>
      </c>
      <c r="B845" s="18">
        <f>A845/'Orbit Info'!$G$10</f>
        <v>8.899366738</v>
      </c>
      <c r="C845" s="13">
        <f t="shared" si="2"/>
        <v>0</v>
      </c>
      <c r="D845" s="13">
        <f t="shared" si="3"/>
        <v>1</v>
      </c>
      <c r="E845" s="13">
        <f t="shared" si="4"/>
        <v>0</v>
      </c>
      <c r="F845" s="13">
        <f t="shared" si="5"/>
        <v>0</v>
      </c>
      <c r="G845" s="13">
        <f t="shared" si="6"/>
        <v>1</v>
      </c>
      <c r="H845" s="13">
        <f>'Orbit Info'!C844*((C845*$O$2)+(D845*$O$3)+(E845*$O$4)+(F845*$O$5))</f>
        <v>0</v>
      </c>
      <c r="I845" s="13">
        <f t="shared" si="7"/>
        <v>8.62426</v>
      </c>
      <c r="J845" s="18">
        <f t="shared" si="8"/>
        <v>-0.1437376667</v>
      </c>
      <c r="K845" s="18">
        <f t="shared" si="10"/>
        <v>84.319083</v>
      </c>
      <c r="L845" s="4"/>
      <c r="M845" s="4"/>
      <c r="N845" s="4"/>
      <c r="O845" s="4"/>
      <c r="P845" s="4"/>
      <c r="Q845" s="4"/>
      <c r="R845" s="4"/>
      <c r="S845" s="4"/>
      <c r="T845" s="4"/>
      <c r="U845" s="4"/>
      <c r="V845" s="4"/>
      <c r="W845" s="4"/>
    </row>
    <row r="846" ht="15.75" customHeight="1">
      <c r="A846" s="13">
        <f t="shared" si="9"/>
        <v>843</v>
      </c>
      <c r="B846" s="18">
        <f>A846/'Orbit Info'!$G$10</f>
        <v>8.909936057</v>
      </c>
      <c r="C846" s="13">
        <f t="shared" si="2"/>
        <v>0</v>
      </c>
      <c r="D846" s="13">
        <f t="shared" si="3"/>
        <v>1</v>
      </c>
      <c r="E846" s="13">
        <f t="shared" si="4"/>
        <v>0</v>
      </c>
      <c r="F846" s="13">
        <f t="shared" si="5"/>
        <v>0</v>
      </c>
      <c r="G846" s="13">
        <f t="shared" si="6"/>
        <v>1</v>
      </c>
      <c r="H846" s="13">
        <f>'Orbit Info'!C845*((C846*$O$2)+(D846*$O$3)+(E846*$O$4)+(F846*$O$5))</f>
        <v>0</v>
      </c>
      <c r="I846" s="13">
        <f t="shared" si="7"/>
        <v>8.62426</v>
      </c>
      <c r="J846" s="18">
        <f t="shared" si="8"/>
        <v>-0.1437376667</v>
      </c>
      <c r="K846" s="18">
        <f t="shared" si="10"/>
        <v>84.17534533</v>
      </c>
      <c r="L846" s="4"/>
      <c r="M846" s="4"/>
      <c r="N846" s="4"/>
      <c r="O846" s="4"/>
      <c r="P846" s="4"/>
      <c r="Q846" s="4"/>
      <c r="R846" s="4"/>
      <c r="S846" s="4"/>
      <c r="T846" s="4"/>
      <c r="U846" s="4"/>
      <c r="V846" s="4"/>
      <c r="W846" s="4"/>
    </row>
    <row r="847" ht="15.75" customHeight="1">
      <c r="A847" s="13">
        <f t="shared" si="9"/>
        <v>844</v>
      </c>
      <c r="B847" s="18">
        <f>A847/'Orbit Info'!$G$10</f>
        <v>8.920505376</v>
      </c>
      <c r="C847" s="13">
        <f t="shared" si="2"/>
        <v>0</v>
      </c>
      <c r="D847" s="13">
        <f t="shared" si="3"/>
        <v>1</v>
      </c>
      <c r="E847" s="13">
        <f t="shared" si="4"/>
        <v>0</v>
      </c>
      <c r="F847" s="13">
        <f t="shared" si="5"/>
        <v>0</v>
      </c>
      <c r="G847" s="13">
        <f t="shared" si="6"/>
        <v>1</v>
      </c>
      <c r="H847" s="13">
        <f>'Orbit Info'!C846*((C847*$O$2)+(D847*$O$3)+(E847*$O$4)+(F847*$O$5))</f>
        <v>0</v>
      </c>
      <c r="I847" s="13">
        <f t="shared" si="7"/>
        <v>8.62426</v>
      </c>
      <c r="J847" s="18">
        <f t="shared" si="8"/>
        <v>-0.1437376667</v>
      </c>
      <c r="K847" s="18">
        <f t="shared" si="10"/>
        <v>84.03160767</v>
      </c>
      <c r="L847" s="4"/>
      <c r="M847" s="4"/>
      <c r="N847" s="4"/>
      <c r="O847" s="4"/>
      <c r="P847" s="4"/>
      <c r="Q847" s="4"/>
      <c r="R847" s="4"/>
      <c r="S847" s="4"/>
      <c r="T847" s="4"/>
      <c r="U847" s="4"/>
      <c r="V847" s="4"/>
      <c r="W847" s="4"/>
    </row>
    <row r="848" ht="15.75" customHeight="1">
      <c r="A848" s="13">
        <f t="shared" si="9"/>
        <v>845</v>
      </c>
      <c r="B848" s="18">
        <f>A848/'Orbit Info'!$G$10</f>
        <v>8.931074695</v>
      </c>
      <c r="C848" s="13">
        <f t="shared" si="2"/>
        <v>0</v>
      </c>
      <c r="D848" s="13">
        <f t="shared" si="3"/>
        <v>1</v>
      </c>
      <c r="E848" s="13">
        <f t="shared" si="4"/>
        <v>0</v>
      </c>
      <c r="F848" s="13">
        <f t="shared" si="5"/>
        <v>0</v>
      </c>
      <c r="G848" s="13">
        <f t="shared" si="6"/>
        <v>1</v>
      </c>
      <c r="H848" s="13">
        <f>'Orbit Info'!C847*((C848*$O$2)+(D848*$O$3)+(E848*$O$4)+(F848*$O$5))</f>
        <v>0</v>
      </c>
      <c r="I848" s="13">
        <f t="shared" si="7"/>
        <v>8.62426</v>
      </c>
      <c r="J848" s="18">
        <f t="shared" si="8"/>
        <v>-0.1437376667</v>
      </c>
      <c r="K848" s="18">
        <f t="shared" si="10"/>
        <v>83.88787</v>
      </c>
      <c r="L848" s="4"/>
      <c r="M848" s="4"/>
      <c r="N848" s="4"/>
      <c r="O848" s="4"/>
      <c r="P848" s="4"/>
      <c r="Q848" s="4"/>
      <c r="R848" s="4"/>
      <c r="S848" s="4"/>
      <c r="T848" s="4"/>
      <c r="U848" s="4"/>
      <c r="V848" s="4"/>
      <c r="W848" s="4"/>
    </row>
    <row r="849" ht="15.75" customHeight="1">
      <c r="A849" s="13">
        <f t="shared" si="9"/>
        <v>846</v>
      </c>
      <c r="B849" s="18">
        <f>A849/'Orbit Info'!$G$10</f>
        <v>8.941644014</v>
      </c>
      <c r="C849" s="13">
        <f t="shared" si="2"/>
        <v>0</v>
      </c>
      <c r="D849" s="13">
        <f t="shared" si="3"/>
        <v>1</v>
      </c>
      <c r="E849" s="13">
        <f t="shared" si="4"/>
        <v>0</v>
      </c>
      <c r="F849" s="13">
        <f t="shared" si="5"/>
        <v>0</v>
      </c>
      <c r="G849" s="13">
        <f t="shared" si="6"/>
        <v>1</v>
      </c>
      <c r="H849" s="13">
        <f>'Orbit Info'!C848*((C849*$O$2)+(D849*$O$3)+(E849*$O$4)+(F849*$O$5))</f>
        <v>0</v>
      </c>
      <c r="I849" s="13">
        <f t="shared" si="7"/>
        <v>8.62426</v>
      </c>
      <c r="J849" s="18">
        <f t="shared" si="8"/>
        <v>-0.1437376667</v>
      </c>
      <c r="K849" s="18">
        <f t="shared" si="10"/>
        <v>83.74413233</v>
      </c>
      <c r="L849" s="4"/>
      <c r="M849" s="4"/>
      <c r="N849" s="4"/>
      <c r="O849" s="4"/>
      <c r="P849" s="4"/>
      <c r="Q849" s="4"/>
      <c r="R849" s="4"/>
      <c r="S849" s="4"/>
      <c r="T849" s="4"/>
      <c r="U849" s="4"/>
      <c r="V849" s="4"/>
      <c r="W849" s="4"/>
    </row>
    <row r="850" ht="15.75" customHeight="1">
      <c r="A850" s="13">
        <f t="shared" si="9"/>
        <v>847</v>
      </c>
      <c r="B850" s="18">
        <f>A850/'Orbit Info'!$G$10</f>
        <v>8.952213334</v>
      </c>
      <c r="C850" s="13">
        <f t="shared" si="2"/>
        <v>0</v>
      </c>
      <c r="D850" s="13">
        <f t="shared" si="3"/>
        <v>1</v>
      </c>
      <c r="E850" s="13">
        <f t="shared" si="4"/>
        <v>0</v>
      </c>
      <c r="F850" s="13">
        <f t="shared" si="5"/>
        <v>0</v>
      </c>
      <c r="G850" s="13">
        <f t="shared" si="6"/>
        <v>1</v>
      </c>
      <c r="H850" s="13">
        <f>'Orbit Info'!C849*((C850*$O$2)+(D850*$O$3)+(E850*$O$4)+(F850*$O$5))</f>
        <v>0</v>
      </c>
      <c r="I850" s="13">
        <f t="shared" si="7"/>
        <v>8.62426</v>
      </c>
      <c r="J850" s="18">
        <f t="shared" si="8"/>
        <v>-0.1437376667</v>
      </c>
      <c r="K850" s="18">
        <f t="shared" si="10"/>
        <v>83.60039467</v>
      </c>
      <c r="L850" s="4"/>
      <c r="M850" s="4"/>
      <c r="N850" s="4"/>
      <c r="O850" s="4"/>
      <c r="P850" s="4"/>
      <c r="Q850" s="4"/>
      <c r="R850" s="4"/>
      <c r="S850" s="4"/>
      <c r="T850" s="4"/>
      <c r="U850" s="4"/>
      <c r="V850" s="4"/>
      <c r="W850" s="4"/>
    </row>
    <row r="851" ht="15.75" customHeight="1">
      <c r="A851" s="13">
        <f t="shared" si="9"/>
        <v>848</v>
      </c>
      <c r="B851" s="18">
        <f>A851/'Orbit Info'!$G$10</f>
        <v>8.962782653</v>
      </c>
      <c r="C851" s="13">
        <f t="shared" si="2"/>
        <v>0</v>
      </c>
      <c r="D851" s="13">
        <f t="shared" si="3"/>
        <v>1</v>
      </c>
      <c r="E851" s="13">
        <f t="shared" si="4"/>
        <v>0</v>
      </c>
      <c r="F851" s="13">
        <f t="shared" si="5"/>
        <v>0</v>
      </c>
      <c r="G851" s="13">
        <f t="shared" si="6"/>
        <v>1</v>
      </c>
      <c r="H851" s="13">
        <f>'Orbit Info'!C850*((C851*$O$2)+(D851*$O$3)+(E851*$O$4)+(F851*$O$5))</f>
        <v>0</v>
      </c>
      <c r="I851" s="13">
        <f t="shared" si="7"/>
        <v>8.62426</v>
      </c>
      <c r="J851" s="18">
        <f t="shared" si="8"/>
        <v>-0.1437376667</v>
      </c>
      <c r="K851" s="18">
        <f t="shared" si="10"/>
        <v>83.456657</v>
      </c>
      <c r="L851" s="4"/>
      <c r="M851" s="4"/>
      <c r="N851" s="4"/>
      <c r="O851" s="4"/>
      <c r="P851" s="4"/>
      <c r="Q851" s="4"/>
      <c r="R851" s="4"/>
      <c r="S851" s="4"/>
      <c r="T851" s="4"/>
      <c r="U851" s="4"/>
      <c r="V851" s="4"/>
      <c r="W851" s="4"/>
    </row>
    <row r="852" ht="15.75" customHeight="1">
      <c r="A852" s="13">
        <f t="shared" si="9"/>
        <v>849</v>
      </c>
      <c r="B852" s="18">
        <f>A852/'Orbit Info'!$G$10</f>
        <v>8.973351972</v>
      </c>
      <c r="C852" s="13">
        <f t="shared" si="2"/>
        <v>0</v>
      </c>
      <c r="D852" s="13">
        <f t="shared" si="3"/>
        <v>1</v>
      </c>
      <c r="E852" s="13">
        <f t="shared" si="4"/>
        <v>0</v>
      </c>
      <c r="F852" s="13">
        <f t="shared" si="5"/>
        <v>0</v>
      </c>
      <c r="G852" s="13">
        <f t="shared" si="6"/>
        <v>1</v>
      </c>
      <c r="H852" s="13">
        <f>'Orbit Info'!C851*((C852*$O$2)+(D852*$O$3)+(E852*$O$4)+(F852*$O$5))</f>
        <v>0</v>
      </c>
      <c r="I852" s="13">
        <f t="shared" si="7"/>
        <v>8.62426</v>
      </c>
      <c r="J852" s="18">
        <f t="shared" si="8"/>
        <v>-0.1437376667</v>
      </c>
      <c r="K852" s="18">
        <f t="shared" si="10"/>
        <v>83.31291933</v>
      </c>
      <c r="L852" s="4"/>
      <c r="M852" s="4"/>
      <c r="N852" s="4"/>
      <c r="O852" s="4"/>
      <c r="P852" s="4"/>
      <c r="Q852" s="4"/>
      <c r="R852" s="4"/>
      <c r="S852" s="4"/>
      <c r="T852" s="4"/>
      <c r="U852" s="4"/>
      <c r="V852" s="4"/>
      <c r="W852" s="4"/>
    </row>
    <row r="853" ht="15.75" customHeight="1">
      <c r="A853" s="13">
        <f t="shared" si="9"/>
        <v>850</v>
      </c>
      <c r="B853" s="18">
        <f>A853/'Orbit Info'!$G$10</f>
        <v>8.983921291</v>
      </c>
      <c r="C853" s="13">
        <f t="shared" si="2"/>
        <v>0</v>
      </c>
      <c r="D853" s="13">
        <f t="shared" si="3"/>
        <v>1</v>
      </c>
      <c r="E853" s="13">
        <f t="shared" si="4"/>
        <v>0</v>
      </c>
      <c r="F853" s="13">
        <f t="shared" si="5"/>
        <v>0</v>
      </c>
      <c r="G853" s="13">
        <f t="shared" si="6"/>
        <v>1</v>
      </c>
      <c r="H853" s="13">
        <f>'Orbit Info'!C852*((C853*$O$2)+(D853*$O$3)+(E853*$O$4)+(F853*$O$5))</f>
        <v>0</v>
      </c>
      <c r="I853" s="13">
        <f t="shared" si="7"/>
        <v>8.62426</v>
      </c>
      <c r="J853" s="18">
        <f t="shared" si="8"/>
        <v>-0.1437376667</v>
      </c>
      <c r="K853" s="18">
        <f t="shared" si="10"/>
        <v>83.16918167</v>
      </c>
      <c r="L853" s="4"/>
      <c r="M853" s="4"/>
      <c r="N853" s="4"/>
      <c r="O853" s="4"/>
      <c r="P853" s="4"/>
      <c r="Q853" s="4"/>
      <c r="R853" s="4"/>
      <c r="S853" s="4"/>
      <c r="T853" s="4"/>
      <c r="U853" s="4"/>
      <c r="V853" s="4"/>
      <c r="W853" s="4"/>
    </row>
    <row r="854" ht="15.75" customHeight="1">
      <c r="A854" s="13">
        <f t="shared" si="9"/>
        <v>851</v>
      </c>
      <c r="B854" s="18">
        <f>A854/'Orbit Info'!$G$10</f>
        <v>8.99449061</v>
      </c>
      <c r="C854" s="13">
        <f t="shared" si="2"/>
        <v>0</v>
      </c>
      <c r="D854" s="13">
        <f t="shared" si="3"/>
        <v>1</v>
      </c>
      <c r="E854" s="13">
        <f t="shared" si="4"/>
        <v>0</v>
      </c>
      <c r="F854" s="13">
        <f t="shared" si="5"/>
        <v>0</v>
      </c>
      <c r="G854" s="13">
        <f t="shared" si="6"/>
        <v>1</v>
      </c>
      <c r="H854" s="13">
        <f>'Orbit Info'!C853*((C854*$O$2)+(D854*$O$3)+(E854*$O$4)+(F854*$O$5))</f>
        <v>0</v>
      </c>
      <c r="I854" s="13">
        <f t="shared" si="7"/>
        <v>8.62426</v>
      </c>
      <c r="J854" s="18">
        <f t="shared" si="8"/>
        <v>-0.1437376667</v>
      </c>
      <c r="K854" s="18">
        <f t="shared" si="10"/>
        <v>83.025444</v>
      </c>
      <c r="L854" s="4"/>
      <c r="M854" s="4"/>
      <c r="N854" s="4"/>
      <c r="O854" s="4"/>
      <c r="P854" s="4"/>
      <c r="Q854" s="4"/>
      <c r="R854" s="4"/>
      <c r="S854" s="4"/>
      <c r="T854" s="4"/>
      <c r="U854" s="4"/>
      <c r="V854" s="4"/>
      <c r="W854" s="4"/>
    </row>
    <row r="855" ht="15.75" customHeight="1">
      <c r="A855" s="13">
        <f t="shared" si="9"/>
        <v>852</v>
      </c>
      <c r="B855" s="18">
        <f>A855/'Orbit Info'!$G$10</f>
        <v>9.005059929</v>
      </c>
      <c r="C855" s="13">
        <f t="shared" si="2"/>
        <v>0</v>
      </c>
      <c r="D855" s="13">
        <f t="shared" si="3"/>
        <v>1</v>
      </c>
      <c r="E855" s="13">
        <f t="shared" si="4"/>
        <v>0</v>
      </c>
      <c r="F855" s="13">
        <f t="shared" si="5"/>
        <v>0</v>
      </c>
      <c r="G855" s="13">
        <f t="shared" si="6"/>
        <v>1</v>
      </c>
      <c r="H855" s="13">
        <f>'Orbit Info'!C854*((C855*$O$2)+(D855*$O$3)+(E855*$O$4)+(F855*$O$5))</f>
        <v>15.628032</v>
      </c>
      <c r="I855" s="13">
        <f t="shared" si="7"/>
        <v>8.62426</v>
      </c>
      <c r="J855" s="18">
        <f t="shared" si="8"/>
        <v>0.1167295333</v>
      </c>
      <c r="K855" s="18">
        <f t="shared" si="10"/>
        <v>83.14217353</v>
      </c>
      <c r="L855" s="4"/>
      <c r="M855" s="4"/>
      <c r="N855" s="4"/>
      <c r="O855" s="4"/>
      <c r="P855" s="4"/>
      <c r="Q855" s="4"/>
      <c r="R855" s="4"/>
      <c r="S855" s="4"/>
      <c r="T855" s="4"/>
      <c r="U855" s="4"/>
      <c r="V855" s="4"/>
      <c r="W855" s="4"/>
    </row>
    <row r="856" ht="15.75" customHeight="1">
      <c r="A856" s="13">
        <f t="shared" si="9"/>
        <v>853</v>
      </c>
      <c r="B856" s="18">
        <f>A856/'Orbit Info'!$G$10</f>
        <v>9.015629249</v>
      </c>
      <c r="C856" s="13">
        <f t="shared" si="2"/>
        <v>0</v>
      </c>
      <c r="D856" s="13">
        <f t="shared" si="3"/>
        <v>1</v>
      </c>
      <c r="E856" s="13">
        <f t="shared" si="4"/>
        <v>0</v>
      </c>
      <c r="F856" s="13">
        <f t="shared" si="5"/>
        <v>0</v>
      </c>
      <c r="G856" s="13">
        <f t="shared" si="6"/>
        <v>1</v>
      </c>
      <c r="H856" s="13">
        <f>'Orbit Info'!C855*((C856*$O$2)+(D856*$O$3)+(E856*$O$4)+(F856*$O$5))</f>
        <v>15.628032</v>
      </c>
      <c r="I856" s="13">
        <f t="shared" si="7"/>
        <v>8.62426</v>
      </c>
      <c r="J856" s="18">
        <f t="shared" si="8"/>
        <v>0.1167295333</v>
      </c>
      <c r="K856" s="18">
        <f t="shared" si="10"/>
        <v>83.25890307</v>
      </c>
      <c r="L856" s="4"/>
      <c r="M856" s="4"/>
      <c r="N856" s="4"/>
      <c r="O856" s="4"/>
      <c r="P856" s="4"/>
      <c r="Q856" s="4"/>
      <c r="R856" s="4"/>
      <c r="S856" s="4"/>
      <c r="T856" s="4"/>
      <c r="U856" s="4"/>
      <c r="V856" s="4"/>
      <c r="W856" s="4"/>
    </row>
    <row r="857" ht="15.75" customHeight="1">
      <c r="A857" s="13">
        <f t="shared" si="9"/>
        <v>854</v>
      </c>
      <c r="B857" s="18">
        <f>A857/'Orbit Info'!$G$10</f>
        <v>9.026198568</v>
      </c>
      <c r="C857" s="13">
        <f t="shared" si="2"/>
        <v>0</v>
      </c>
      <c r="D857" s="13">
        <f t="shared" si="3"/>
        <v>1</v>
      </c>
      <c r="E857" s="13">
        <f t="shared" si="4"/>
        <v>0</v>
      </c>
      <c r="F857" s="13">
        <f t="shared" si="5"/>
        <v>0</v>
      </c>
      <c r="G857" s="13">
        <f t="shared" si="6"/>
        <v>1</v>
      </c>
      <c r="H857" s="13">
        <f>'Orbit Info'!C856*((C857*$O$2)+(D857*$O$3)+(E857*$O$4)+(F857*$O$5))</f>
        <v>15.628032</v>
      </c>
      <c r="I857" s="13">
        <f t="shared" si="7"/>
        <v>8.62426</v>
      </c>
      <c r="J857" s="18">
        <f t="shared" si="8"/>
        <v>0.1167295333</v>
      </c>
      <c r="K857" s="18">
        <f t="shared" si="10"/>
        <v>83.3756326</v>
      </c>
      <c r="L857" s="4"/>
      <c r="M857" s="4"/>
      <c r="N857" s="4"/>
      <c r="O857" s="4"/>
      <c r="P857" s="4"/>
      <c r="Q857" s="4"/>
      <c r="R857" s="4"/>
      <c r="S857" s="4"/>
      <c r="T857" s="4"/>
      <c r="U857" s="4"/>
      <c r="V857" s="4"/>
      <c r="W857" s="4"/>
    </row>
    <row r="858" ht="15.75" customHeight="1">
      <c r="A858" s="13">
        <f t="shared" si="9"/>
        <v>855</v>
      </c>
      <c r="B858" s="18">
        <f>A858/'Orbit Info'!$G$10</f>
        <v>9.036767887</v>
      </c>
      <c r="C858" s="13">
        <f t="shared" si="2"/>
        <v>0</v>
      </c>
      <c r="D858" s="13">
        <f t="shared" si="3"/>
        <v>1</v>
      </c>
      <c r="E858" s="13">
        <f t="shared" si="4"/>
        <v>0</v>
      </c>
      <c r="F858" s="13">
        <f t="shared" si="5"/>
        <v>0</v>
      </c>
      <c r="G858" s="13">
        <f t="shared" si="6"/>
        <v>1</v>
      </c>
      <c r="H858" s="13">
        <f>'Orbit Info'!C857*((C858*$O$2)+(D858*$O$3)+(E858*$O$4)+(F858*$O$5))</f>
        <v>15.628032</v>
      </c>
      <c r="I858" s="13">
        <f t="shared" si="7"/>
        <v>8.62426</v>
      </c>
      <c r="J858" s="18">
        <f t="shared" si="8"/>
        <v>0.1167295333</v>
      </c>
      <c r="K858" s="18">
        <f t="shared" si="10"/>
        <v>83.49236213</v>
      </c>
      <c r="L858" s="4"/>
      <c r="M858" s="4"/>
      <c r="N858" s="4"/>
      <c r="O858" s="4"/>
      <c r="P858" s="4"/>
      <c r="Q858" s="4"/>
      <c r="R858" s="4"/>
      <c r="S858" s="4"/>
      <c r="T858" s="4"/>
      <c r="U858" s="4"/>
      <c r="V858" s="4"/>
      <c r="W858" s="4"/>
    </row>
    <row r="859" ht="15.75" customHeight="1">
      <c r="A859" s="13">
        <f t="shared" si="9"/>
        <v>856</v>
      </c>
      <c r="B859" s="18">
        <f>A859/'Orbit Info'!$G$10</f>
        <v>9.047337206</v>
      </c>
      <c r="C859" s="13">
        <f t="shared" si="2"/>
        <v>0</v>
      </c>
      <c r="D859" s="13">
        <f t="shared" si="3"/>
        <v>1</v>
      </c>
      <c r="E859" s="13">
        <f t="shared" si="4"/>
        <v>0</v>
      </c>
      <c r="F859" s="13">
        <f t="shared" si="5"/>
        <v>0</v>
      </c>
      <c r="G859" s="13">
        <f t="shared" si="6"/>
        <v>1</v>
      </c>
      <c r="H859" s="13">
        <f>'Orbit Info'!C858*((C859*$O$2)+(D859*$O$3)+(E859*$O$4)+(F859*$O$5))</f>
        <v>15.628032</v>
      </c>
      <c r="I859" s="13">
        <f t="shared" si="7"/>
        <v>8.62426</v>
      </c>
      <c r="J859" s="18">
        <f t="shared" si="8"/>
        <v>0.1167295333</v>
      </c>
      <c r="K859" s="18">
        <f t="shared" si="10"/>
        <v>83.60909167</v>
      </c>
      <c r="L859" s="4"/>
      <c r="M859" s="4"/>
      <c r="N859" s="4"/>
      <c r="O859" s="4"/>
      <c r="P859" s="4"/>
      <c r="Q859" s="4"/>
      <c r="R859" s="4"/>
      <c r="S859" s="4"/>
      <c r="T859" s="4"/>
      <c r="U859" s="4"/>
      <c r="V859" s="4"/>
      <c r="W859" s="4"/>
    </row>
    <row r="860" ht="15.75" customHeight="1">
      <c r="A860" s="13">
        <f t="shared" si="9"/>
        <v>857</v>
      </c>
      <c r="B860" s="18">
        <f>A860/'Orbit Info'!$G$10</f>
        <v>9.057906525</v>
      </c>
      <c r="C860" s="13">
        <f t="shared" si="2"/>
        <v>0</v>
      </c>
      <c r="D860" s="13">
        <f t="shared" si="3"/>
        <v>1</v>
      </c>
      <c r="E860" s="13">
        <f t="shared" si="4"/>
        <v>0</v>
      </c>
      <c r="F860" s="13">
        <f t="shared" si="5"/>
        <v>0</v>
      </c>
      <c r="G860" s="13">
        <f t="shared" si="6"/>
        <v>1</v>
      </c>
      <c r="H860" s="13">
        <f>'Orbit Info'!C859*((C860*$O$2)+(D860*$O$3)+(E860*$O$4)+(F860*$O$5))</f>
        <v>15.628032</v>
      </c>
      <c r="I860" s="13">
        <f t="shared" si="7"/>
        <v>8.62426</v>
      </c>
      <c r="J860" s="18">
        <f t="shared" si="8"/>
        <v>0.1167295333</v>
      </c>
      <c r="K860" s="18">
        <f t="shared" si="10"/>
        <v>83.7258212</v>
      </c>
      <c r="L860" s="4"/>
      <c r="M860" s="4"/>
      <c r="N860" s="4"/>
      <c r="O860" s="4"/>
      <c r="P860" s="4"/>
      <c r="Q860" s="4"/>
      <c r="R860" s="4"/>
      <c r="S860" s="4"/>
      <c r="T860" s="4"/>
      <c r="U860" s="4"/>
      <c r="V860" s="4"/>
      <c r="W860" s="4"/>
    </row>
    <row r="861" ht="15.75" customHeight="1">
      <c r="A861" s="13">
        <f t="shared" si="9"/>
        <v>858</v>
      </c>
      <c r="B861" s="18">
        <f>A861/'Orbit Info'!$G$10</f>
        <v>9.068475844</v>
      </c>
      <c r="C861" s="13">
        <f t="shared" si="2"/>
        <v>0</v>
      </c>
      <c r="D861" s="13">
        <f t="shared" si="3"/>
        <v>1</v>
      </c>
      <c r="E861" s="13">
        <f t="shared" si="4"/>
        <v>0</v>
      </c>
      <c r="F861" s="13">
        <f t="shared" si="5"/>
        <v>0</v>
      </c>
      <c r="G861" s="13">
        <f t="shared" si="6"/>
        <v>1</v>
      </c>
      <c r="H861" s="13">
        <f>'Orbit Info'!C860*((C861*$O$2)+(D861*$O$3)+(E861*$O$4)+(F861*$O$5))</f>
        <v>15.628032</v>
      </c>
      <c r="I861" s="13">
        <f t="shared" si="7"/>
        <v>8.62426</v>
      </c>
      <c r="J861" s="18">
        <f t="shared" si="8"/>
        <v>0.1167295333</v>
      </c>
      <c r="K861" s="18">
        <f t="shared" si="10"/>
        <v>83.84255073</v>
      </c>
      <c r="L861" s="4"/>
      <c r="M861" s="4"/>
      <c r="N861" s="4"/>
      <c r="O861" s="4"/>
      <c r="P861" s="4"/>
      <c r="Q861" s="4"/>
      <c r="R861" s="4"/>
      <c r="S861" s="4"/>
      <c r="T861" s="4"/>
      <c r="U861" s="4"/>
      <c r="V861" s="4"/>
      <c r="W861" s="4"/>
    </row>
    <row r="862" ht="15.75" customHeight="1">
      <c r="A862" s="13">
        <f t="shared" si="9"/>
        <v>859</v>
      </c>
      <c r="B862" s="18">
        <f>A862/'Orbit Info'!$G$10</f>
        <v>9.079045163</v>
      </c>
      <c r="C862" s="13">
        <f t="shared" si="2"/>
        <v>0</v>
      </c>
      <c r="D862" s="13">
        <f t="shared" si="3"/>
        <v>1</v>
      </c>
      <c r="E862" s="13">
        <f t="shared" si="4"/>
        <v>0</v>
      </c>
      <c r="F862" s="13">
        <f t="shared" si="5"/>
        <v>0</v>
      </c>
      <c r="G862" s="13">
        <f t="shared" si="6"/>
        <v>1</v>
      </c>
      <c r="H862" s="13">
        <f>'Orbit Info'!C861*((C862*$O$2)+(D862*$O$3)+(E862*$O$4)+(F862*$O$5))</f>
        <v>15.628032</v>
      </c>
      <c r="I862" s="13">
        <f t="shared" si="7"/>
        <v>8.62426</v>
      </c>
      <c r="J862" s="18">
        <f t="shared" si="8"/>
        <v>0.1167295333</v>
      </c>
      <c r="K862" s="18">
        <f t="shared" si="10"/>
        <v>83.95928027</v>
      </c>
      <c r="L862" s="4"/>
      <c r="M862" s="4"/>
      <c r="N862" s="4"/>
      <c r="O862" s="4"/>
      <c r="P862" s="4"/>
      <c r="Q862" s="4"/>
      <c r="R862" s="4"/>
      <c r="S862" s="4"/>
      <c r="T862" s="4"/>
      <c r="U862" s="4"/>
      <c r="V862" s="4"/>
      <c r="W862" s="4"/>
    </row>
    <row r="863" ht="15.75" customHeight="1">
      <c r="A863" s="13">
        <f t="shared" si="9"/>
        <v>860</v>
      </c>
      <c r="B863" s="18">
        <f>A863/'Orbit Info'!$G$10</f>
        <v>9.089614483</v>
      </c>
      <c r="C863" s="13">
        <f t="shared" si="2"/>
        <v>0</v>
      </c>
      <c r="D863" s="13">
        <f t="shared" si="3"/>
        <v>1</v>
      </c>
      <c r="E863" s="13">
        <f t="shared" si="4"/>
        <v>0</v>
      </c>
      <c r="F863" s="13">
        <f t="shared" si="5"/>
        <v>0</v>
      </c>
      <c r="G863" s="13">
        <f t="shared" si="6"/>
        <v>1</v>
      </c>
      <c r="H863" s="13">
        <f>'Orbit Info'!C862*((C863*$O$2)+(D863*$O$3)+(E863*$O$4)+(F863*$O$5))</f>
        <v>15.628032</v>
      </c>
      <c r="I863" s="13">
        <f t="shared" si="7"/>
        <v>8.62426</v>
      </c>
      <c r="J863" s="18">
        <f t="shared" si="8"/>
        <v>0.1167295333</v>
      </c>
      <c r="K863" s="18">
        <f t="shared" si="10"/>
        <v>84.0760098</v>
      </c>
      <c r="L863" s="4"/>
      <c r="M863" s="4"/>
      <c r="N863" s="4"/>
      <c r="O863" s="4"/>
      <c r="P863" s="4"/>
      <c r="Q863" s="4"/>
      <c r="R863" s="4"/>
      <c r="S863" s="4"/>
      <c r="T863" s="4"/>
      <c r="U863" s="4"/>
      <c r="V863" s="4"/>
      <c r="W863" s="4"/>
    </row>
    <row r="864" ht="15.75" customHeight="1">
      <c r="A864" s="13">
        <f t="shared" si="9"/>
        <v>861</v>
      </c>
      <c r="B864" s="18">
        <f>A864/'Orbit Info'!$G$10</f>
        <v>9.100183802</v>
      </c>
      <c r="C864" s="13">
        <f t="shared" si="2"/>
        <v>0</v>
      </c>
      <c r="D864" s="13">
        <f t="shared" si="3"/>
        <v>1</v>
      </c>
      <c r="E864" s="13">
        <f t="shared" si="4"/>
        <v>0</v>
      </c>
      <c r="F864" s="13">
        <f t="shared" si="5"/>
        <v>0</v>
      </c>
      <c r="G864" s="13">
        <f t="shared" si="6"/>
        <v>1</v>
      </c>
      <c r="H864" s="13">
        <f>'Orbit Info'!C863*((C864*$O$2)+(D864*$O$3)+(E864*$O$4)+(F864*$O$5))</f>
        <v>15.628032</v>
      </c>
      <c r="I864" s="13">
        <f t="shared" si="7"/>
        <v>8.62426</v>
      </c>
      <c r="J864" s="18">
        <f t="shared" si="8"/>
        <v>0.1167295333</v>
      </c>
      <c r="K864" s="18">
        <f t="shared" si="10"/>
        <v>84.19273933</v>
      </c>
      <c r="L864" s="4"/>
      <c r="M864" s="4"/>
      <c r="N864" s="4"/>
      <c r="O864" s="4"/>
      <c r="P864" s="4"/>
      <c r="Q864" s="4"/>
      <c r="R864" s="4"/>
      <c r="S864" s="4"/>
      <c r="T864" s="4"/>
      <c r="U864" s="4"/>
      <c r="V864" s="4"/>
      <c r="W864" s="4"/>
    </row>
    <row r="865" ht="15.75" customHeight="1">
      <c r="A865" s="13">
        <f t="shared" si="9"/>
        <v>862</v>
      </c>
      <c r="B865" s="18">
        <f>A865/'Orbit Info'!$G$10</f>
        <v>9.110753121</v>
      </c>
      <c r="C865" s="13">
        <f t="shared" si="2"/>
        <v>0</v>
      </c>
      <c r="D865" s="13">
        <f t="shared" si="3"/>
        <v>1</v>
      </c>
      <c r="E865" s="13">
        <f t="shared" si="4"/>
        <v>0</v>
      </c>
      <c r="F865" s="13">
        <f t="shared" si="5"/>
        <v>0</v>
      </c>
      <c r="G865" s="13">
        <f t="shared" si="6"/>
        <v>1</v>
      </c>
      <c r="H865" s="13">
        <f>'Orbit Info'!C864*((C865*$O$2)+(D865*$O$3)+(E865*$O$4)+(F865*$O$5))</f>
        <v>15.628032</v>
      </c>
      <c r="I865" s="13">
        <f t="shared" si="7"/>
        <v>8.62426</v>
      </c>
      <c r="J865" s="18">
        <f t="shared" si="8"/>
        <v>0.1167295333</v>
      </c>
      <c r="K865" s="18">
        <f t="shared" si="10"/>
        <v>84.30946887</v>
      </c>
      <c r="L865" s="4"/>
      <c r="M865" s="4"/>
      <c r="N865" s="4"/>
      <c r="O865" s="4"/>
      <c r="P865" s="4"/>
      <c r="Q865" s="4"/>
      <c r="R865" s="4"/>
      <c r="S865" s="4"/>
      <c r="T865" s="4"/>
      <c r="U865" s="4"/>
      <c r="V865" s="4"/>
      <c r="W865" s="4"/>
    </row>
    <row r="866" ht="15.75" customHeight="1">
      <c r="A866" s="13">
        <f t="shared" si="9"/>
        <v>863</v>
      </c>
      <c r="B866" s="18">
        <f>A866/'Orbit Info'!$G$10</f>
        <v>9.12132244</v>
      </c>
      <c r="C866" s="13">
        <f t="shared" si="2"/>
        <v>0</v>
      </c>
      <c r="D866" s="13">
        <f t="shared" si="3"/>
        <v>1</v>
      </c>
      <c r="E866" s="13">
        <f t="shared" si="4"/>
        <v>0</v>
      </c>
      <c r="F866" s="13">
        <f t="shared" si="5"/>
        <v>0</v>
      </c>
      <c r="G866" s="13">
        <f t="shared" si="6"/>
        <v>1</v>
      </c>
      <c r="H866" s="13">
        <f>'Orbit Info'!C865*((C866*$O$2)+(D866*$O$3)+(E866*$O$4)+(F866*$O$5))</f>
        <v>15.628032</v>
      </c>
      <c r="I866" s="13">
        <f t="shared" si="7"/>
        <v>8.62426</v>
      </c>
      <c r="J866" s="18">
        <f t="shared" si="8"/>
        <v>0.1167295333</v>
      </c>
      <c r="K866" s="18">
        <f t="shared" si="10"/>
        <v>84.4261984</v>
      </c>
      <c r="L866" s="4"/>
      <c r="M866" s="4"/>
      <c r="N866" s="4"/>
      <c r="O866" s="4"/>
      <c r="P866" s="4"/>
      <c r="Q866" s="4"/>
      <c r="R866" s="4"/>
      <c r="S866" s="4"/>
      <c r="T866" s="4"/>
      <c r="U866" s="4"/>
      <c r="V866" s="4"/>
      <c r="W866" s="4"/>
    </row>
    <row r="867" ht="15.75" customHeight="1">
      <c r="A867" s="13">
        <f t="shared" si="9"/>
        <v>864</v>
      </c>
      <c r="B867" s="18">
        <f>A867/'Orbit Info'!$G$10</f>
        <v>9.131891759</v>
      </c>
      <c r="C867" s="13">
        <f t="shared" si="2"/>
        <v>0</v>
      </c>
      <c r="D867" s="13">
        <f t="shared" si="3"/>
        <v>1</v>
      </c>
      <c r="E867" s="13">
        <f t="shared" si="4"/>
        <v>0</v>
      </c>
      <c r="F867" s="13">
        <f t="shared" si="5"/>
        <v>0</v>
      </c>
      <c r="G867" s="13">
        <f t="shared" si="6"/>
        <v>1</v>
      </c>
      <c r="H867" s="13">
        <f>'Orbit Info'!C866*((C867*$O$2)+(D867*$O$3)+(E867*$O$4)+(F867*$O$5))</f>
        <v>15.628032</v>
      </c>
      <c r="I867" s="13">
        <f t="shared" si="7"/>
        <v>8.62426</v>
      </c>
      <c r="J867" s="18">
        <f t="shared" si="8"/>
        <v>0.1167295333</v>
      </c>
      <c r="K867" s="18">
        <f t="shared" si="10"/>
        <v>84.54292793</v>
      </c>
      <c r="L867" s="4"/>
      <c r="M867" s="4"/>
      <c r="N867" s="4"/>
      <c r="O867" s="4"/>
      <c r="P867" s="4"/>
      <c r="Q867" s="4"/>
      <c r="R867" s="4"/>
      <c r="S867" s="4"/>
      <c r="T867" s="4"/>
      <c r="U867" s="4"/>
      <c r="V867" s="4"/>
      <c r="W867" s="4"/>
    </row>
    <row r="868" ht="15.75" customHeight="1">
      <c r="A868" s="13">
        <f t="shared" si="9"/>
        <v>865</v>
      </c>
      <c r="B868" s="18">
        <f>A868/'Orbit Info'!$G$10</f>
        <v>9.142461078</v>
      </c>
      <c r="C868" s="13">
        <f t="shared" si="2"/>
        <v>0</v>
      </c>
      <c r="D868" s="13">
        <f t="shared" si="3"/>
        <v>1</v>
      </c>
      <c r="E868" s="13">
        <f t="shared" si="4"/>
        <v>0</v>
      </c>
      <c r="F868" s="13">
        <f t="shared" si="5"/>
        <v>0</v>
      </c>
      <c r="G868" s="13">
        <f t="shared" si="6"/>
        <v>1</v>
      </c>
      <c r="H868" s="13">
        <f>'Orbit Info'!C867*((C868*$O$2)+(D868*$O$3)+(E868*$O$4)+(F868*$O$5))</f>
        <v>15.628032</v>
      </c>
      <c r="I868" s="13">
        <f t="shared" si="7"/>
        <v>8.62426</v>
      </c>
      <c r="J868" s="18">
        <f t="shared" si="8"/>
        <v>0.1167295333</v>
      </c>
      <c r="K868" s="18">
        <f t="shared" si="10"/>
        <v>84.65965747</v>
      </c>
      <c r="L868" s="4"/>
      <c r="M868" s="4"/>
      <c r="N868" s="4"/>
      <c r="O868" s="4"/>
      <c r="P868" s="4"/>
      <c r="Q868" s="4"/>
      <c r="R868" s="4"/>
      <c r="S868" s="4"/>
      <c r="T868" s="4"/>
      <c r="U868" s="4"/>
      <c r="V868" s="4"/>
      <c r="W868" s="4"/>
    </row>
    <row r="869" ht="15.75" customHeight="1">
      <c r="A869" s="13">
        <f t="shared" si="9"/>
        <v>866</v>
      </c>
      <c r="B869" s="18">
        <f>A869/'Orbit Info'!$G$10</f>
        <v>9.153030398</v>
      </c>
      <c r="C869" s="13">
        <f t="shared" si="2"/>
        <v>0</v>
      </c>
      <c r="D869" s="13">
        <f t="shared" si="3"/>
        <v>1</v>
      </c>
      <c r="E869" s="13">
        <f t="shared" si="4"/>
        <v>0</v>
      </c>
      <c r="F869" s="13">
        <f t="shared" si="5"/>
        <v>0</v>
      </c>
      <c r="G869" s="13">
        <f t="shared" si="6"/>
        <v>1</v>
      </c>
      <c r="H869" s="13">
        <f>'Orbit Info'!C868*((C869*$O$2)+(D869*$O$3)+(E869*$O$4)+(F869*$O$5))</f>
        <v>15.628032</v>
      </c>
      <c r="I869" s="13">
        <f t="shared" si="7"/>
        <v>8.62426</v>
      </c>
      <c r="J869" s="18">
        <f t="shared" si="8"/>
        <v>0.1167295333</v>
      </c>
      <c r="K869" s="18">
        <f t="shared" si="10"/>
        <v>84.776387</v>
      </c>
      <c r="L869" s="4"/>
      <c r="M869" s="4"/>
      <c r="N869" s="4"/>
      <c r="O869" s="4"/>
      <c r="P869" s="4"/>
      <c r="Q869" s="4"/>
      <c r="R869" s="4"/>
      <c r="S869" s="4"/>
      <c r="T869" s="4"/>
      <c r="U869" s="4"/>
      <c r="V869" s="4"/>
      <c r="W869" s="4"/>
    </row>
    <row r="870" ht="15.75" customHeight="1">
      <c r="A870" s="13">
        <f t="shared" si="9"/>
        <v>867</v>
      </c>
      <c r="B870" s="18">
        <f>A870/'Orbit Info'!$G$10</f>
        <v>9.163599717</v>
      </c>
      <c r="C870" s="13">
        <f t="shared" si="2"/>
        <v>0</v>
      </c>
      <c r="D870" s="13">
        <f t="shared" si="3"/>
        <v>1</v>
      </c>
      <c r="E870" s="13">
        <f t="shared" si="4"/>
        <v>0</v>
      </c>
      <c r="F870" s="13">
        <f t="shared" si="5"/>
        <v>0</v>
      </c>
      <c r="G870" s="13">
        <f t="shared" si="6"/>
        <v>1</v>
      </c>
      <c r="H870" s="13">
        <f>'Orbit Info'!C869*((C870*$O$2)+(D870*$O$3)+(E870*$O$4)+(F870*$O$5))</f>
        <v>15.628032</v>
      </c>
      <c r="I870" s="13">
        <f t="shared" si="7"/>
        <v>8.62426</v>
      </c>
      <c r="J870" s="18">
        <f t="shared" si="8"/>
        <v>0.1167295333</v>
      </c>
      <c r="K870" s="18">
        <f t="shared" si="10"/>
        <v>84.89311653</v>
      </c>
      <c r="L870" s="4"/>
      <c r="M870" s="4"/>
      <c r="N870" s="4"/>
      <c r="O870" s="4"/>
      <c r="P870" s="4"/>
      <c r="Q870" s="4"/>
      <c r="R870" s="4"/>
      <c r="S870" s="4"/>
      <c r="T870" s="4"/>
      <c r="U870" s="4"/>
      <c r="V870" s="4"/>
      <c r="W870" s="4"/>
    </row>
    <row r="871" ht="15.75" customHeight="1">
      <c r="A871" s="13">
        <f t="shared" si="9"/>
        <v>868</v>
      </c>
      <c r="B871" s="18">
        <f>A871/'Orbit Info'!$G$10</f>
        <v>9.174169036</v>
      </c>
      <c r="C871" s="13">
        <f t="shared" si="2"/>
        <v>0</v>
      </c>
      <c r="D871" s="13">
        <f t="shared" si="3"/>
        <v>1</v>
      </c>
      <c r="E871" s="13">
        <f t="shared" si="4"/>
        <v>0</v>
      </c>
      <c r="F871" s="13">
        <f t="shared" si="5"/>
        <v>0</v>
      </c>
      <c r="G871" s="13">
        <f t="shared" si="6"/>
        <v>1</v>
      </c>
      <c r="H871" s="13">
        <f>'Orbit Info'!C870*((C871*$O$2)+(D871*$O$3)+(E871*$O$4)+(F871*$O$5))</f>
        <v>15.628032</v>
      </c>
      <c r="I871" s="13">
        <f t="shared" si="7"/>
        <v>8.62426</v>
      </c>
      <c r="J871" s="18">
        <f t="shared" si="8"/>
        <v>0.1167295333</v>
      </c>
      <c r="K871" s="18">
        <f t="shared" si="10"/>
        <v>85.00984607</v>
      </c>
      <c r="L871" s="4"/>
      <c r="M871" s="4"/>
      <c r="N871" s="4"/>
      <c r="O871" s="4"/>
      <c r="P871" s="4"/>
      <c r="Q871" s="4"/>
      <c r="R871" s="4"/>
      <c r="S871" s="4"/>
      <c r="T871" s="4"/>
      <c r="U871" s="4"/>
      <c r="V871" s="4"/>
      <c r="W871" s="4"/>
    </row>
    <row r="872" ht="15.75" customHeight="1">
      <c r="A872" s="13">
        <f t="shared" si="9"/>
        <v>869</v>
      </c>
      <c r="B872" s="18">
        <f>A872/'Orbit Info'!$G$10</f>
        <v>9.184738355</v>
      </c>
      <c r="C872" s="13">
        <f t="shared" si="2"/>
        <v>0</v>
      </c>
      <c r="D872" s="13">
        <f t="shared" si="3"/>
        <v>1</v>
      </c>
      <c r="E872" s="13">
        <f t="shared" si="4"/>
        <v>0</v>
      </c>
      <c r="F872" s="13">
        <f t="shared" si="5"/>
        <v>0</v>
      </c>
      <c r="G872" s="13">
        <f t="shared" si="6"/>
        <v>1</v>
      </c>
      <c r="H872" s="13">
        <f>'Orbit Info'!C871*((C872*$O$2)+(D872*$O$3)+(E872*$O$4)+(F872*$O$5))</f>
        <v>15.628032</v>
      </c>
      <c r="I872" s="13">
        <f t="shared" si="7"/>
        <v>8.62426</v>
      </c>
      <c r="J872" s="18">
        <f t="shared" si="8"/>
        <v>0.1167295333</v>
      </c>
      <c r="K872" s="18">
        <f t="shared" si="10"/>
        <v>85.1265756</v>
      </c>
      <c r="L872" s="4"/>
      <c r="M872" s="4"/>
      <c r="N872" s="4"/>
      <c r="O872" s="4"/>
      <c r="P872" s="4"/>
      <c r="Q872" s="4"/>
      <c r="R872" s="4"/>
      <c r="S872" s="4"/>
      <c r="T872" s="4"/>
      <c r="U872" s="4"/>
      <c r="V872" s="4"/>
      <c r="W872" s="4"/>
    </row>
    <row r="873" ht="15.75" customHeight="1">
      <c r="A873" s="13">
        <f t="shared" si="9"/>
        <v>870</v>
      </c>
      <c r="B873" s="18">
        <f>A873/'Orbit Info'!$G$10</f>
        <v>9.195307674</v>
      </c>
      <c r="C873" s="13">
        <f t="shared" si="2"/>
        <v>0</v>
      </c>
      <c r="D873" s="13">
        <f t="shared" si="3"/>
        <v>1</v>
      </c>
      <c r="E873" s="13">
        <f t="shared" si="4"/>
        <v>0</v>
      </c>
      <c r="F873" s="13">
        <f t="shared" si="5"/>
        <v>0</v>
      </c>
      <c r="G873" s="13">
        <f t="shared" si="6"/>
        <v>1</v>
      </c>
      <c r="H873" s="13">
        <f>'Orbit Info'!C872*((C873*$O$2)+(D873*$O$3)+(E873*$O$4)+(F873*$O$5))</f>
        <v>15.628032</v>
      </c>
      <c r="I873" s="13">
        <f t="shared" si="7"/>
        <v>8.62426</v>
      </c>
      <c r="J873" s="18">
        <f t="shared" si="8"/>
        <v>0.1167295333</v>
      </c>
      <c r="K873" s="18">
        <f t="shared" si="10"/>
        <v>85.24330513</v>
      </c>
      <c r="L873" s="4"/>
      <c r="M873" s="4"/>
      <c r="N873" s="4"/>
      <c r="O873" s="4"/>
      <c r="P873" s="4"/>
      <c r="Q873" s="4"/>
      <c r="R873" s="4"/>
      <c r="S873" s="4"/>
      <c r="T873" s="4"/>
      <c r="U873" s="4"/>
      <c r="V873" s="4"/>
      <c r="W873" s="4"/>
    </row>
    <row r="874" ht="15.75" customHeight="1">
      <c r="A874" s="13">
        <f t="shared" si="9"/>
        <v>871</v>
      </c>
      <c r="B874" s="18">
        <f>A874/'Orbit Info'!$G$10</f>
        <v>9.205876993</v>
      </c>
      <c r="C874" s="13">
        <f t="shared" si="2"/>
        <v>0</v>
      </c>
      <c r="D874" s="13">
        <f t="shared" si="3"/>
        <v>1</v>
      </c>
      <c r="E874" s="13">
        <f t="shared" si="4"/>
        <v>0</v>
      </c>
      <c r="F874" s="13">
        <f t="shared" si="5"/>
        <v>0</v>
      </c>
      <c r="G874" s="13">
        <f t="shared" si="6"/>
        <v>1</v>
      </c>
      <c r="H874" s="13">
        <f>'Orbit Info'!C873*((C874*$O$2)+(D874*$O$3)+(E874*$O$4)+(F874*$O$5))</f>
        <v>15.628032</v>
      </c>
      <c r="I874" s="13">
        <f t="shared" si="7"/>
        <v>8.62426</v>
      </c>
      <c r="J874" s="18">
        <f t="shared" si="8"/>
        <v>0.1167295333</v>
      </c>
      <c r="K874" s="18">
        <f t="shared" si="10"/>
        <v>85.36003467</v>
      </c>
      <c r="L874" s="4"/>
      <c r="M874" s="4"/>
      <c r="N874" s="4"/>
      <c r="O874" s="4"/>
      <c r="P874" s="4"/>
      <c r="Q874" s="4"/>
      <c r="R874" s="4"/>
      <c r="S874" s="4"/>
      <c r="T874" s="4"/>
      <c r="U874" s="4"/>
      <c r="V874" s="4"/>
      <c r="W874" s="4"/>
    </row>
    <row r="875" ht="15.75" customHeight="1">
      <c r="A875" s="13">
        <f t="shared" si="9"/>
        <v>872</v>
      </c>
      <c r="B875" s="18">
        <f>A875/'Orbit Info'!$G$10</f>
        <v>9.216446313</v>
      </c>
      <c r="C875" s="13">
        <f t="shared" si="2"/>
        <v>0</v>
      </c>
      <c r="D875" s="13">
        <f t="shared" si="3"/>
        <v>1</v>
      </c>
      <c r="E875" s="13">
        <f t="shared" si="4"/>
        <v>0</v>
      </c>
      <c r="F875" s="13">
        <f t="shared" si="5"/>
        <v>0</v>
      </c>
      <c r="G875" s="13">
        <f t="shared" si="6"/>
        <v>1</v>
      </c>
      <c r="H875" s="13">
        <f>'Orbit Info'!C874*((C875*$O$2)+(D875*$O$3)+(E875*$O$4)+(F875*$O$5))</f>
        <v>15.628032</v>
      </c>
      <c r="I875" s="13">
        <f t="shared" si="7"/>
        <v>8.62426</v>
      </c>
      <c r="J875" s="18">
        <f t="shared" si="8"/>
        <v>0.1167295333</v>
      </c>
      <c r="K875" s="18">
        <f t="shared" si="10"/>
        <v>85.4767642</v>
      </c>
      <c r="L875" s="4"/>
      <c r="M875" s="4"/>
      <c r="N875" s="4"/>
      <c r="O875" s="4"/>
      <c r="P875" s="4"/>
      <c r="Q875" s="4"/>
      <c r="R875" s="4"/>
      <c r="S875" s="4"/>
      <c r="T875" s="4"/>
      <c r="U875" s="4"/>
      <c r="V875" s="4"/>
      <c r="W875" s="4"/>
    </row>
    <row r="876" ht="15.75" customHeight="1">
      <c r="A876" s="13">
        <f t="shared" si="9"/>
        <v>873</v>
      </c>
      <c r="B876" s="18">
        <f>A876/'Orbit Info'!$G$10</f>
        <v>9.227015632</v>
      </c>
      <c r="C876" s="13">
        <f t="shared" si="2"/>
        <v>0</v>
      </c>
      <c r="D876" s="13">
        <f t="shared" si="3"/>
        <v>1</v>
      </c>
      <c r="E876" s="13">
        <f t="shared" si="4"/>
        <v>0</v>
      </c>
      <c r="F876" s="13">
        <f t="shared" si="5"/>
        <v>0</v>
      </c>
      <c r="G876" s="13">
        <f t="shared" si="6"/>
        <v>1</v>
      </c>
      <c r="H876" s="13">
        <f>'Orbit Info'!C875*((C876*$O$2)+(D876*$O$3)+(E876*$O$4)+(F876*$O$5))</f>
        <v>15.628032</v>
      </c>
      <c r="I876" s="13">
        <f t="shared" si="7"/>
        <v>8.62426</v>
      </c>
      <c r="J876" s="18">
        <f t="shared" si="8"/>
        <v>0.1167295333</v>
      </c>
      <c r="K876" s="18">
        <f t="shared" si="10"/>
        <v>85.59349373</v>
      </c>
      <c r="L876" s="4"/>
      <c r="M876" s="4"/>
      <c r="N876" s="4"/>
      <c r="O876" s="4"/>
      <c r="P876" s="4"/>
      <c r="Q876" s="4"/>
      <c r="R876" s="4"/>
      <c r="S876" s="4"/>
      <c r="T876" s="4"/>
      <c r="U876" s="4"/>
      <c r="V876" s="4"/>
      <c r="W876" s="4"/>
    </row>
    <row r="877" ht="15.75" customHeight="1">
      <c r="A877" s="13">
        <f t="shared" si="9"/>
        <v>874</v>
      </c>
      <c r="B877" s="18">
        <f>A877/'Orbit Info'!$G$10</f>
        <v>9.237584951</v>
      </c>
      <c r="C877" s="13">
        <f t="shared" si="2"/>
        <v>0</v>
      </c>
      <c r="D877" s="13">
        <f t="shared" si="3"/>
        <v>1</v>
      </c>
      <c r="E877" s="13">
        <f t="shared" si="4"/>
        <v>0</v>
      </c>
      <c r="F877" s="13">
        <f t="shared" si="5"/>
        <v>0</v>
      </c>
      <c r="G877" s="13">
        <f t="shared" si="6"/>
        <v>1</v>
      </c>
      <c r="H877" s="13">
        <f>'Orbit Info'!C876*((C877*$O$2)+(D877*$O$3)+(E877*$O$4)+(F877*$O$5))</f>
        <v>15.628032</v>
      </c>
      <c r="I877" s="13">
        <f t="shared" si="7"/>
        <v>8.62426</v>
      </c>
      <c r="J877" s="18">
        <f t="shared" si="8"/>
        <v>0.1167295333</v>
      </c>
      <c r="K877" s="18">
        <f t="shared" si="10"/>
        <v>85.71022327</v>
      </c>
      <c r="L877" s="4"/>
      <c r="M877" s="4"/>
      <c r="N877" s="4"/>
      <c r="O877" s="4"/>
      <c r="P877" s="4"/>
      <c r="Q877" s="4"/>
      <c r="R877" s="4"/>
      <c r="S877" s="4"/>
      <c r="T877" s="4"/>
      <c r="U877" s="4"/>
      <c r="V877" s="4"/>
      <c r="W877" s="4"/>
    </row>
    <row r="878" ht="15.75" customHeight="1">
      <c r="A878" s="13">
        <f t="shared" si="9"/>
        <v>875</v>
      </c>
      <c r="B878" s="18">
        <f>A878/'Orbit Info'!$G$10</f>
        <v>9.24815427</v>
      </c>
      <c r="C878" s="13">
        <f t="shared" si="2"/>
        <v>0</v>
      </c>
      <c r="D878" s="13">
        <f t="shared" si="3"/>
        <v>1</v>
      </c>
      <c r="E878" s="13">
        <f t="shared" si="4"/>
        <v>0</v>
      </c>
      <c r="F878" s="13">
        <f t="shared" si="5"/>
        <v>0</v>
      </c>
      <c r="G878" s="13">
        <f t="shared" si="6"/>
        <v>1</v>
      </c>
      <c r="H878" s="13">
        <f>'Orbit Info'!C877*((C878*$O$2)+(D878*$O$3)+(E878*$O$4)+(F878*$O$5))</f>
        <v>15.628032</v>
      </c>
      <c r="I878" s="13">
        <f t="shared" si="7"/>
        <v>8.62426</v>
      </c>
      <c r="J878" s="18">
        <f t="shared" si="8"/>
        <v>0.1167295333</v>
      </c>
      <c r="K878" s="18">
        <f t="shared" si="10"/>
        <v>85.8269528</v>
      </c>
      <c r="L878" s="4"/>
      <c r="M878" s="4"/>
      <c r="N878" s="4"/>
      <c r="O878" s="4"/>
      <c r="P878" s="4"/>
      <c r="Q878" s="4"/>
      <c r="R878" s="4"/>
      <c r="S878" s="4"/>
      <c r="T878" s="4"/>
      <c r="U878" s="4"/>
      <c r="V878" s="4"/>
      <c r="W878" s="4"/>
    </row>
    <row r="879" ht="15.75" customHeight="1">
      <c r="A879" s="13">
        <f t="shared" si="9"/>
        <v>876</v>
      </c>
      <c r="B879" s="18">
        <f>A879/'Orbit Info'!$G$10</f>
        <v>9.258723589</v>
      </c>
      <c r="C879" s="13">
        <f t="shared" si="2"/>
        <v>0</v>
      </c>
      <c r="D879" s="13">
        <f t="shared" si="3"/>
        <v>1</v>
      </c>
      <c r="E879" s="13">
        <f t="shared" si="4"/>
        <v>0</v>
      </c>
      <c r="F879" s="13">
        <f t="shared" si="5"/>
        <v>0</v>
      </c>
      <c r="G879" s="13">
        <f t="shared" si="6"/>
        <v>1</v>
      </c>
      <c r="H879" s="13">
        <f>'Orbit Info'!C878*((C879*$O$2)+(D879*$O$3)+(E879*$O$4)+(F879*$O$5))</f>
        <v>15.628032</v>
      </c>
      <c r="I879" s="13">
        <f t="shared" si="7"/>
        <v>8.62426</v>
      </c>
      <c r="J879" s="18">
        <f t="shared" si="8"/>
        <v>0.1167295333</v>
      </c>
      <c r="K879" s="18">
        <f t="shared" si="10"/>
        <v>85.94368233</v>
      </c>
      <c r="L879" s="4"/>
      <c r="M879" s="4"/>
      <c r="N879" s="4"/>
      <c r="O879" s="4"/>
      <c r="P879" s="4"/>
      <c r="Q879" s="4"/>
      <c r="R879" s="4"/>
      <c r="S879" s="4"/>
      <c r="T879" s="4"/>
      <c r="U879" s="4"/>
      <c r="V879" s="4"/>
      <c r="W879" s="4"/>
    </row>
    <row r="880" ht="15.75" customHeight="1">
      <c r="A880" s="13">
        <f t="shared" si="9"/>
        <v>877</v>
      </c>
      <c r="B880" s="18">
        <f>A880/'Orbit Info'!$G$10</f>
        <v>9.269292908</v>
      </c>
      <c r="C880" s="13">
        <f t="shared" si="2"/>
        <v>0</v>
      </c>
      <c r="D880" s="13">
        <f t="shared" si="3"/>
        <v>1</v>
      </c>
      <c r="E880" s="13">
        <f t="shared" si="4"/>
        <v>0</v>
      </c>
      <c r="F880" s="13">
        <f t="shared" si="5"/>
        <v>0</v>
      </c>
      <c r="G880" s="13">
        <f t="shared" si="6"/>
        <v>1</v>
      </c>
      <c r="H880" s="13">
        <f>'Orbit Info'!C879*((C880*$O$2)+(D880*$O$3)+(E880*$O$4)+(F880*$O$5))</f>
        <v>15.628032</v>
      </c>
      <c r="I880" s="13">
        <f t="shared" si="7"/>
        <v>8.62426</v>
      </c>
      <c r="J880" s="18">
        <f t="shared" si="8"/>
        <v>0.1167295333</v>
      </c>
      <c r="K880" s="18">
        <f t="shared" si="10"/>
        <v>86.06041187</v>
      </c>
      <c r="L880" s="4"/>
      <c r="M880" s="4"/>
      <c r="N880" s="4"/>
      <c r="O880" s="4"/>
      <c r="P880" s="4"/>
      <c r="Q880" s="4"/>
      <c r="R880" s="4"/>
      <c r="S880" s="4"/>
      <c r="T880" s="4"/>
      <c r="U880" s="4"/>
      <c r="V880" s="4"/>
      <c r="W880" s="4"/>
    </row>
    <row r="881" ht="15.75" customHeight="1">
      <c r="A881" s="13">
        <f t="shared" si="9"/>
        <v>878</v>
      </c>
      <c r="B881" s="18">
        <f>A881/'Orbit Info'!$G$10</f>
        <v>9.279862228</v>
      </c>
      <c r="C881" s="13">
        <f t="shared" si="2"/>
        <v>0</v>
      </c>
      <c r="D881" s="13">
        <f t="shared" si="3"/>
        <v>1</v>
      </c>
      <c r="E881" s="13">
        <f t="shared" si="4"/>
        <v>0</v>
      </c>
      <c r="F881" s="13">
        <f t="shared" si="5"/>
        <v>0</v>
      </c>
      <c r="G881" s="13">
        <f t="shared" si="6"/>
        <v>1</v>
      </c>
      <c r="H881" s="13">
        <f>'Orbit Info'!C880*((C881*$O$2)+(D881*$O$3)+(E881*$O$4)+(F881*$O$5))</f>
        <v>15.628032</v>
      </c>
      <c r="I881" s="13">
        <f t="shared" si="7"/>
        <v>8.62426</v>
      </c>
      <c r="J881" s="18">
        <f t="shared" si="8"/>
        <v>0.1167295333</v>
      </c>
      <c r="K881" s="18">
        <f t="shared" si="10"/>
        <v>86.1771414</v>
      </c>
      <c r="L881" s="4"/>
      <c r="M881" s="4"/>
      <c r="N881" s="4"/>
      <c r="O881" s="4"/>
      <c r="P881" s="4"/>
      <c r="Q881" s="4"/>
      <c r="R881" s="4"/>
      <c r="S881" s="4"/>
      <c r="T881" s="4"/>
      <c r="U881" s="4"/>
      <c r="V881" s="4"/>
      <c r="W881" s="4"/>
    </row>
    <row r="882" ht="15.75" customHeight="1">
      <c r="A882" s="13">
        <f t="shared" si="9"/>
        <v>879</v>
      </c>
      <c r="B882" s="18">
        <f>A882/'Orbit Info'!$G$10</f>
        <v>9.290431547</v>
      </c>
      <c r="C882" s="13">
        <f t="shared" si="2"/>
        <v>0</v>
      </c>
      <c r="D882" s="13">
        <f t="shared" si="3"/>
        <v>1</v>
      </c>
      <c r="E882" s="13">
        <f t="shared" si="4"/>
        <v>0</v>
      </c>
      <c r="F882" s="13">
        <f t="shared" si="5"/>
        <v>0</v>
      </c>
      <c r="G882" s="13">
        <f t="shared" si="6"/>
        <v>1</v>
      </c>
      <c r="H882" s="13">
        <f>'Orbit Info'!C881*((C882*$O$2)+(D882*$O$3)+(E882*$O$4)+(F882*$O$5))</f>
        <v>15.628032</v>
      </c>
      <c r="I882" s="13">
        <f t="shared" si="7"/>
        <v>8.62426</v>
      </c>
      <c r="J882" s="18">
        <f t="shared" si="8"/>
        <v>0.1167295333</v>
      </c>
      <c r="K882" s="18">
        <f t="shared" si="10"/>
        <v>86.29387093</v>
      </c>
      <c r="L882" s="4"/>
      <c r="M882" s="4"/>
      <c r="N882" s="4"/>
      <c r="O882" s="4"/>
      <c r="P882" s="4"/>
      <c r="Q882" s="4"/>
      <c r="R882" s="4"/>
      <c r="S882" s="4"/>
      <c r="T882" s="4"/>
      <c r="U882" s="4"/>
      <c r="V882" s="4"/>
      <c r="W882" s="4"/>
    </row>
    <row r="883" ht="15.75" customHeight="1">
      <c r="A883" s="13">
        <f t="shared" si="9"/>
        <v>880</v>
      </c>
      <c r="B883" s="18">
        <f>A883/'Orbit Info'!$G$10</f>
        <v>9.301000866</v>
      </c>
      <c r="C883" s="13">
        <f t="shared" si="2"/>
        <v>0</v>
      </c>
      <c r="D883" s="13">
        <f t="shared" si="3"/>
        <v>1</v>
      </c>
      <c r="E883" s="13">
        <f t="shared" si="4"/>
        <v>0</v>
      </c>
      <c r="F883" s="13">
        <f t="shared" si="5"/>
        <v>0</v>
      </c>
      <c r="G883" s="13">
        <f t="shared" si="6"/>
        <v>1</v>
      </c>
      <c r="H883" s="13">
        <f>'Orbit Info'!C882*((C883*$O$2)+(D883*$O$3)+(E883*$O$4)+(F883*$O$5))</f>
        <v>15.628032</v>
      </c>
      <c r="I883" s="13">
        <f t="shared" si="7"/>
        <v>8.62426</v>
      </c>
      <c r="J883" s="18">
        <f t="shared" si="8"/>
        <v>0.1167295333</v>
      </c>
      <c r="K883" s="18">
        <f t="shared" si="10"/>
        <v>86.41060047</v>
      </c>
      <c r="L883" s="4"/>
      <c r="M883" s="4"/>
      <c r="N883" s="4"/>
      <c r="O883" s="4"/>
      <c r="P883" s="4"/>
      <c r="Q883" s="4"/>
      <c r="R883" s="4"/>
      <c r="S883" s="4"/>
      <c r="T883" s="4"/>
      <c r="U883" s="4"/>
      <c r="V883" s="4"/>
      <c r="W883" s="4"/>
    </row>
    <row r="884" ht="15.75" customHeight="1">
      <c r="A884" s="13">
        <f t="shared" si="9"/>
        <v>881</v>
      </c>
      <c r="B884" s="18">
        <f>A884/'Orbit Info'!$G$10</f>
        <v>9.311570185</v>
      </c>
      <c r="C884" s="13">
        <f t="shared" si="2"/>
        <v>0</v>
      </c>
      <c r="D884" s="13">
        <f t="shared" si="3"/>
        <v>1</v>
      </c>
      <c r="E884" s="13">
        <f t="shared" si="4"/>
        <v>0</v>
      </c>
      <c r="F884" s="13">
        <f t="shared" si="5"/>
        <v>0</v>
      </c>
      <c r="G884" s="13">
        <f t="shared" si="6"/>
        <v>1</v>
      </c>
      <c r="H884" s="13">
        <f>'Orbit Info'!C883*((C884*$O$2)+(D884*$O$3)+(E884*$O$4)+(F884*$O$5))</f>
        <v>15.628032</v>
      </c>
      <c r="I884" s="13">
        <f t="shared" si="7"/>
        <v>8.62426</v>
      </c>
      <c r="J884" s="18">
        <f t="shared" si="8"/>
        <v>0.1167295333</v>
      </c>
      <c r="K884" s="18">
        <f t="shared" si="10"/>
        <v>86.52733</v>
      </c>
      <c r="L884" s="4"/>
      <c r="M884" s="4"/>
      <c r="N884" s="4"/>
      <c r="O884" s="4"/>
      <c r="P884" s="4"/>
      <c r="Q884" s="4"/>
      <c r="R884" s="4"/>
      <c r="S884" s="4"/>
      <c r="T884" s="4"/>
      <c r="U884" s="4"/>
      <c r="V884" s="4"/>
      <c r="W884" s="4"/>
    </row>
    <row r="885" ht="15.75" customHeight="1">
      <c r="A885" s="13">
        <f t="shared" si="9"/>
        <v>882</v>
      </c>
      <c r="B885" s="18">
        <f>A885/'Orbit Info'!$G$10</f>
        <v>9.322139504</v>
      </c>
      <c r="C885" s="13">
        <f t="shared" si="2"/>
        <v>0</v>
      </c>
      <c r="D885" s="13">
        <f t="shared" si="3"/>
        <v>1</v>
      </c>
      <c r="E885" s="13">
        <f t="shared" si="4"/>
        <v>0</v>
      </c>
      <c r="F885" s="13">
        <f t="shared" si="5"/>
        <v>0</v>
      </c>
      <c r="G885" s="13">
        <f t="shared" si="6"/>
        <v>1</v>
      </c>
      <c r="H885" s="13">
        <f>'Orbit Info'!C884*((C885*$O$2)+(D885*$O$3)+(E885*$O$4)+(F885*$O$5))</f>
        <v>15.628032</v>
      </c>
      <c r="I885" s="13">
        <f t="shared" si="7"/>
        <v>8.62426</v>
      </c>
      <c r="J885" s="18">
        <f t="shared" si="8"/>
        <v>0.1167295333</v>
      </c>
      <c r="K885" s="18">
        <f t="shared" si="10"/>
        <v>86.64405953</v>
      </c>
      <c r="L885" s="4"/>
      <c r="M885" s="4"/>
      <c r="N885" s="4"/>
      <c r="O885" s="4"/>
      <c r="P885" s="4"/>
      <c r="Q885" s="4"/>
      <c r="R885" s="4"/>
      <c r="S885" s="4"/>
      <c r="T885" s="4"/>
      <c r="U885" s="4"/>
      <c r="V885" s="4"/>
      <c r="W885" s="4"/>
    </row>
    <row r="886" ht="15.75" customHeight="1">
      <c r="A886" s="13">
        <f t="shared" si="9"/>
        <v>883</v>
      </c>
      <c r="B886" s="18">
        <f>A886/'Orbit Info'!$G$10</f>
        <v>9.332708823</v>
      </c>
      <c r="C886" s="13">
        <f t="shared" si="2"/>
        <v>0</v>
      </c>
      <c r="D886" s="13">
        <f t="shared" si="3"/>
        <v>1</v>
      </c>
      <c r="E886" s="13">
        <f t="shared" si="4"/>
        <v>0</v>
      </c>
      <c r="F886" s="13">
        <f t="shared" si="5"/>
        <v>0</v>
      </c>
      <c r="G886" s="13">
        <f t="shared" si="6"/>
        <v>1</v>
      </c>
      <c r="H886" s="13">
        <f>'Orbit Info'!C885*((C886*$O$2)+(D886*$O$3)+(E886*$O$4)+(F886*$O$5))</f>
        <v>15.628032</v>
      </c>
      <c r="I886" s="13">
        <f t="shared" si="7"/>
        <v>8.62426</v>
      </c>
      <c r="J886" s="18">
        <f t="shared" si="8"/>
        <v>0.1167295333</v>
      </c>
      <c r="K886" s="18">
        <f t="shared" si="10"/>
        <v>86.76078907</v>
      </c>
      <c r="L886" s="4"/>
      <c r="M886" s="4"/>
      <c r="N886" s="4"/>
      <c r="O886" s="4"/>
      <c r="P886" s="4"/>
      <c r="Q886" s="4"/>
      <c r="R886" s="4"/>
      <c r="S886" s="4"/>
      <c r="T886" s="4"/>
      <c r="U886" s="4"/>
      <c r="V886" s="4"/>
      <c r="W886" s="4"/>
    </row>
    <row r="887" ht="15.75" customHeight="1">
      <c r="A887" s="13">
        <f t="shared" si="9"/>
        <v>884</v>
      </c>
      <c r="B887" s="18">
        <f>A887/'Orbit Info'!$G$10</f>
        <v>9.343278143</v>
      </c>
      <c r="C887" s="13">
        <f t="shared" si="2"/>
        <v>0</v>
      </c>
      <c r="D887" s="13">
        <f t="shared" si="3"/>
        <v>1</v>
      </c>
      <c r="E887" s="13">
        <f t="shared" si="4"/>
        <v>0</v>
      </c>
      <c r="F887" s="13">
        <f t="shared" si="5"/>
        <v>0</v>
      </c>
      <c r="G887" s="13">
        <f t="shared" si="6"/>
        <v>1</v>
      </c>
      <c r="H887" s="13">
        <f>'Orbit Info'!C886*((C887*$O$2)+(D887*$O$3)+(E887*$O$4)+(F887*$O$5))</f>
        <v>15.628032</v>
      </c>
      <c r="I887" s="13">
        <f t="shared" si="7"/>
        <v>8.62426</v>
      </c>
      <c r="J887" s="18">
        <f t="shared" si="8"/>
        <v>0.1167295333</v>
      </c>
      <c r="K887" s="18">
        <f t="shared" si="10"/>
        <v>86.8775186</v>
      </c>
      <c r="L887" s="4"/>
      <c r="M887" s="4"/>
      <c r="N887" s="4"/>
      <c r="O887" s="4"/>
      <c r="P887" s="4"/>
      <c r="Q887" s="4"/>
      <c r="R887" s="4"/>
      <c r="S887" s="4"/>
      <c r="T887" s="4"/>
      <c r="U887" s="4"/>
      <c r="V887" s="4"/>
      <c r="W887" s="4"/>
    </row>
    <row r="888" ht="15.75" customHeight="1">
      <c r="A888" s="13">
        <f t="shared" si="9"/>
        <v>885</v>
      </c>
      <c r="B888" s="18">
        <f>A888/'Orbit Info'!$G$10</f>
        <v>9.353847462</v>
      </c>
      <c r="C888" s="13">
        <f t="shared" si="2"/>
        <v>0</v>
      </c>
      <c r="D888" s="13">
        <f t="shared" si="3"/>
        <v>1</v>
      </c>
      <c r="E888" s="13">
        <f t="shared" si="4"/>
        <v>0</v>
      </c>
      <c r="F888" s="13">
        <f t="shared" si="5"/>
        <v>0</v>
      </c>
      <c r="G888" s="13">
        <f t="shared" si="6"/>
        <v>1</v>
      </c>
      <c r="H888" s="13">
        <f>'Orbit Info'!C887*((C888*$O$2)+(D888*$O$3)+(E888*$O$4)+(F888*$O$5))</f>
        <v>15.628032</v>
      </c>
      <c r="I888" s="13">
        <f t="shared" si="7"/>
        <v>8.62426</v>
      </c>
      <c r="J888" s="18">
        <f t="shared" si="8"/>
        <v>0.1167295333</v>
      </c>
      <c r="K888" s="18">
        <f t="shared" si="10"/>
        <v>86.99424813</v>
      </c>
      <c r="L888" s="4"/>
      <c r="M888" s="4"/>
      <c r="N888" s="4"/>
      <c r="O888" s="4"/>
      <c r="P888" s="4"/>
      <c r="Q888" s="4"/>
      <c r="R888" s="4"/>
      <c r="S888" s="4"/>
      <c r="T888" s="4"/>
      <c r="U888" s="4"/>
      <c r="V888" s="4"/>
      <c r="W888" s="4"/>
    </row>
    <row r="889" ht="15.75" customHeight="1">
      <c r="A889" s="13">
        <f t="shared" si="9"/>
        <v>886</v>
      </c>
      <c r="B889" s="18">
        <f>A889/'Orbit Info'!$G$10</f>
        <v>9.364416781</v>
      </c>
      <c r="C889" s="13">
        <f t="shared" si="2"/>
        <v>0</v>
      </c>
      <c r="D889" s="13">
        <f t="shared" si="3"/>
        <v>1</v>
      </c>
      <c r="E889" s="13">
        <f t="shared" si="4"/>
        <v>0</v>
      </c>
      <c r="F889" s="13">
        <f t="shared" si="5"/>
        <v>0</v>
      </c>
      <c r="G889" s="13">
        <f t="shared" si="6"/>
        <v>1</v>
      </c>
      <c r="H889" s="13">
        <f>'Orbit Info'!C888*((C889*$O$2)+(D889*$O$3)+(E889*$O$4)+(F889*$O$5))</f>
        <v>15.628032</v>
      </c>
      <c r="I889" s="13">
        <f t="shared" si="7"/>
        <v>8.62426</v>
      </c>
      <c r="J889" s="18">
        <f t="shared" si="8"/>
        <v>0.1167295333</v>
      </c>
      <c r="K889" s="18">
        <f t="shared" si="10"/>
        <v>87.11097767</v>
      </c>
      <c r="L889" s="4"/>
      <c r="M889" s="4"/>
      <c r="N889" s="4"/>
      <c r="O889" s="4"/>
      <c r="P889" s="4"/>
      <c r="Q889" s="4"/>
      <c r="R889" s="4"/>
      <c r="S889" s="4"/>
      <c r="T889" s="4"/>
      <c r="U889" s="4"/>
      <c r="V889" s="4"/>
      <c r="W889" s="4"/>
    </row>
    <row r="890" ht="15.75" customHeight="1">
      <c r="A890" s="13">
        <f t="shared" si="9"/>
        <v>887</v>
      </c>
      <c r="B890" s="18">
        <f>A890/'Orbit Info'!$G$10</f>
        <v>9.3749861</v>
      </c>
      <c r="C890" s="13">
        <f t="shared" si="2"/>
        <v>0</v>
      </c>
      <c r="D890" s="13">
        <f t="shared" si="3"/>
        <v>1</v>
      </c>
      <c r="E890" s="13">
        <f t="shared" si="4"/>
        <v>0</v>
      </c>
      <c r="F890" s="13">
        <f t="shared" si="5"/>
        <v>0</v>
      </c>
      <c r="G890" s="13">
        <f t="shared" si="6"/>
        <v>1</v>
      </c>
      <c r="H890" s="13">
        <f>'Orbit Info'!C889*((C890*$O$2)+(D890*$O$3)+(E890*$O$4)+(F890*$O$5))</f>
        <v>15.628032</v>
      </c>
      <c r="I890" s="13">
        <f t="shared" si="7"/>
        <v>8.62426</v>
      </c>
      <c r="J890" s="18">
        <f t="shared" si="8"/>
        <v>0.1167295333</v>
      </c>
      <c r="K890" s="18">
        <f t="shared" si="10"/>
        <v>87.2277072</v>
      </c>
      <c r="L890" s="4"/>
      <c r="M890" s="4"/>
      <c r="N890" s="4"/>
      <c r="O890" s="4"/>
      <c r="P890" s="4"/>
      <c r="Q890" s="4"/>
      <c r="R890" s="4"/>
      <c r="S890" s="4"/>
      <c r="T890" s="4"/>
      <c r="U890" s="4"/>
      <c r="V890" s="4"/>
      <c r="W890" s="4"/>
    </row>
    <row r="891" ht="15.75" customHeight="1">
      <c r="A891" s="13">
        <f t="shared" si="9"/>
        <v>888</v>
      </c>
      <c r="B891" s="18">
        <f>A891/'Orbit Info'!$G$10</f>
        <v>9.385555419</v>
      </c>
      <c r="C891" s="13">
        <f t="shared" si="2"/>
        <v>0</v>
      </c>
      <c r="D891" s="13">
        <f t="shared" si="3"/>
        <v>1</v>
      </c>
      <c r="E891" s="13">
        <f t="shared" si="4"/>
        <v>0</v>
      </c>
      <c r="F891" s="13">
        <f t="shared" si="5"/>
        <v>0</v>
      </c>
      <c r="G891" s="13">
        <f t="shared" si="6"/>
        <v>1</v>
      </c>
      <c r="H891" s="13">
        <f>'Orbit Info'!C890*((C891*$O$2)+(D891*$O$3)+(E891*$O$4)+(F891*$O$5))</f>
        <v>15.628032</v>
      </c>
      <c r="I891" s="13">
        <f t="shared" si="7"/>
        <v>8.62426</v>
      </c>
      <c r="J891" s="18">
        <f t="shared" si="8"/>
        <v>0.1167295333</v>
      </c>
      <c r="K891" s="18">
        <f t="shared" si="10"/>
        <v>87.34443673</v>
      </c>
      <c r="L891" s="4"/>
      <c r="M891" s="4"/>
      <c r="N891" s="4"/>
      <c r="O891" s="4"/>
      <c r="P891" s="4"/>
      <c r="Q891" s="4"/>
      <c r="R891" s="4"/>
      <c r="S891" s="4"/>
      <c r="T891" s="4"/>
      <c r="U891" s="4"/>
      <c r="V891" s="4"/>
      <c r="W891" s="4"/>
    </row>
    <row r="892" ht="15.75" customHeight="1">
      <c r="A892" s="13">
        <f t="shared" si="9"/>
        <v>889</v>
      </c>
      <c r="B892" s="18">
        <f>A892/'Orbit Info'!$G$10</f>
        <v>9.396124738</v>
      </c>
      <c r="C892" s="13">
        <f t="shared" si="2"/>
        <v>0</v>
      </c>
      <c r="D892" s="13">
        <f t="shared" si="3"/>
        <v>1</v>
      </c>
      <c r="E892" s="13">
        <f t="shared" si="4"/>
        <v>0</v>
      </c>
      <c r="F892" s="13">
        <f t="shared" si="5"/>
        <v>0</v>
      </c>
      <c r="G892" s="13">
        <f t="shared" si="6"/>
        <v>1</v>
      </c>
      <c r="H892" s="13">
        <f>'Orbit Info'!C891*((C892*$O$2)+(D892*$O$3)+(E892*$O$4)+(F892*$O$5))</f>
        <v>15.628032</v>
      </c>
      <c r="I892" s="13">
        <f t="shared" si="7"/>
        <v>8.62426</v>
      </c>
      <c r="J892" s="18">
        <f t="shared" si="8"/>
        <v>0.1167295333</v>
      </c>
      <c r="K892" s="18">
        <f t="shared" si="10"/>
        <v>87.46116627</v>
      </c>
      <c r="L892" s="4"/>
      <c r="M892" s="4"/>
      <c r="N892" s="4"/>
      <c r="O892" s="4"/>
      <c r="P892" s="4"/>
      <c r="Q892" s="4"/>
      <c r="R892" s="4"/>
      <c r="S892" s="4"/>
      <c r="T892" s="4"/>
      <c r="U892" s="4"/>
      <c r="V892" s="4"/>
      <c r="W892" s="4"/>
    </row>
    <row r="893" ht="15.75" customHeight="1">
      <c r="A893" s="13">
        <f t="shared" si="9"/>
        <v>890</v>
      </c>
      <c r="B893" s="18">
        <f>A893/'Orbit Info'!$G$10</f>
        <v>9.406694058</v>
      </c>
      <c r="C893" s="13">
        <f t="shared" si="2"/>
        <v>0</v>
      </c>
      <c r="D893" s="13">
        <f t="shared" si="3"/>
        <v>1</v>
      </c>
      <c r="E893" s="13">
        <f t="shared" si="4"/>
        <v>0</v>
      </c>
      <c r="F893" s="13">
        <f t="shared" si="5"/>
        <v>0</v>
      </c>
      <c r="G893" s="13">
        <f t="shared" si="6"/>
        <v>1</v>
      </c>
      <c r="H893" s="13">
        <f>'Orbit Info'!C892*((C893*$O$2)+(D893*$O$3)+(E893*$O$4)+(F893*$O$5))</f>
        <v>15.628032</v>
      </c>
      <c r="I893" s="13">
        <f t="shared" si="7"/>
        <v>8.62426</v>
      </c>
      <c r="J893" s="18">
        <f t="shared" si="8"/>
        <v>0.1167295333</v>
      </c>
      <c r="K893" s="18">
        <f t="shared" si="10"/>
        <v>87.5778958</v>
      </c>
      <c r="L893" s="4"/>
      <c r="M893" s="4"/>
      <c r="N893" s="4"/>
      <c r="O893" s="4"/>
      <c r="P893" s="4"/>
      <c r="Q893" s="4"/>
      <c r="R893" s="4"/>
      <c r="S893" s="4"/>
      <c r="T893" s="4"/>
      <c r="U893" s="4"/>
      <c r="V893" s="4"/>
      <c r="W893" s="4"/>
    </row>
    <row r="894" ht="15.75" customHeight="1">
      <c r="A894" s="13">
        <f t="shared" si="9"/>
        <v>891</v>
      </c>
      <c r="B894" s="18">
        <f>A894/'Orbit Info'!$G$10</f>
        <v>9.417263377</v>
      </c>
      <c r="C894" s="13">
        <f t="shared" si="2"/>
        <v>0</v>
      </c>
      <c r="D894" s="13">
        <f t="shared" si="3"/>
        <v>1</v>
      </c>
      <c r="E894" s="13">
        <f t="shared" si="4"/>
        <v>0</v>
      </c>
      <c r="F894" s="13">
        <f t="shared" si="5"/>
        <v>0</v>
      </c>
      <c r="G894" s="13">
        <f t="shared" si="6"/>
        <v>1</v>
      </c>
      <c r="H894" s="13">
        <f>'Orbit Info'!C893*((C894*$O$2)+(D894*$O$3)+(E894*$O$4)+(F894*$O$5))</f>
        <v>15.628032</v>
      </c>
      <c r="I894" s="13">
        <f t="shared" si="7"/>
        <v>8.62426</v>
      </c>
      <c r="J894" s="18">
        <f t="shared" si="8"/>
        <v>0.1167295333</v>
      </c>
      <c r="K894" s="18">
        <f t="shared" si="10"/>
        <v>87.69462533</v>
      </c>
      <c r="L894" s="4"/>
      <c r="M894" s="4"/>
      <c r="N894" s="4"/>
      <c r="O894" s="4"/>
      <c r="P894" s="4"/>
      <c r="Q894" s="4"/>
      <c r="R894" s="4"/>
      <c r="S894" s="4"/>
      <c r="T894" s="4"/>
      <c r="U894" s="4"/>
      <c r="V894" s="4"/>
      <c r="W894" s="4"/>
    </row>
    <row r="895" ht="15.75" customHeight="1">
      <c r="A895" s="13">
        <f t="shared" si="9"/>
        <v>892</v>
      </c>
      <c r="B895" s="18">
        <f>A895/'Orbit Info'!$G$10</f>
        <v>9.427832696</v>
      </c>
      <c r="C895" s="13">
        <f t="shared" si="2"/>
        <v>0</v>
      </c>
      <c r="D895" s="13">
        <f t="shared" si="3"/>
        <v>1</v>
      </c>
      <c r="E895" s="13">
        <f t="shared" si="4"/>
        <v>0</v>
      </c>
      <c r="F895" s="13">
        <f t="shared" si="5"/>
        <v>0</v>
      </c>
      <c r="G895" s="13">
        <f t="shared" si="6"/>
        <v>1</v>
      </c>
      <c r="H895" s="13">
        <f>'Orbit Info'!C894*((C895*$O$2)+(D895*$O$3)+(E895*$O$4)+(F895*$O$5))</f>
        <v>15.628032</v>
      </c>
      <c r="I895" s="13">
        <f t="shared" si="7"/>
        <v>8.62426</v>
      </c>
      <c r="J895" s="18">
        <f t="shared" si="8"/>
        <v>0.1167295333</v>
      </c>
      <c r="K895" s="18">
        <f t="shared" si="10"/>
        <v>87.81135487</v>
      </c>
      <c r="L895" s="4"/>
      <c r="M895" s="4"/>
      <c r="N895" s="4"/>
      <c r="O895" s="4"/>
      <c r="P895" s="4"/>
      <c r="Q895" s="4"/>
      <c r="R895" s="4"/>
      <c r="S895" s="4"/>
      <c r="T895" s="4"/>
      <c r="U895" s="4"/>
      <c r="V895" s="4"/>
      <c r="W895" s="4"/>
    </row>
    <row r="896" ht="15.75" customHeight="1">
      <c r="A896" s="13">
        <f t="shared" si="9"/>
        <v>893</v>
      </c>
      <c r="B896" s="18">
        <f>A896/'Orbit Info'!$G$10</f>
        <v>9.438402015</v>
      </c>
      <c r="C896" s="13">
        <f t="shared" si="2"/>
        <v>0</v>
      </c>
      <c r="D896" s="13">
        <f t="shared" si="3"/>
        <v>1</v>
      </c>
      <c r="E896" s="13">
        <f t="shared" si="4"/>
        <v>0</v>
      </c>
      <c r="F896" s="13">
        <f t="shared" si="5"/>
        <v>0</v>
      </c>
      <c r="G896" s="13">
        <f t="shared" si="6"/>
        <v>1</v>
      </c>
      <c r="H896" s="13">
        <f>'Orbit Info'!C895*((C896*$O$2)+(D896*$O$3)+(E896*$O$4)+(F896*$O$5))</f>
        <v>15.628032</v>
      </c>
      <c r="I896" s="13">
        <f t="shared" si="7"/>
        <v>8.62426</v>
      </c>
      <c r="J896" s="18">
        <f t="shared" si="8"/>
        <v>0.1167295333</v>
      </c>
      <c r="K896" s="18">
        <f t="shared" si="10"/>
        <v>87.9280844</v>
      </c>
      <c r="L896" s="4"/>
      <c r="M896" s="4"/>
      <c r="N896" s="4"/>
      <c r="O896" s="4"/>
      <c r="P896" s="4"/>
      <c r="Q896" s="4"/>
      <c r="R896" s="4"/>
      <c r="S896" s="4"/>
      <c r="T896" s="4"/>
      <c r="U896" s="4"/>
      <c r="V896" s="4"/>
      <c r="W896" s="4"/>
    </row>
    <row r="897" ht="15.75" customHeight="1">
      <c r="A897" s="13">
        <f t="shared" si="9"/>
        <v>894</v>
      </c>
      <c r="B897" s="18">
        <f>A897/'Orbit Info'!$G$10</f>
        <v>9.448971334</v>
      </c>
      <c r="C897" s="13">
        <f t="shared" si="2"/>
        <v>0</v>
      </c>
      <c r="D897" s="13">
        <f t="shared" si="3"/>
        <v>1</v>
      </c>
      <c r="E897" s="13">
        <f t="shared" si="4"/>
        <v>0</v>
      </c>
      <c r="F897" s="13">
        <f t="shared" si="5"/>
        <v>0</v>
      </c>
      <c r="G897" s="13">
        <f t="shared" si="6"/>
        <v>1</v>
      </c>
      <c r="H897" s="13">
        <f>'Orbit Info'!C896*((C897*$O$2)+(D897*$O$3)+(E897*$O$4)+(F897*$O$5))</f>
        <v>15.628032</v>
      </c>
      <c r="I897" s="13">
        <f t="shared" si="7"/>
        <v>8.62426</v>
      </c>
      <c r="J897" s="18">
        <f t="shared" si="8"/>
        <v>0.1167295333</v>
      </c>
      <c r="K897" s="18">
        <f t="shared" si="10"/>
        <v>88.04481393</v>
      </c>
      <c r="L897" s="4"/>
      <c r="M897" s="4"/>
      <c r="N897" s="4"/>
      <c r="O897" s="4"/>
      <c r="P897" s="4"/>
      <c r="Q897" s="4"/>
      <c r="R897" s="4"/>
      <c r="S897" s="4"/>
      <c r="T897" s="4"/>
      <c r="U897" s="4"/>
      <c r="V897" s="4"/>
      <c r="W897" s="4"/>
    </row>
    <row r="898" ht="15.75" customHeight="1">
      <c r="A898" s="13">
        <f t="shared" si="9"/>
        <v>895</v>
      </c>
      <c r="B898" s="18">
        <f>A898/'Orbit Info'!$G$10</f>
        <v>9.459540653</v>
      </c>
      <c r="C898" s="13">
        <f t="shared" si="2"/>
        <v>0</v>
      </c>
      <c r="D898" s="13">
        <f t="shared" si="3"/>
        <v>1</v>
      </c>
      <c r="E898" s="13">
        <f t="shared" si="4"/>
        <v>0</v>
      </c>
      <c r="F898" s="13">
        <f t="shared" si="5"/>
        <v>0</v>
      </c>
      <c r="G898" s="13">
        <f t="shared" si="6"/>
        <v>1</v>
      </c>
      <c r="H898" s="13">
        <f>'Orbit Info'!C897*((C898*$O$2)+(D898*$O$3)+(E898*$O$4)+(F898*$O$5))</f>
        <v>15.628032</v>
      </c>
      <c r="I898" s="13">
        <f t="shared" si="7"/>
        <v>8.62426</v>
      </c>
      <c r="J898" s="18">
        <f t="shared" si="8"/>
        <v>0.1167295333</v>
      </c>
      <c r="K898" s="18">
        <f t="shared" si="10"/>
        <v>88.16154347</v>
      </c>
      <c r="L898" s="4"/>
      <c r="M898" s="4"/>
      <c r="N898" s="4"/>
      <c r="O898" s="4"/>
      <c r="P898" s="4"/>
      <c r="Q898" s="4"/>
      <c r="R898" s="4"/>
      <c r="S898" s="4"/>
      <c r="T898" s="4"/>
      <c r="U898" s="4"/>
      <c r="V898" s="4"/>
      <c r="W898" s="4"/>
    </row>
    <row r="899" ht="15.75" customHeight="1">
      <c r="A899" s="13">
        <f t="shared" si="9"/>
        <v>896</v>
      </c>
      <c r="B899" s="18">
        <f>A899/'Orbit Info'!$G$10</f>
        <v>9.470109973</v>
      </c>
      <c r="C899" s="13">
        <f t="shared" si="2"/>
        <v>0</v>
      </c>
      <c r="D899" s="13">
        <f t="shared" si="3"/>
        <v>1</v>
      </c>
      <c r="E899" s="13">
        <f t="shared" si="4"/>
        <v>0</v>
      </c>
      <c r="F899" s="13">
        <f t="shared" si="5"/>
        <v>0</v>
      </c>
      <c r="G899" s="13">
        <f t="shared" si="6"/>
        <v>1</v>
      </c>
      <c r="H899" s="13">
        <f>'Orbit Info'!C898*((C899*$O$2)+(D899*$O$3)+(E899*$O$4)+(F899*$O$5))</f>
        <v>15.628032</v>
      </c>
      <c r="I899" s="13">
        <f t="shared" si="7"/>
        <v>8.62426</v>
      </c>
      <c r="J899" s="18">
        <f t="shared" si="8"/>
        <v>0.1167295333</v>
      </c>
      <c r="K899" s="18">
        <f t="shared" si="10"/>
        <v>88.2</v>
      </c>
      <c r="L899" s="4"/>
      <c r="M899" s="4"/>
      <c r="N899" s="4"/>
      <c r="O899" s="4"/>
      <c r="P899" s="4"/>
      <c r="Q899" s="4"/>
      <c r="R899" s="4"/>
      <c r="S899" s="4"/>
      <c r="T899" s="4"/>
      <c r="U899" s="4"/>
      <c r="V899" s="4"/>
      <c r="W899" s="4"/>
    </row>
    <row r="900" ht="15.75" customHeight="1">
      <c r="A900" s="13">
        <f t="shared" si="9"/>
        <v>897</v>
      </c>
      <c r="B900" s="18">
        <f>A900/'Orbit Info'!$G$10</f>
        <v>9.480679292</v>
      </c>
      <c r="C900" s="13">
        <f t="shared" si="2"/>
        <v>0</v>
      </c>
      <c r="D900" s="13">
        <f t="shared" si="3"/>
        <v>1</v>
      </c>
      <c r="E900" s="13">
        <f t="shared" si="4"/>
        <v>0</v>
      </c>
      <c r="F900" s="13">
        <f t="shared" si="5"/>
        <v>0</v>
      </c>
      <c r="G900" s="13">
        <f t="shared" si="6"/>
        <v>1</v>
      </c>
      <c r="H900" s="13">
        <f>'Orbit Info'!C899*((C900*$O$2)+(D900*$O$3)+(E900*$O$4)+(F900*$O$5))</f>
        <v>15.628032</v>
      </c>
      <c r="I900" s="13">
        <f t="shared" si="7"/>
        <v>8.62426</v>
      </c>
      <c r="J900" s="18">
        <f t="shared" si="8"/>
        <v>0.1167295333</v>
      </c>
      <c r="K900" s="18">
        <f t="shared" si="10"/>
        <v>88.2</v>
      </c>
      <c r="L900" s="4"/>
      <c r="M900" s="4"/>
      <c r="N900" s="4"/>
      <c r="O900" s="4"/>
      <c r="P900" s="4"/>
      <c r="Q900" s="4"/>
      <c r="R900" s="4"/>
      <c r="S900" s="4"/>
      <c r="T900" s="4"/>
      <c r="U900" s="4"/>
      <c r="V900" s="4"/>
      <c r="W900" s="4"/>
    </row>
    <row r="901" ht="15.75" customHeight="1">
      <c r="A901" s="13">
        <f t="shared" si="9"/>
        <v>898</v>
      </c>
      <c r="B901" s="18">
        <f>A901/'Orbit Info'!$G$10</f>
        <v>9.491248611</v>
      </c>
      <c r="C901" s="13">
        <f t="shared" si="2"/>
        <v>0</v>
      </c>
      <c r="D901" s="13">
        <f t="shared" si="3"/>
        <v>1</v>
      </c>
      <c r="E901" s="13">
        <f t="shared" si="4"/>
        <v>0</v>
      </c>
      <c r="F901" s="13">
        <f t="shared" si="5"/>
        <v>0</v>
      </c>
      <c r="G901" s="13">
        <f t="shared" si="6"/>
        <v>1</v>
      </c>
      <c r="H901" s="13">
        <f>'Orbit Info'!C900*((C901*$O$2)+(D901*$O$3)+(E901*$O$4)+(F901*$O$5))</f>
        <v>15.628032</v>
      </c>
      <c r="I901" s="13">
        <f t="shared" si="7"/>
        <v>8.62426</v>
      </c>
      <c r="J901" s="18">
        <f t="shared" si="8"/>
        <v>0.1167295333</v>
      </c>
      <c r="K901" s="18">
        <f t="shared" si="10"/>
        <v>88.2</v>
      </c>
      <c r="L901" s="4"/>
      <c r="M901" s="4"/>
      <c r="N901" s="4"/>
      <c r="O901" s="4"/>
      <c r="P901" s="4"/>
      <c r="Q901" s="4"/>
      <c r="R901" s="4"/>
      <c r="S901" s="4"/>
      <c r="T901" s="4"/>
      <c r="U901" s="4"/>
      <c r="V901" s="4"/>
      <c r="W901" s="4"/>
    </row>
    <row r="902" ht="15.75" customHeight="1">
      <c r="A902" s="13">
        <f t="shared" si="9"/>
        <v>899</v>
      </c>
      <c r="B902" s="18">
        <f>A902/'Orbit Info'!$G$10</f>
        <v>9.50181793</v>
      </c>
      <c r="C902" s="13">
        <f t="shared" si="2"/>
        <v>0</v>
      </c>
      <c r="D902" s="13">
        <f t="shared" si="3"/>
        <v>1</v>
      </c>
      <c r="E902" s="13">
        <f t="shared" si="4"/>
        <v>0</v>
      </c>
      <c r="F902" s="13">
        <f t="shared" si="5"/>
        <v>0</v>
      </c>
      <c r="G902" s="13">
        <f t="shared" si="6"/>
        <v>1</v>
      </c>
      <c r="H902" s="13">
        <f>'Orbit Info'!C901*((C902*$O$2)+(D902*$O$3)+(E902*$O$4)+(F902*$O$5))</f>
        <v>15.628032</v>
      </c>
      <c r="I902" s="13">
        <f t="shared" si="7"/>
        <v>8.62426</v>
      </c>
      <c r="J902" s="18">
        <f t="shared" si="8"/>
        <v>0.1167295333</v>
      </c>
      <c r="K902" s="18">
        <f t="shared" si="10"/>
        <v>88.2</v>
      </c>
      <c r="L902" s="4"/>
      <c r="M902" s="4"/>
      <c r="N902" s="4"/>
      <c r="O902" s="4"/>
      <c r="P902" s="4"/>
      <c r="Q902" s="4"/>
      <c r="R902" s="4"/>
      <c r="S902" s="4"/>
      <c r="T902" s="4"/>
      <c r="U902" s="4"/>
      <c r="V902" s="4"/>
      <c r="W902" s="4"/>
    </row>
    <row r="903" ht="15.75" customHeight="1">
      <c r="A903" s="13">
        <f t="shared" si="9"/>
        <v>900</v>
      </c>
      <c r="B903" s="18">
        <f>A903/'Orbit Info'!$G$10</f>
        <v>9.512387249</v>
      </c>
      <c r="C903" s="13">
        <f t="shared" si="2"/>
        <v>0</v>
      </c>
      <c r="D903" s="13">
        <f t="shared" si="3"/>
        <v>1</v>
      </c>
      <c r="E903" s="13">
        <f t="shared" si="4"/>
        <v>0</v>
      </c>
      <c r="F903" s="13">
        <f t="shared" si="5"/>
        <v>0</v>
      </c>
      <c r="G903" s="13">
        <f t="shared" si="6"/>
        <v>1</v>
      </c>
      <c r="H903" s="13">
        <f>'Orbit Info'!C902*((C903*$O$2)+(D903*$O$3)+(E903*$O$4)+(F903*$O$5))</f>
        <v>15.628032</v>
      </c>
      <c r="I903" s="13">
        <f t="shared" si="7"/>
        <v>8.62426</v>
      </c>
      <c r="J903" s="18">
        <f t="shared" si="8"/>
        <v>0.1167295333</v>
      </c>
      <c r="K903" s="18">
        <f t="shared" si="10"/>
        <v>88.2</v>
      </c>
      <c r="L903" s="4"/>
      <c r="M903" s="4"/>
      <c r="N903" s="4"/>
      <c r="O903" s="4"/>
      <c r="P903" s="4"/>
      <c r="Q903" s="4"/>
      <c r="R903" s="4"/>
      <c r="S903" s="4"/>
      <c r="T903" s="4"/>
      <c r="U903" s="4"/>
      <c r="V903" s="4"/>
      <c r="W903" s="4"/>
    </row>
    <row r="904" ht="15.75" customHeight="1">
      <c r="A904" s="13">
        <f t="shared" si="9"/>
        <v>901</v>
      </c>
      <c r="B904" s="18">
        <f>A904/'Orbit Info'!$G$10</f>
        <v>9.522956568</v>
      </c>
      <c r="C904" s="13">
        <f t="shared" si="2"/>
        <v>0</v>
      </c>
      <c r="D904" s="13">
        <f t="shared" si="3"/>
        <v>1</v>
      </c>
      <c r="E904" s="13">
        <f t="shared" si="4"/>
        <v>0</v>
      </c>
      <c r="F904" s="13">
        <f t="shared" si="5"/>
        <v>0</v>
      </c>
      <c r="G904" s="13">
        <f t="shared" si="6"/>
        <v>1</v>
      </c>
      <c r="H904" s="13">
        <f>'Orbit Info'!C903*((C904*$O$2)+(D904*$O$3)+(E904*$O$4)+(F904*$O$5))</f>
        <v>15.628032</v>
      </c>
      <c r="I904" s="13">
        <f t="shared" si="7"/>
        <v>8.62426</v>
      </c>
      <c r="J904" s="18">
        <f t="shared" si="8"/>
        <v>0.1167295333</v>
      </c>
      <c r="K904" s="18">
        <f t="shared" si="10"/>
        <v>88.2</v>
      </c>
      <c r="L904" s="4"/>
      <c r="M904" s="4"/>
      <c r="N904" s="4"/>
      <c r="O904" s="4"/>
      <c r="P904" s="4"/>
      <c r="Q904" s="4"/>
      <c r="R904" s="4"/>
      <c r="S904" s="4"/>
      <c r="T904" s="4"/>
      <c r="U904" s="4"/>
      <c r="V904" s="4"/>
      <c r="W904" s="4"/>
    </row>
    <row r="905" ht="15.75" customHeight="1">
      <c r="A905" s="13">
        <f t="shared" si="9"/>
        <v>902</v>
      </c>
      <c r="B905" s="18">
        <f>A905/'Orbit Info'!$G$10</f>
        <v>9.533525888</v>
      </c>
      <c r="C905" s="13">
        <f t="shared" si="2"/>
        <v>0</v>
      </c>
      <c r="D905" s="13">
        <f t="shared" si="3"/>
        <v>1</v>
      </c>
      <c r="E905" s="13">
        <f t="shared" si="4"/>
        <v>0</v>
      </c>
      <c r="F905" s="13">
        <f t="shared" si="5"/>
        <v>0</v>
      </c>
      <c r="G905" s="13">
        <f t="shared" si="6"/>
        <v>1</v>
      </c>
      <c r="H905" s="13">
        <f>'Orbit Info'!C904*((C905*$O$2)+(D905*$O$3)+(E905*$O$4)+(F905*$O$5))</f>
        <v>15.628032</v>
      </c>
      <c r="I905" s="13">
        <f t="shared" si="7"/>
        <v>8.62426</v>
      </c>
      <c r="J905" s="18">
        <f t="shared" si="8"/>
        <v>0.1167295333</v>
      </c>
      <c r="K905" s="18">
        <f t="shared" si="10"/>
        <v>88.2</v>
      </c>
      <c r="L905" s="4"/>
      <c r="M905" s="4"/>
      <c r="N905" s="4"/>
      <c r="O905" s="4"/>
      <c r="P905" s="4"/>
      <c r="Q905" s="4"/>
      <c r="R905" s="4"/>
      <c r="S905" s="4"/>
      <c r="T905" s="4"/>
      <c r="U905" s="4"/>
      <c r="V905" s="4"/>
      <c r="W905" s="4"/>
    </row>
    <row r="906" ht="15.75" customHeight="1">
      <c r="A906" s="13">
        <f t="shared" si="9"/>
        <v>903</v>
      </c>
      <c r="B906" s="18">
        <f>A906/'Orbit Info'!$G$10</f>
        <v>9.544095207</v>
      </c>
      <c r="C906" s="13">
        <f t="shared" si="2"/>
        <v>0</v>
      </c>
      <c r="D906" s="13">
        <f t="shared" si="3"/>
        <v>1</v>
      </c>
      <c r="E906" s="13">
        <f t="shared" si="4"/>
        <v>0</v>
      </c>
      <c r="F906" s="13">
        <f t="shared" si="5"/>
        <v>0</v>
      </c>
      <c r="G906" s="13">
        <f t="shared" si="6"/>
        <v>1</v>
      </c>
      <c r="H906" s="13">
        <f>'Orbit Info'!C905*((C906*$O$2)+(D906*$O$3)+(E906*$O$4)+(F906*$O$5))</f>
        <v>15.628032</v>
      </c>
      <c r="I906" s="13">
        <f t="shared" si="7"/>
        <v>8.62426</v>
      </c>
      <c r="J906" s="18">
        <f t="shared" si="8"/>
        <v>0.1167295333</v>
      </c>
      <c r="K906" s="18">
        <f t="shared" si="10"/>
        <v>88.2</v>
      </c>
      <c r="L906" s="4"/>
      <c r="M906" s="4"/>
      <c r="N906" s="4"/>
      <c r="O906" s="4"/>
      <c r="P906" s="4"/>
      <c r="Q906" s="4"/>
      <c r="R906" s="4"/>
      <c r="S906" s="4"/>
      <c r="T906" s="4"/>
      <c r="U906" s="4"/>
      <c r="V906" s="4"/>
      <c r="W906" s="4"/>
    </row>
    <row r="907" ht="15.75" customHeight="1">
      <c r="A907" s="13">
        <f t="shared" si="9"/>
        <v>904</v>
      </c>
      <c r="B907" s="18">
        <f>A907/'Orbit Info'!$G$10</f>
        <v>9.554664526</v>
      </c>
      <c r="C907" s="13">
        <f t="shared" si="2"/>
        <v>0</v>
      </c>
      <c r="D907" s="13">
        <f t="shared" si="3"/>
        <v>1</v>
      </c>
      <c r="E907" s="13">
        <f t="shared" si="4"/>
        <v>0</v>
      </c>
      <c r="F907" s="13">
        <f t="shared" si="5"/>
        <v>0</v>
      </c>
      <c r="G907" s="13">
        <f t="shared" si="6"/>
        <v>1</v>
      </c>
      <c r="H907" s="13">
        <f>'Orbit Info'!C906*((C907*$O$2)+(D907*$O$3)+(E907*$O$4)+(F907*$O$5))</f>
        <v>15.628032</v>
      </c>
      <c r="I907" s="13">
        <f t="shared" si="7"/>
        <v>8.62426</v>
      </c>
      <c r="J907" s="18">
        <f t="shared" si="8"/>
        <v>0.1167295333</v>
      </c>
      <c r="K907" s="18">
        <f t="shared" si="10"/>
        <v>88.2</v>
      </c>
      <c r="L907" s="4"/>
      <c r="M907" s="4"/>
      <c r="N907" s="4"/>
      <c r="O907" s="4"/>
      <c r="P907" s="4"/>
      <c r="Q907" s="4"/>
      <c r="R907" s="4"/>
      <c r="S907" s="4"/>
      <c r="T907" s="4"/>
      <c r="U907" s="4"/>
      <c r="V907" s="4"/>
      <c r="W907" s="4"/>
    </row>
    <row r="908" ht="15.75" customHeight="1">
      <c r="A908" s="13">
        <f t="shared" si="9"/>
        <v>905</v>
      </c>
      <c r="B908" s="18">
        <f>A908/'Orbit Info'!$G$10</f>
        <v>9.565233845</v>
      </c>
      <c r="C908" s="13">
        <f t="shared" si="2"/>
        <v>0</v>
      </c>
      <c r="D908" s="13">
        <f t="shared" si="3"/>
        <v>1</v>
      </c>
      <c r="E908" s="13">
        <f t="shared" si="4"/>
        <v>0</v>
      </c>
      <c r="F908" s="13">
        <f t="shared" si="5"/>
        <v>0</v>
      </c>
      <c r="G908" s="13">
        <f t="shared" si="6"/>
        <v>1</v>
      </c>
      <c r="H908" s="13">
        <f>'Orbit Info'!C907*((C908*$O$2)+(D908*$O$3)+(E908*$O$4)+(F908*$O$5))</f>
        <v>15.628032</v>
      </c>
      <c r="I908" s="13">
        <f t="shared" si="7"/>
        <v>8.62426</v>
      </c>
      <c r="J908" s="18">
        <f t="shared" si="8"/>
        <v>0.1167295333</v>
      </c>
      <c r="K908" s="18">
        <f t="shared" si="10"/>
        <v>88.2</v>
      </c>
      <c r="L908" s="4"/>
      <c r="M908" s="4"/>
      <c r="N908" s="4"/>
      <c r="O908" s="4"/>
      <c r="P908" s="4"/>
      <c r="Q908" s="4"/>
      <c r="R908" s="4"/>
      <c r="S908" s="4"/>
      <c r="T908" s="4"/>
      <c r="U908" s="4"/>
      <c r="V908" s="4"/>
      <c r="W908" s="4"/>
    </row>
    <row r="909" ht="15.75" customHeight="1">
      <c r="A909" s="13">
        <f t="shared" si="9"/>
        <v>906</v>
      </c>
      <c r="B909" s="18">
        <f>A909/'Orbit Info'!$G$10</f>
        <v>9.575803164</v>
      </c>
      <c r="C909" s="13">
        <f t="shared" si="2"/>
        <v>0</v>
      </c>
      <c r="D909" s="13">
        <f t="shared" si="3"/>
        <v>1</v>
      </c>
      <c r="E909" s="13">
        <f t="shared" si="4"/>
        <v>0</v>
      </c>
      <c r="F909" s="13">
        <f t="shared" si="5"/>
        <v>0</v>
      </c>
      <c r="G909" s="13">
        <f t="shared" si="6"/>
        <v>1</v>
      </c>
      <c r="H909" s="13">
        <f>'Orbit Info'!C908*((C909*$O$2)+(D909*$O$3)+(E909*$O$4)+(F909*$O$5))</f>
        <v>15.628032</v>
      </c>
      <c r="I909" s="13">
        <f t="shared" si="7"/>
        <v>8.62426</v>
      </c>
      <c r="J909" s="18">
        <f t="shared" si="8"/>
        <v>0.1167295333</v>
      </c>
      <c r="K909" s="18">
        <f t="shared" si="10"/>
        <v>88.2</v>
      </c>
      <c r="L909" s="4"/>
      <c r="M909" s="4"/>
      <c r="N909" s="4"/>
      <c r="O909" s="4"/>
      <c r="P909" s="4"/>
      <c r="Q909" s="4"/>
      <c r="R909" s="4"/>
      <c r="S909" s="4"/>
      <c r="T909" s="4"/>
      <c r="U909" s="4"/>
      <c r="V909" s="4"/>
      <c r="W909" s="4"/>
    </row>
    <row r="910" ht="15.75" customHeight="1">
      <c r="A910" s="13">
        <f t="shared" si="9"/>
        <v>907</v>
      </c>
      <c r="B910" s="18">
        <f>A910/'Orbit Info'!$G$10</f>
        <v>9.586372483</v>
      </c>
      <c r="C910" s="13">
        <f t="shared" si="2"/>
        <v>0</v>
      </c>
      <c r="D910" s="13">
        <f t="shared" si="3"/>
        <v>1</v>
      </c>
      <c r="E910" s="13">
        <f t="shared" si="4"/>
        <v>0</v>
      </c>
      <c r="F910" s="13">
        <f t="shared" si="5"/>
        <v>0</v>
      </c>
      <c r="G910" s="13">
        <f t="shared" si="6"/>
        <v>1</v>
      </c>
      <c r="H910" s="13">
        <f>'Orbit Info'!C909*((C910*$O$2)+(D910*$O$3)+(E910*$O$4)+(F910*$O$5))</f>
        <v>15.628032</v>
      </c>
      <c r="I910" s="13">
        <f t="shared" si="7"/>
        <v>8.62426</v>
      </c>
      <c r="J910" s="18">
        <f t="shared" si="8"/>
        <v>0.1167295333</v>
      </c>
      <c r="K910" s="18">
        <f t="shared" si="10"/>
        <v>88.2</v>
      </c>
      <c r="L910" s="4"/>
      <c r="M910" s="4"/>
      <c r="N910" s="4"/>
      <c r="O910" s="4"/>
      <c r="P910" s="4"/>
      <c r="Q910" s="4"/>
      <c r="R910" s="4"/>
      <c r="S910" s="4"/>
      <c r="T910" s="4"/>
      <c r="U910" s="4"/>
      <c r="V910" s="4"/>
      <c r="W910" s="4"/>
    </row>
    <row r="911" ht="15.75" customHeight="1">
      <c r="A911" s="13">
        <f t="shared" si="9"/>
        <v>908</v>
      </c>
      <c r="B911" s="18">
        <f>A911/'Orbit Info'!$G$10</f>
        <v>9.596941803</v>
      </c>
      <c r="C911" s="13">
        <f t="shared" si="2"/>
        <v>0</v>
      </c>
      <c r="D911" s="13">
        <f t="shared" si="3"/>
        <v>1</v>
      </c>
      <c r="E911" s="13">
        <f t="shared" si="4"/>
        <v>0</v>
      </c>
      <c r="F911" s="13">
        <f t="shared" si="5"/>
        <v>0</v>
      </c>
      <c r="G911" s="13">
        <f t="shared" si="6"/>
        <v>1</v>
      </c>
      <c r="H911" s="13">
        <f>'Orbit Info'!C910*((C911*$O$2)+(D911*$O$3)+(E911*$O$4)+(F911*$O$5))</f>
        <v>15.628032</v>
      </c>
      <c r="I911" s="13">
        <f t="shared" si="7"/>
        <v>8.62426</v>
      </c>
      <c r="J911" s="18">
        <f t="shared" si="8"/>
        <v>0.1167295333</v>
      </c>
      <c r="K911" s="18">
        <f t="shared" si="10"/>
        <v>88.2</v>
      </c>
      <c r="L911" s="4"/>
      <c r="M911" s="4"/>
      <c r="N911" s="4"/>
      <c r="O911" s="4"/>
      <c r="P911" s="4"/>
      <c r="Q911" s="4"/>
      <c r="R911" s="4"/>
      <c r="S911" s="4"/>
      <c r="T911" s="4"/>
      <c r="U911" s="4"/>
      <c r="V911" s="4"/>
      <c r="W911" s="4"/>
    </row>
    <row r="912" ht="15.75" customHeight="1">
      <c r="A912" s="13">
        <f t="shared" si="9"/>
        <v>909</v>
      </c>
      <c r="B912" s="18">
        <f>A912/'Orbit Info'!$G$10</f>
        <v>9.607511122</v>
      </c>
      <c r="C912" s="13">
        <f t="shared" si="2"/>
        <v>0</v>
      </c>
      <c r="D912" s="13">
        <f t="shared" si="3"/>
        <v>1</v>
      </c>
      <c r="E912" s="13">
        <f t="shared" si="4"/>
        <v>0</v>
      </c>
      <c r="F912" s="13">
        <f t="shared" si="5"/>
        <v>0</v>
      </c>
      <c r="G912" s="13">
        <f t="shared" si="6"/>
        <v>1</v>
      </c>
      <c r="H912" s="13">
        <f>'Orbit Info'!C911*((C912*$O$2)+(D912*$O$3)+(E912*$O$4)+(F912*$O$5))</f>
        <v>15.628032</v>
      </c>
      <c r="I912" s="13">
        <f t="shared" si="7"/>
        <v>8.62426</v>
      </c>
      <c r="J912" s="18">
        <f t="shared" si="8"/>
        <v>0.1167295333</v>
      </c>
      <c r="K912" s="18">
        <f t="shared" si="10"/>
        <v>88.2</v>
      </c>
      <c r="L912" s="4"/>
      <c r="M912" s="4"/>
      <c r="N912" s="4"/>
      <c r="O912" s="4"/>
      <c r="P912" s="4"/>
      <c r="Q912" s="4"/>
      <c r="R912" s="4"/>
      <c r="S912" s="4"/>
      <c r="T912" s="4"/>
      <c r="U912" s="4"/>
      <c r="V912" s="4"/>
      <c r="W912" s="4"/>
    </row>
    <row r="913" ht="15.75" customHeight="1">
      <c r="A913" s="13">
        <f t="shared" si="9"/>
        <v>910</v>
      </c>
      <c r="B913" s="18">
        <f>A913/'Orbit Info'!$G$10</f>
        <v>9.618080441</v>
      </c>
      <c r="C913" s="13">
        <f t="shared" si="2"/>
        <v>0</v>
      </c>
      <c r="D913" s="13">
        <f t="shared" si="3"/>
        <v>1</v>
      </c>
      <c r="E913" s="13">
        <f t="shared" si="4"/>
        <v>0</v>
      </c>
      <c r="F913" s="13">
        <f t="shared" si="5"/>
        <v>0</v>
      </c>
      <c r="G913" s="13">
        <f t="shared" si="6"/>
        <v>1</v>
      </c>
      <c r="H913" s="13">
        <f>'Orbit Info'!C912*((C913*$O$2)+(D913*$O$3)+(E913*$O$4)+(F913*$O$5))</f>
        <v>15.628032</v>
      </c>
      <c r="I913" s="13">
        <f t="shared" si="7"/>
        <v>8.62426</v>
      </c>
      <c r="J913" s="18">
        <f t="shared" si="8"/>
        <v>0.1167295333</v>
      </c>
      <c r="K913" s="18">
        <f t="shared" si="10"/>
        <v>88.2</v>
      </c>
      <c r="L913" s="4"/>
      <c r="M913" s="4"/>
      <c r="N913" s="4"/>
      <c r="O913" s="4"/>
      <c r="P913" s="4"/>
      <c r="Q913" s="4"/>
      <c r="R913" s="4"/>
      <c r="S913" s="4"/>
      <c r="T913" s="4"/>
      <c r="U913" s="4"/>
      <c r="V913" s="4"/>
      <c r="W913" s="4"/>
    </row>
    <row r="914" ht="15.75" customHeight="1">
      <c r="A914" s="13">
        <f t="shared" si="9"/>
        <v>911</v>
      </c>
      <c r="B914" s="18">
        <f>A914/'Orbit Info'!$G$10</f>
        <v>9.62864976</v>
      </c>
      <c r="C914" s="13">
        <f t="shared" si="2"/>
        <v>0</v>
      </c>
      <c r="D914" s="13">
        <f t="shared" si="3"/>
        <v>1</v>
      </c>
      <c r="E914" s="13">
        <f t="shared" si="4"/>
        <v>0</v>
      </c>
      <c r="F914" s="13">
        <f t="shared" si="5"/>
        <v>0</v>
      </c>
      <c r="G914" s="13">
        <f t="shared" si="6"/>
        <v>1</v>
      </c>
      <c r="H914" s="13">
        <f>'Orbit Info'!C913*((C914*$O$2)+(D914*$O$3)+(E914*$O$4)+(F914*$O$5))</f>
        <v>0</v>
      </c>
      <c r="I914" s="13">
        <f t="shared" si="7"/>
        <v>8.62426</v>
      </c>
      <c r="J914" s="18">
        <f t="shared" si="8"/>
        <v>-0.1437376667</v>
      </c>
      <c r="K914" s="18">
        <f t="shared" si="10"/>
        <v>88.05626233</v>
      </c>
      <c r="L914" s="4"/>
      <c r="M914" s="4"/>
      <c r="N914" s="4"/>
      <c r="O914" s="4"/>
      <c r="P914" s="4"/>
      <c r="Q914" s="4"/>
      <c r="R914" s="4"/>
      <c r="S914" s="4"/>
      <c r="T914" s="4"/>
      <c r="U914" s="4"/>
      <c r="V914" s="4"/>
      <c r="W914" s="4"/>
    </row>
    <row r="915" ht="15.75" customHeight="1">
      <c r="A915" s="13">
        <f t="shared" si="9"/>
        <v>912</v>
      </c>
      <c r="B915" s="18">
        <f>A915/'Orbit Info'!$G$10</f>
        <v>9.639219079</v>
      </c>
      <c r="C915" s="13">
        <f t="shared" si="2"/>
        <v>0</v>
      </c>
      <c r="D915" s="13">
        <f t="shared" si="3"/>
        <v>1</v>
      </c>
      <c r="E915" s="13">
        <f t="shared" si="4"/>
        <v>0</v>
      </c>
      <c r="F915" s="13">
        <f t="shared" si="5"/>
        <v>0</v>
      </c>
      <c r="G915" s="13">
        <f t="shared" si="6"/>
        <v>1</v>
      </c>
      <c r="H915" s="13">
        <f>'Orbit Info'!C914*((C915*$O$2)+(D915*$O$3)+(E915*$O$4)+(F915*$O$5))</f>
        <v>0</v>
      </c>
      <c r="I915" s="13">
        <f t="shared" si="7"/>
        <v>8.62426</v>
      </c>
      <c r="J915" s="18">
        <f t="shared" si="8"/>
        <v>-0.1437376667</v>
      </c>
      <c r="K915" s="18">
        <f t="shared" si="10"/>
        <v>87.91252467</v>
      </c>
      <c r="L915" s="4"/>
      <c r="M915" s="4"/>
      <c r="N915" s="4"/>
      <c r="O915" s="4"/>
      <c r="P915" s="4"/>
      <c r="Q915" s="4"/>
      <c r="R915" s="4"/>
      <c r="S915" s="4"/>
      <c r="T915" s="4"/>
      <c r="U915" s="4"/>
      <c r="V915" s="4"/>
      <c r="W915" s="4"/>
    </row>
    <row r="916" ht="15.75" customHeight="1">
      <c r="A916" s="13">
        <f t="shared" si="9"/>
        <v>913</v>
      </c>
      <c r="B916" s="18">
        <f>A916/'Orbit Info'!$G$10</f>
        <v>9.649788398</v>
      </c>
      <c r="C916" s="13">
        <f t="shared" si="2"/>
        <v>0</v>
      </c>
      <c r="D916" s="13">
        <f t="shared" si="3"/>
        <v>1</v>
      </c>
      <c r="E916" s="13">
        <f t="shared" si="4"/>
        <v>0</v>
      </c>
      <c r="F916" s="13">
        <f t="shared" si="5"/>
        <v>0</v>
      </c>
      <c r="G916" s="13">
        <f t="shared" si="6"/>
        <v>1</v>
      </c>
      <c r="H916" s="13">
        <f>'Orbit Info'!C915*((C916*$O$2)+(D916*$O$3)+(E916*$O$4)+(F916*$O$5))</f>
        <v>0</v>
      </c>
      <c r="I916" s="13">
        <f t="shared" si="7"/>
        <v>8.62426</v>
      </c>
      <c r="J916" s="18">
        <f t="shared" si="8"/>
        <v>-0.1437376667</v>
      </c>
      <c r="K916" s="18">
        <f t="shared" si="10"/>
        <v>87.768787</v>
      </c>
      <c r="L916" s="4"/>
      <c r="M916" s="4"/>
      <c r="N916" s="4"/>
      <c r="O916" s="4"/>
      <c r="P916" s="4"/>
      <c r="Q916" s="4"/>
      <c r="R916" s="4"/>
      <c r="S916" s="4"/>
      <c r="T916" s="4"/>
      <c r="U916" s="4"/>
      <c r="V916" s="4"/>
      <c r="W916" s="4"/>
    </row>
    <row r="917" ht="15.75" customHeight="1">
      <c r="A917" s="13">
        <f t="shared" si="9"/>
        <v>914</v>
      </c>
      <c r="B917" s="18">
        <f>A917/'Orbit Info'!$G$10</f>
        <v>9.660357718</v>
      </c>
      <c r="C917" s="13">
        <f t="shared" si="2"/>
        <v>0</v>
      </c>
      <c r="D917" s="13">
        <f t="shared" si="3"/>
        <v>1</v>
      </c>
      <c r="E917" s="13">
        <f t="shared" si="4"/>
        <v>0</v>
      </c>
      <c r="F917" s="13">
        <f t="shared" si="5"/>
        <v>0</v>
      </c>
      <c r="G917" s="13">
        <f t="shared" si="6"/>
        <v>1</v>
      </c>
      <c r="H917" s="13">
        <f>'Orbit Info'!C916*((C917*$O$2)+(D917*$O$3)+(E917*$O$4)+(F917*$O$5))</f>
        <v>0</v>
      </c>
      <c r="I917" s="13">
        <f t="shared" si="7"/>
        <v>8.62426</v>
      </c>
      <c r="J917" s="18">
        <f t="shared" si="8"/>
        <v>-0.1437376667</v>
      </c>
      <c r="K917" s="18">
        <f t="shared" si="10"/>
        <v>87.62504933</v>
      </c>
      <c r="L917" s="4"/>
      <c r="M917" s="4"/>
      <c r="N917" s="4"/>
      <c r="O917" s="4"/>
      <c r="P917" s="4"/>
      <c r="Q917" s="4"/>
      <c r="R917" s="4"/>
      <c r="S917" s="4"/>
      <c r="T917" s="4"/>
      <c r="U917" s="4"/>
      <c r="V917" s="4"/>
      <c r="W917" s="4"/>
    </row>
    <row r="918" ht="15.75" customHeight="1">
      <c r="A918" s="13">
        <f t="shared" si="9"/>
        <v>915</v>
      </c>
      <c r="B918" s="18">
        <f>A918/'Orbit Info'!$G$10</f>
        <v>9.670927037</v>
      </c>
      <c r="C918" s="13">
        <f t="shared" si="2"/>
        <v>0</v>
      </c>
      <c r="D918" s="13">
        <f t="shared" si="3"/>
        <v>1</v>
      </c>
      <c r="E918" s="13">
        <f t="shared" si="4"/>
        <v>0</v>
      </c>
      <c r="F918" s="13">
        <f t="shared" si="5"/>
        <v>0</v>
      </c>
      <c r="G918" s="13">
        <f t="shared" si="6"/>
        <v>1</v>
      </c>
      <c r="H918" s="13">
        <f>'Orbit Info'!C917*((C918*$O$2)+(D918*$O$3)+(E918*$O$4)+(F918*$O$5))</f>
        <v>0</v>
      </c>
      <c r="I918" s="13">
        <f t="shared" si="7"/>
        <v>8.62426</v>
      </c>
      <c r="J918" s="18">
        <f t="shared" si="8"/>
        <v>-0.1437376667</v>
      </c>
      <c r="K918" s="18">
        <f t="shared" si="10"/>
        <v>87.48131167</v>
      </c>
      <c r="L918" s="4"/>
      <c r="M918" s="4"/>
      <c r="N918" s="4"/>
      <c r="O918" s="4"/>
      <c r="P918" s="4"/>
      <c r="Q918" s="4"/>
      <c r="R918" s="4"/>
      <c r="S918" s="4"/>
      <c r="T918" s="4"/>
      <c r="U918" s="4"/>
      <c r="V918" s="4"/>
      <c r="W918" s="4"/>
    </row>
    <row r="919" ht="15.75" customHeight="1">
      <c r="A919" s="13">
        <f t="shared" si="9"/>
        <v>916</v>
      </c>
      <c r="B919" s="18">
        <f>A919/'Orbit Info'!$G$10</f>
        <v>9.681496356</v>
      </c>
      <c r="C919" s="13">
        <f t="shared" si="2"/>
        <v>0</v>
      </c>
      <c r="D919" s="13">
        <f t="shared" si="3"/>
        <v>1</v>
      </c>
      <c r="E919" s="13">
        <f t="shared" si="4"/>
        <v>0</v>
      </c>
      <c r="F919" s="13">
        <f t="shared" si="5"/>
        <v>0</v>
      </c>
      <c r="G919" s="13">
        <f t="shared" si="6"/>
        <v>1</v>
      </c>
      <c r="H919" s="13">
        <f>'Orbit Info'!C918*((C919*$O$2)+(D919*$O$3)+(E919*$O$4)+(F919*$O$5))</f>
        <v>0</v>
      </c>
      <c r="I919" s="13">
        <f t="shared" si="7"/>
        <v>8.62426</v>
      </c>
      <c r="J919" s="18">
        <f t="shared" si="8"/>
        <v>-0.1437376667</v>
      </c>
      <c r="K919" s="18">
        <f t="shared" si="10"/>
        <v>87.337574</v>
      </c>
      <c r="L919" s="4"/>
      <c r="M919" s="4"/>
      <c r="N919" s="4"/>
      <c r="O919" s="4"/>
      <c r="P919" s="4"/>
      <c r="Q919" s="4"/>
      <c r="R919" s="4"/>
      <c r="S919" s="4"/>
      <c r="T919" s="4"/>
      <c r="U919" s="4"/>
      <c r="V919" s="4"/>
      <c r="W919" s="4"/>
    </row>
    <row r="920" ht="15.75" customHeight="1">
      <c r="A920" s="13">
        <f t="shared" si="9"/>
        <v>917</v>
      </c>
      <c r="B920" s="18">
        <f>A920/'Orbit Info'!$G$10</f>
        <v>9.692065675</v>
      </c>
      <c r="C920" s="13">
        <f t="shared" si="2"/>
        <v>0</v>
      </c>
      <c r="D920" s="13">
        <f t="shared" si="3"/>
        <v>1</v>
      </c>
      <c r="E920" s="13">
        <f t="shared" si="4"/>
        <v>0</v>
      </c>
      <c r="F920" s="13">
        <f t="shared" si="5"/>
        <v>0</v>
      </c>
      <c r="G920" s="13">
        <f t="shared" si="6"/>
        <v>1</v>
      </c>
      <c r="H920" s="13">
        <f>'Orbit Info'!C919*((C920*$O$2)+(D920*$O$3)+(E920*$O$4)+(F920*$O$5))</f>
        <v>0</v>
      </c>
      <c r="I920" s="13">
        <f t="shared" si="7"/>
        <v>8.62426</v>
      </c>
      <c r="J920" s="18">
        <f t="shared" si="8"/>
        <v>-0.1437376667</v>
      </c>
      <c r="K920" s="18">
        <f t="shared" si="10"/>
        <v>87.19383633</v>
      </c>
      <c r="L920" s="4"/>
      <c r="M920" s="4"/>
      <c r="N920" s="4"/>
      <c r="O920" s="4"/>
      <c r="P920" s="4"/>
      <c r="Q920" s="4"/>
      <c r="R920" s="4"/>
      <c r="S920" s="4"/>
      <c r="T920" s="4"/>
      <c r="U920" s="4"/>
      <c r="V920" s="4"/>
      <c r="W920" s="4"/>
    </row>
    <row r="921" ht="15.75" customHeight="1">
      <c r="A921" s="13">
        <f t="shared" si="9"/>
        <v>918</v>
      </c>
      <c r="B921" s="18">
        <f>A921/'Orbit Info'!$G$10</f>
        <v>9.702634994</v>
      </c>
      <c r="C921" s="13">
        <f t="shared" si="2"/>
        <v>0</v>
      </c>
      <c r="D921" s="13">
        <f t="shared" si="3"/>
        <v>1</v>
      </c>
      <c r="E921" s="13">
        <f t="shared" si="4"/>
        <v>0</v>
      </c>
      <c r="F921" s="13">
        <f t="shared" si="5"/>
        <v>0</v>
      </c>
      <c r="G921" s="13">
        <f t="shared" si="6"/>
        <v>1</v>
      </c>
      <c r="H921" s="13">
        <f>'Orbit Info'!C920*((C921*$O$2)+(D921*$O$3)+(E921*$O$4)+(F921*$O$5))</f>
        <v>0</v>
      </c>
      <c r="I921" s="13">
        <f t="shared" si="7"/>
        <v>8.62426</v>
      </c>
      <c r="J921" s="18">
        <f t="shared" si="8"/>
        <v>-0.1437376667</v>
      </c>
      <c r="K921" s="18">
        <f t="shared" si="10"/>
        <v>87.05009867</v>
      </c>
      <c r="L921" s="4"/>
      <c r="M921" s="4"/>
      <c r="N921" s="4"/>
      <c r="O921" s="4"/>
      <c r="P921" s="4"/>
      <c r="Q921" s="4"/>
      <c r="R921" s="4"/>
      <c r="S921" s="4"/>
      <c r="T921" s="4"/>
      <c r="U921" s="4"/>
      <c r="V921" s="4"/>
      <c r="W921" s="4"/>
    </row>
    <row r="922" ht="15.75" customHeight="1">
      <c r="A922" s="13">
        <f t="shared" si="9"/>
        <v>919</v>
      </c>
      <c r="B922" s="18">
        <f>A922/'Orbit Info'!$G$10</f>
        <v>9.713204313</v>
      </c>
      <c r="C922" s="13">
        <f t="shared" si="2"/>
        <v>0</v>
      </c>
      <c r="D922" s="13">
        <f t="shared" si="3"/>
        <v>1</v>
      </c>
      <c r="E922" s="13">
        <f t="shared" si="4"/>
        <v>0</v>
      </c>
      <c r="F922" s="13">
        <f t="shared" si="5"/>
        <v>0</v>
      </c>
      <c r="G922" s="13">
        <f t="shared" si="6"/>
        <v>1</v>
      </c>
      <c r="H922" s="13">
        <f>'Orbit Info'!C921*((C922*$O$2)+(D922*$O$3)+(E922*$O$4)+(F922*$O$5))</f>
        <v>0</v>
      </c>
      <c r="I922" s="13">
        <f t="shared" si="7"/>
        <v>8.62426</v>
      </c>
      <c r="J922" s="18">
        <f t="shared" si="8"/>
        <v>-0.1437376667</v>
      </c>
      <c r="K922" s="18">
        <f t="shared" si="10"/>
        <v>86.906361</v>
      </c>
      <c r="L922" s="4"/>
      <c r="M922" s="4"/>
      <c r="N922" s="4"/>
      <c r="O922" s="4"/>
      <c r="P922" s="4"/>
      <c r="Q922" s="4"/>
      <c r="R922" s="4"/>
      <c r="S922" s="4"/>
      <c r="T922" s="4"/>
      <c r="U922" s="4"/>
      <c r="V922" s="4"/>
      <c r="W922" s="4"/>
    </row>
    <row r="923" ht="15.75" customHeight="1">
      <c r="A923" s="13">
        <f t="shared" si="9"/>
        <v>920</v>
      </c>
      <c r="B923" s="18">
        <f>A923/'Orbit Info'!$G$10</f>
        <v>9.723773633</v>
      </c>
      <c r="C923" s="13">
        <f t="shared" si="2"/>
        <v>0</v>
      </c>
      <c r="D923" s="13">
        <f t="shared" si="3"/>
        <v>1</v>
      </c>
      <c r="E923" s="13">
        <f t="shared" si="4"/>
        <v>0</v>
      </c>
      <c r="F923" s="13">
        <f t="shared" si="5"/>
        <v>0</v>
      </c>
      <c r="G923" s="13">
        <f t="shared" si="6"/>
        <v>1</v>
      </c>
      <c r="H923" s="13">
        <f>'Orbit Info'!C922*((C923*$O$2)+(D923*$O$3)+(E923*$O$4)+(F923*$O$5))</f>
        <v>0</v>
      </c>
      <c r="I923" s="13">
        <f t="shared" si="7"/>
        <v>8.62426</v>
      </c>
      <c r="J923" s="18">
        <f t="shared" si="8"/>
        <v>-0.1437376667</v>
      </c>
      <c r="K923" s="18">
        <f t="shared" si="10"/>
        <v>86.76262333</v>
      </c>
      <c r="L923" s="4"/>
      <c r="M923" s="4"/>
      <c r="N923" s="4"/>
      <c r="O923" s="4"/>
      <c r="P923" s="4"/>
      <c r="Q923" s="4"/>
      <c r="R923" s="4"/>
      <c r="S923" s="4"/>
      <c r="T923" s="4"/>
      <c r="U923" s="4"/>
      <c r="V923" s="4"/>
      <c r="W923" s="4"/>
    </row>
    <row r="924" ht="15.75" customHeight="1">
      <c r="A924" s="13">
        <f t="shared" si="9"/>
        <v>921</v>
      </c>
      <c r="B924" s="18">
        <f>A924/'Orbit Info'!$G$10</f>
        <v>9.734342952</v>
      </c>
      <c r="C924" s="13">
        <f t="shared" si="2"/>
        <v>0</v>
      </c>
      <c r="D924" s="13">
        <f t="shared" si="3"/>
        <v>1</v>
      </c>
      <c r="E924" s="13">
        <f t="shared" si="4"/>
        <v>0</v>
      </c>
      <c r="F924" s="13">
        <f t="shared" si="5"/>
        <v>0</v>
      </c>
      <c r="G924" s="13">
        <f t="shared" si="6"/>
        <v>1</v>
      </c>
      <c r="H924" s="13">
        <f>'Orbit Info'!C923*((C924*$O$2)+(D924*$O$3)+(E924*$O$4)+(F924*$O$5))</f>
        <v>0</v>
      </c>
      <c r="I924" s="13">
        <f t="shared" si="7"/>
        <v>8.62426</v>
      </c>
      <c r="J924" s="18">
        <f t="shared" si="8"/>
        <v>-0.1437376667</v>
      </c>
      <c r="K924" s="18">
        <f t="shared" si="10"/>
        <v>86.61888567</v>
      </c>
      <c r="L924" s="4"/>
      <c r="M924" s="4"/>
      <c r="N924" s="4"/>
      <c r="O924" s="4"/>
      <c r="P924" s="4"/>
      <c r="Q924" s="4"/>
      <c r="R924" s="4"/>
      <c r="S924" s="4"/>
      <c r="T924" s="4"/>
      <c r="U924" s="4"/>
      <c r="V924" s="4"/>
      <c r="W924" s="4"/>
    </row>
    <row r="925" ht="15.75" customHeight="1">
      <c r="A925" s="13">
        <f t="shared" si="9"/>
        <v>922</v>
      </c>
      <c r="B925" s="18">
        <f>A925/'Orbit Info'!$G$10</f>
        <v>9.744912271</v>
      </c>
      <c r="C925" s="13">
        <f t="shared" si="2"/>
        <v>0</v>
      </c>
      <c r="D925" s="13">
        <f t="shared" si="3"/>
        <v>1</v>
      </c>
      <c r="E925" s="13">
        <f t="shared" si="4"/>
        <v>0</v>
      </c>
      <c r="F925" s="13">
        <f t="shared" si="5"/>
        <v>0</v>
      </c>
      <c r="G925" s="13">
        <f t="shared" si="6"/>
        <v>1</v>
      </c>
      <c r="H925" s="13">
        <f>'Orbit Info'!C924*((C925*$O$2)+(D925*$O$3)+(E925*$O$4)+(F925*$O$5))</f>
        <v>0</v>
      </c>
      <c r="I925" s="13">
        <f t="shared" si="7"/>
        <v>8.62426</v>
      </c>
      <c r="J925" s="18">
        <f t="shared" si="8"/>
        <v>-0.1437376667</v>
      </c>
      <c r="K925" s="18">
        <f t="shared" si="10"/>
        <v>86.475148</v>
      </c>
      <c r="L925" s="4"/>
      <c r="M925" s="4"/>
      <c r="N925" s="4"/>
      <c r="O925" s="4"/>
      <c r="P925" s="4"/>
      <c r="Q925" s="4"/>
      <c r="R925" s="4"/>
      <c r="S925" s="4"/>
      <c r="T925" s="4"/>
      <c r="U925" s="4"/>
      <c r="V925" s="4"/>
      <c r="W925" s="4"/>
    </row>
    <row r="926" ht="15.75" customHeight="1">
      <c r="A926" s="13">
        <f t="shared" si="9"/>
        <v>923</v>
      </c>
      <c r="B926" s="18">
        <f>A926/'Orbit Info'!$G$10</f>
        <v>9.75548159</v>
      </c>
      <c r="C926" s="13">
        <f t="shared" si="2"/>
        <v>0</v>
      </c>
      <c r="D926" s="13">
        <f t="shared" si="3"/>
        <v>1</v>
      </c>
      <c r="E926" s="13">
        <f t="shared" si="4"/>
        <v>0</v>
      </c>
      <c r="F926" s="13">
        <f t="shared" si="5"/>
        <v>0</v>
      </c>
      <c r="G926" s="13">
        <f t="shared" si="6"/>
        <v>1</v>
      </c>
      <c r="H926" s="13">
        <f>'Orbit Info'!C925*((C926*$O$2)+(D926*$O$3)+(E926*$O$4)+(F926*$O$5))</f>
        <v>0</v>
      </c>
      <c r="I926" s="13">
        <f t="shared" si="7"/>
        <v>8.62426</v>
      </c>
      <c r="J926" s="18">
        <f t="shared" si="8"/>
        <v>-0.1437376667</v>
      </c>
      <c r="K926" s="18">
        <f t="shared" si="10"/>
        <v>86.33141033</v>
      </c>
      <c r="L926" s="4"/>
      <c r="M926" s="4"/>
      <c r="N926" s="4"/>
      <c r="O926" s="4"/>
      <c r="P926" s="4"/>
      <c r="Q926" s="4"/>
      <c r="R926" s="4"/>
      <c r="S926" s="4"/>
      <c r="T926" s="4"/>
      <c r="U926" s="4"/>
      <c r="V926" s="4"/>
      <c r="W926" s="4"/>
    </row>
    <row r="927" ht="15.75" customHeight="1">
      <c r="A927" s="13">
        <f t="shared" si="9"/>
        <v>924</v>
      </c>
      <c r="B927" s="18">
        <f>A927/'Orbit Info'!$G$10</f>
        <v>9.766050909</v>
      </c>
      <c r="C927" s="13">
        <f t="shared" si="2"/>
        <v>0</v>
      </c>
      <c r="D927" s="13">
        <f t="shared" si="3"/>
        <v>1</v>
      </c>
      <c r="E927" s="13">
        <f t="shared" si="4"/>
        <v>0</v>
      </c>
      <c r="F927" s="13">
        <f t="shared" si="5"/>
        <v>0</v>
      </c>
      <c r="G927" s="13">
        <f t="shared" si="6"/>
        <v>1</v>
      </c>
      <c r="H927" s="13">
        <f>'Orbit Info'!C926*((C927*$O$2)+(D927*$O$3)+(E927*$O$4)+(F927*$O$5))</f>
        <v>0</v>
      </c>
      <c r="I927" s="13">
        <f t="shared" si="7"/>
        <v>8.62426</v>
      </c>
      <c r="J927" s="18">
        <f t="shared" si="8"/>
        <v>-0.1437376667</v>
      </c>
      <c r="K927" s="18">
        <f t="shared" si="10"/>
        <v>86.18767267</v>
      </c>
      <c r="L927" s="4"/>
      <c r="M927" s="4"/>
      <c r="N927" s="4"/>
      <c r="O927" s="4"/>
      <c r="P927" s="4"/>
      <c r="Q927" s="4"/>
      <c r="R927" s="4"/>
      <c r="S927" s="4"/>
      <c r="T927" s="4"/>
      <c r="U927" s="4"/>
      <c r="V927" s="4"/>
      <c r="W927" s="4"/>
    </row>
    <row r="928" ht="15.75" customHeight="1">
      <c r="A928" s="13">
        <f t="shared" si="9"/>
        <v>925</v>
      </c>
      <c r="B928" s="18">
        <f>A928/'Orbit Info'!$G$10</f>
        <v>9.776620228</v>
      </c>
      <c r="C928" s="13">
        <f t="shared" si="2"/>
        <v>0</v>
      </c>
      <c r="D928" s="13">
        <f t="shared" si="3"/>
        <v>1</v>
      </c>
      <c r="E928" s="13">
        <f t="shared" si="4"/>
        <v>0</v>
      </c>
      <c r="F928" s="13">
        <f t="shared" si="5"/>
        <v>0</v>
      </c>
      <c r="G928" s="13">
        <f t="shared" si="6"/>
        <v>1</v>
      </c>
      <c r="H928" s="13">
        <f>'Orbit Info'!C927*((C928*$O$2)+(D928*$O$3)+(E928*$O$4)+(F928*$O$5))</f>
        <v>0</v>
      </c>
      <c r="I928" s="13">
        <f t="shared" si="7"/>
        <v>8.62426</v>
      </c>
      <c r="J928" s="18">
        <f t="shared" si="8"/>
        <v>-0.1437376667</v>
      </c>
      <c r="K928" s="18">
        <f t="shared" si="10"/>
        <v>86.043935</v>
      </c>
      <c r="L928" s="4"/>
      <c r="M928" s="4"/>
      <c r="N928" s="4"/>
      <c r="O928" s="4"/>
      <c r="P928" s="4"/>
      <c r="Q928" s="4"/>
      <c r="R928" s="4"/>
      <c r="S928" s="4"/>
      <c r="T928" s="4"/>
      <c r="U928" s="4"/>
      <c r="V928" s="4"/>
      <c r="W928" s="4"/>
    </row>
    <row r="929" ht="15.75" customHeight="1">
      <c r="A929" s="13">
        <f t="shared" si="9"/>
        <v>926</v>
      </c>
      <c r="B929" s="18">
        <f>A929/'Orbit Info'!$G$10</f>
        <v>9.787189548</v>
      </c>
      <c r="C929" s="13">
        <f t="shared" si="2"/>
        <v>0</v>
      </c>
      <c r="D929" s="13">
        <f t="shared" si="3"/>
        <v>1</v>
      </c>
      <c r="E929" s="13">
        <f t="shared" si="4"/>
        <v>0</v>
      </c>
      <c r="F929" s="13">
        <f t="shared" si="5"/>
        <v>0</v>
      </c>
      <c r="G929" s="13">
        <f t="shared" si="6"/>
        <v>1</v>
      </c>
      <c r="H929" s="13">
        <f>'Orbit Info'!C928*((C929*$O$2)+(D929*$O$3)+(E929*$O$4)+(F929*$O$5))</f>
        <v>0</v>
      </c>
      <c r="I929" s="13">
        <f t="shared" si="7"/>
        <v>8.62426</v>
      </c>
      <c r="J929" s="18">
        <f t="shared" si="8"/>
        <v>-0.1437376667</v>
      </c>
      <c r="K929" s="18">
        <f t="shared" si="10"/>
        <v>85.90019733</v>
      </c>
      <c r="L929" s="4"/>
      <c r="M929" s="4"/>
      <c r="N929" s="4"/>
      <c r="O929" s="4"/>
      <c r="P929" s="4"/>
      <c r="Q929" s="4"/>
      <c r="R929" s="4"/>
      <c r="S929" s="4"/>
      <c r="T929" s="4"/>
      <c r="U929" s="4"/>
      <c r="V929" s="4"/>
      <c r="W929" s="4"/>
    </row>
    <row r="930" ht="15.75" customHeight="1">
      <c r="A930" s="13">
        <f t="shared" si="9"/>
        <v>927</v>
      </c>
      <c r="B930" s="18">
        <f>A930/'Orbit Info'!$G$10</f>
        <v>9.797758867</v>
      </c>
      <c r="C930" s="13">
        <f t="shared" si="2"/>
        <v>0</v>
      </c>
      <c r="D930" s="13">
        <f t="shared" si="3"/>
        <v>1</v>
      </c>
      <c r="E930" s="13">
        <f t="shared" si="4"/>
        <v>0</v>
      </c>
      <c r="F930" s="13">
        <f t="shared" si="5"/>
        <v>0</v>
      </c>
      <c r="G930" s="13">
        <f t="shared" si="6"/>
        <v>1</v>
      </c>
      <c r="H930" s="13">
        <f>'Orbit Info'!C929*((C930*$O$2)+(D930*$O$3)+(E930*$O$4)+(F930*$O$5))</f>
        <v>0</v>
      </c>
      <c r="I930" s="13">
        <f t="shared" si="7"/>
        <v>8.62426</v>
      </c>
      <c r="J930" s="18">
        <f t="shared" si="8"/>
        <v>-0.1437376667</v>
      </c>
      <c r="K930" s="18">
        <f t="shared" si="10"/>
        <v>85.75645967</v>
      </c>
      <c r="L930" s="4"/>
      <c r="M930" s="4"/>
      <c r="N930" s="4"/>
      <c r="O930" s="4"/>
      <c r="P930" s="4"/>
      <c r="Q930" s="4"/>
      <c r="R930" s="4"/>
      <c r="S930" s="4"/>
      <c r="T930" s="4"/>
      <c r="U930" s="4"/>
      <c r="V930" s="4"/>
      <c r="W930" s="4"/>
    </row>
    <row r="931" ht="15.75" customHeight="1">
      <c r="A931" s="13">
        <f t="shared" si="9"/>
        <v>928</v>
      </c>
      <c r="B931" s="18">
        <f>A931/'Orbit Info'!$G$10</f>
        <v>9.808328186</v>
      </c>
      <c r="C931" s="13">
        <f t="shared" si="2"/>
        <v>0</v>
      </c>
      <c r="D931" s="13">
        <f t="shared" si="3"/>
        <v>1</v>
      </c>
      <c r="E931" s="13">
        <f t="shared" si="4"/>
        <v>0</v>
      </c>
      <c r="F931" s="13">
        <f t="shared" si="5"/>
        <v>0</v>
      </c>
      <c r="G931" s="13">
        <f t="shared" si="6"/>
        <v>1</v>
      </c>
      <c r="H931" s="13">
        <f>'Orbit Info'!C930*((C931*$O$2)+(D931*$O$3)+(E931*$O$4)+(F931*$O$5))</f>
        <v>0</v>
      </c>
      <c r="I931" s="13">
        <f t="shared" si="7"/>
        <v>8.62426</v>
      </c>
      <c r="J931" s="18">
        <f t="shared" si="8"/>
        <v>-0.1437376667</v>
      </c>
      <c r="K931" s="18">
        <f t="shared" si="10"/>
        <v>85.612722</v>
      </c>
      <c r="L931" s="4"/>
      <c r="M931" s="4"/>
      <c r="N931" s="4"/>
      <c r="O931" s="4"/>
      <c r="P931" s="4"/>
      <c r="Q931" s="4"/>
      <c r="R931" s="4"/>
      <c r="S931" s="4"/>
      <c r="T931" s="4"/>
      <c r="U931" s="4"/>
      <c r="V931" s="4"/>
      <c r="W931" s="4"/>
    </row>
    <row r="932" ht="15.75" customHeight="1">
      <c r="A932" s="13">
        <f t="shared" si="9"/>
        <v>929</v>
      </c>
      <c r="B932" s="18">
        <f>A932/'Orbit Info'!$G$10</f>
        <v>9.818897505</v>
      </c>
      <c r="C932" s="13">
        <f t="shared" si="2"/>
        <v>0</v>
      </c>
      <c r="D932" s="13">
        <f t="shared" si="3"/>
        <v>1</v>
      </c>
      <c r="E932" s="13">
        <f t="shared" si="4"/>
        <v>0</v>
      </c>
      <c r="F932" s="13">
        <f t="shared" si="5"/>
        <v>0</v>
      </c>
      <c r="G932" s="13">
        <f t="shared" si="6"/>
        <v>1</v>
      </c>
      <c r="H932" s="13">
        <f>'Orbit Info'!C931*((C932*$O$2)+(D932*$O$3)+(E932*$O$4)+(F932*$O$5))</f>
        <v>0</v>
      </c>
      <c r="I932" s="13">
        <f t="shared" si="7"/>
        <v>8.62426</v>
      </c>
      <c r="J932" s="18">
        <f t="shared" si="8"/>
        <v>-0.1437376667</v>
      </c>
      <c r="K932" s="18">
        <f t="shared" si="10"/>
        <v>85.46898433</v>
      </c>
      <c r="L932" s="4"/>
      <c r="M932" s="4"/>
      <c r="N932" s="4"/>
      <c r="O932" s="4"/>
      <c r="P932" s="4"/>
      <c r="Q932" s="4"/>
      <c r="R932" s="4"/>
      <c r="S932" s="4"/>
      <c r="T932" s="4"/>
      <c r="U932" s="4"/>
      <c r="V932" s="4"/>
      <c r="W932" s="4"/>
    </row>
    <row r="933" ht="15.75" customHeight="1">
      <c r="A933" s="13">
        <f t="shared" si="9"/>
        <v>930</v>
      </c>
      <c r="B933" s="18">
        <f>A933/'Orbit Info'!$G$10</f>
        <v>9.829466824</v>
      </c>
      <c r="C933" s="13">
        <f t="shared" si="2"/>
        <v>0</v>
      </c>
      <c r="D933" s="13">
        <f t="shared" si="3"/>
        <v>1</v>
      </c>
      <c r="E933" s="13">
        <f t="shared" si="4"/>
        <v>0</v>
      </c>
      <c r="F933" s="13">
        <f t="shared" si="5"/>
        <v>0</v>
      </c>
      <c r="G933" s="13">
        <f t="shared" si="6"/>
        <v>1</v>
      </c>
      <c r="H933" s="13">
        <f>'Orbit Info'!C932*((C933*$O$2)+(D933*$O$3)+(E933*$O$4)+(F933*$O$5))</f>
        <v>0</v>
      </c>
      <c r="I933" s="13">
        <f t="shared" si="7"/>
        <v>8.62426</v>
      </c>
      <c r="J933" s="18">
        <f t="shared" si="8"/>
        <v>-0.1437376667</v>
      </c>
      <c r="K933" s="18">
        <f t="shared" si="10"/>
        <v>85.32524667</v>
      </c>
      <c r="L933" s="4"/>
      <c r="M933" s="4"/>
      <c r="N933" s="4"/>
      <c r="O933" s="4"/>
      <c r="P933" s="4"/>
      <c r="Q933" s="4"/>
      <c r="R933" s="4"/>
      <c r="S933" s="4"/>
      <c r="T933" s="4"/>
      <c r="U933" s="4"/>
      <c r="V933" s="4"/>
      <c r="W933" s="4"/>
    </row>
    <row r="934" ht="15.75" customHeight="1">
      <c r="A934" s="13">
        <f t="shared" si="9"/>
        <v>931</v>
      </c>
      <c r="B934" s="18">
        <f>A934/'Orbit Info'!$G$10</f>
        <v>9.840036143</v>
      </c>
      <c r="C934" s="13">
        <f t="shared" si="2"/>
        <v>0</v>
      </c>
      <c r="D934" s="13">
        <f t="shared" si="3"/>
        <v>1</v>
      </c>
      <c r="E934" s="13">
        <f t="shared" si="4"/>
        <v>0</v>
      </c>
      <c r="F934" s="13">
        <f t="shared" si="5"/>
        <v>0</v>
      </c>
      <c r="G934" s="13">
        <f t="shared" si="6"/>
        <v>1</v>
      </c>
      <c r="H934" s="13">
        <f>'Orbit Info'!C933*((C934*$O$2)+(D934*$O$3)+(E934*$O$4)+(F934*$O$5))</f>
        <v>0</v>
      </c>
      <c r="I934" s="13">
        <f t="shared" si="7"/>
        <v>8.62426</v>
      </c>
      <c r="J934" s="18">
        <f t="shared" si="8"/>
        <v>-0.1437376667</v>
      </c>
      <c r="K934" s="18">
        <f t="shared" si="10"/>
        <v>85.181509</v>
      </c>
      <c r="L934" s="4"/>
      <c r="M934" s="4"/>
      <c r="N934" s="4"/>
      <c r="O934" s="4"/>
      <c r="P934" s="4"/>
      <c r="Q934" s="4"/>
      <c r="R934" s="4"/>
      <c r="S934" s="4"/>
      <c r="T934" s="4"/>
      <c r="U934" s="4"/>
      <c r="V934" s="4"/>
      <c r="W934" s="4"/>
    </row>
    <row r="935" ht="15.75" customHeight="1">
      <c r="A935" s="13">
        <f t="shared" si="9"/>
        <v>932</v>
      </c>
      <c r="B935" s="18">
        <f>A935/'Orbit Info'!$G$10</f>
        <v>9.850605463</v>
      </c>
      <c r="C935" s="13">
        <f t="shared" si="2"/>
        <v>0</v>
      </c>
      <c r="D935" s="13">
        <f t="shared" si="3"/>
        <v>1</v>
      </c>
      <c r="E935" s="13">
        <f t="shared" si="4"/>
        <v>0</v>
      </c>
      <c r="F935" s="13">
        <f t="shared" si="5"/>
        <v>0</v>
      </c>
      <c r="G935" s="13">
        <f t="shared" si="6"/>
        <v>1</v>
      </c>
      <c r="H935" s="13">
        <f>'Orbit Info'!C934*((C935*$O$2)+(D935*$O$3)+(E935*$O$4)+(F935*$O$5))</f>
        <v>0</v>
      </c>
      <c r="I935" s="13">
        <f t="shared" si="7"/>
        <v>8.62426</v>
      </c>
      <c r="J935" s="18">
        <f t="shared" si="8"/>
        <v>-0.1437376667</v>
      </c>
      <c r="K935" s="18">
        <f t="shared" si="10"/>
        <v>85.03777133</v>
      </c>
      <c r="L935" s="4"/>
      <c r="M935" s="4"/>
      <c r="N935" s="4"/>
      <c r="O935" s="4"/>
      <c r="P935" s="4"/>
      <c r="Q935" s="4"/>
      <c r="R935" s="4"/>
      <c r="S935" s="4"/>
      <c r="T935" s="4"/>
      <c r="U935" s="4"/>
      <c r="V935" s="4"/>
      <c r="W935" s="4"/>
    </row>
    <row r="936" ht="15.75" customHeight="1">
      <c r="A936" s="13">
        <f t="shared" si="9"/>
        <v>933</v>
      </c>
      <c r="B936" s="18">
        <f>A936/'Orbit Info'!$G$10</f>
        <v>9.861174782</v>
      </c>
      <c r="C936" s="13">
        <f t="shared" si="2"/>
        <v>0</v>
      </c>
      <c r="D936" s="13">
        <f t="shared" si="3"/>
        <v>1</v>
      </c>
      <c r="E936" s="13">
        <f t="shared" si="4"/>
        <v>0</v>
      </c>
      <c r="F936" s="13">
        <f t="shared" si="5"/>
        <v>0</v>
      </c>
      <c r="G936" s="13">
        <f t="shared" si="6"/>
        <v>1</v>
      </c>
      <c r="H936" s="13">
        <f>'Orbit Info'!C935*((C936*$O$2)+(D936*$O$3)+(E936*$O$4)+(F936*$O$5))</f>
        <v>0</v>
      </c>
      <c r="I936" s="13">
        <f t="shared" si="7"/>
        <v>8.62426</v>
      </c>
      <c r="J936" s="18">
        <f t="shared" si="8"/>
        <v>-0.1437376667</v>
      </c>
      <c r="K936" s="18">
        <f t="shared" si="10"/>
        <v>84.89403367</v>
      </c>
      <c r="L936" s="4"/>
      <c r="M936" s="4"/>
      <c r="N936" s="4"/>
      <c r="O936" s="4"/>
      <c r="P936" s="4"/>
      <c r="Q936" s="4"/>
      <c r="R936" s="4"/>
      <c r="S936" s="4"/>
      <c r="T936" s="4"/>
      <c r="U936" s="4"/>
      <c r="V936" s="4"/>
      <c r="W936" s="4"/>
    </row>
    <row r="937" ht="15.75" customHeight="1">
      <c r="A937" s="13">
        <f t="shared" si="9"/>
        <v>934</v>
      </c>
      <c r="B937" s="18">
        <f>A937/'Orbit Info'!$G$10</f>
        <v>9.871744101</v>
      </c>
      <c r="C937" s="13">
        <f t="shared" si="2"/>
        <v>0</v>
      </c>
      <c r="D937" s="13">
        <f t="shared" si="3"/>
        <v>1</v>
      </c>
      <c r="E937" s="13">
        <f t="shared" si="4"/>
        <v>0</v>
      </c>
      <c r="F937" s="13">
        <f t="shared" si="5"/>
        <v>0</v>
      </c>
      <c r="G937" s="13">
        <f t="shared" si="6"/>
        <v>1</v>
      </c>
      <c r="H937" s="13">
        <f>'Orbit Info'!C936*((C937*$O$2)+(D937*$O$3)+(E937*$O$4)+(F937*$O$5))</f>
        <v>0</v>
      </c>
      <c r="I937" s="13">
        <f t="shared" si="7"/>
        <v>8.62426</v>
      </c>
      <c r="J937" s="18">
        <f t="shared" si="8"/>
        <v>-0.1437376667</v>
      </c>
      <c r="K937" s="18">
        <f t="shared" si="10"/>
        <v>84.750296</v>
      </c>
      <c r="L937" s="4"/>
      <c r="M937" s="4"/>
      <c r="N937" s="4"/>
      <c r="O937" s="4"/>
      <c r="P937" s="4"/>
      <c r="Q937" s="4"/>
      <c r="R937" s="4"/>
      <c r="S937" s="4"/>
      <c r="T937" s="4"/>
      <c r="U937" s="4"/>
      <c r="V937" s="4"/>
      <c r="W937" s="4"/>
    </row>
    <row r="938" ht="15.75" customHeight="1">
      <c r="A938" s="13">
        <f t="shared" si="9"/>
        <v>935</v>
      </c>
      <c r="B938" s="18">
        <f>A938/'Orbit Info'!$G$10</f>
        <v>9.88231342</v>
      </c>
      <c r="C938" s="13">
        <f t="shared" si="2"/>
        <v>0</v>
      </c>
      <c r="D938" s="13">
        <f t="shared" si="3"/>
        <v>1</v>
      </c>
      <c r="E938" s="13">
        <f t="shared" si="4"/>
        <v>0</v>
      </c>
      <c r="F938" s="13">
        <f t="shared" si="5"/>
        <v>0</v>
      </c>
      <c r="G938" s="13">
        <f t="shared" si="6"/>
        <v>1</v>
      </c>
      <c r="H938" s="13">
        <f>'Orbit Info'!C937*((C938*$O$2)+(D938*$O$3)+(E938*$O$4)+(F938*$O$5))</f>
        <v>0</v>
      </c>
      <c r="I938" s="13">
        <f t="shared" si="7"/>
        <v>8.62426</v>
      </c>
      <c r="J938" s="18">
        <f t="shared" si="8"/>
        <v>-0.1437376667</v>
      </c>
      <c r="K938" s="18">
        <f t="shared" si="10"/>
        <v>84.60655833</v>
      </c>
      <c r="L938" s="4"/>
      <c r="M938" s="4"/>
      <c r="N938" s="4"/>
      <c r="O938" s="4"/>
      <c r="P938" s="4"/>
      <c r="Q938" s="4"/>
      <c r="R938" s="4"/>
      <c r="S938" s="4"/>
      <c r="T938" s="4"/>
      <c r="U938" s="4"/>
      <c r="V938" s="4"/>
      <c r="W938" s="4"/>
    </row>
    <row r="939" ht="15.75" customHeight="1">
      <c r="A939" s="13">
        <f t="shared" si="9"/>
        <v>936</v>
      </c>
      <c r="B939" s="18">
        <f>A939/'Orbit Info'!$G$10</f>
        <v>9.892882739</v>
      </c>
      <c r="C939" s="13">
        <f t="shared" si="2"/>
        <v>0</v>
      </c>
      <c r="D939" s="13">
        <f t="shared" si="3"/>
        <v>1</v>
      </c>
      <c r="E939" s="13">
        <f t="shared" si="4"/>
        <v>0</v>
      </c>
      <c r="F939" s="13">
        <f t="shared" si="5"/>
        <v>0</v>
      </c>
      <c r="G939" s="13">
        <f t="shared" si="6"/>
        <v>1</v>
      </c>
      <c r="H939" s="13">
        <f>'Orbit Info'!C938*((C939*$O$2)+(D939*$O$3)+(E939*$O$4)+(F939*$O$5))</f>
        <v>0</v>
      </c>
      <c r="I939" s="13">
        <f t="shared" si="7"/>
        <v>8.62426</v>
      </c>
      <c r="J939" s="18">
        <f t="shared" si="8"/>
        <v>-0.1437376667</v>
      </c>
      <c r="K939" s="18">
        <f t="shared" si="10"/>
        <v>84.46282067</v>
      </c>
      <c r="L939" s="4"/>
      <c r="M939" s="4"/>
      <c r="N939" s="4"/>
      <c r="O939" s="4"/>
      <c r="P939" s="4"/>
      <c r="Q939" s="4"/>
      <c r="R939" s="4"/>
      <c r="S939" s="4"/>
      <c r="T939" s="4"/>
      <c r="U939" s="4"/>
      <c r="V939" s="4"/>
      <c r="W939" s="4"/>
    </row>
    <row r="940" ht="15.75" customHeight="1">
      <c r="A940" s="13">
        <f t="shared" si="9"/>
        <v>937</v>
      </c>
      <c r="B940" s="18">
        <f>A940/'Orbit Info'!$G$10</f>
        <v>9.903452058</v>
      </c>
      <c r="C940" s="13">
        <f t="shared" si="2"/>
        <v>0</v>
      </c>
      <c r="D940" s="13">
        <f t="shared" si="3"/>
        <v>1</v>
      </c>
      <c r="E940" s="13">
        <f t="shared" si="4"/>
        <v>0</v>
      </c>
      <c r="F940" s="13">
        <f t="shared" si="5"/>
        <v>0</v>
      </c>
      <c r="G940" s="13">
        <f t="shared" si="6"/>
        <v>1</v>
      </c>
      <c r="H940" s="13">
        <f>'Orbit Info'!C939*((C940*$O$2)+(D940*$O$3)+(E940*$O$4)+(F940*$O$5))</f>
        <v>0</v>
      </c>
      <c r="I940" s="13">
        <f t="shared" si="7"/>
        <v>8.62426</v>
      </c>
      <c r="J940" s="18">
        <f t="shared" si="8"/>
        <v>-0.1437376667</v>
      </c>
      <c r="K940" s="18">
        <f t="shared" si="10"/>
        <v>84.319083</v>
      </c>
      <c r="L940" s="4"/>
      <c r="M940" s="4"/>
      <c r="N940" s="4"/>
      <c r="O940" s="4"/>
      <c r="P940" s="4"/>
      <c r="Q940" s="4"/>
      <c r="R940" s="4"/>
      <c r="S940" s="4"/>
      <c r="T940" s="4"/>
      <c r="U940" s="4"/>
      <c r="V940" s="4"/>
      <c r="W940" s="4"/>
    </row>
    <row r="941" ht="15.75" customHeight="1">
      <c r="A941" s="13">
        <f t="shared" si="9"/>
        <v>938</v>
      </c>
      <c r="B941" s="18">
        <f>A941/'Orbit Info'!$G$10</f>
        <v>9.914021378</v>
      </c>
      <c r="C941" s="13">
        <f t="shared" si="2"/>
        <v>0</v>
      </c>
      <c r="D941" s="13">
        <f t="shared" si="3"/>
        <v>1</v>
      </c>
      <c r="E941" s="13">
        <f t="shared" si="4"/>
        <v>0</v>
      </c>
      <c r="F941" s="13">
        <f t="shared" si="5"/>
        <v>0</v>
      </c>
      <c r="G941" s="13">
        <f t="shared" si="6"/>
        <v>1</v>
      </c>
      <c r="H941" s="13">
        <f>'Orbit Info'!C940*((C941*$O$2)+(D941*$O$3)+(E941*$O$4)+(F941*$O$5))</f>
        <v>0</v>
      </c>
      <c r="I941" s="13">
        <f t="shared" si="7"/>
        <v>8.62426</v>
      </c>
      <c r="J941" s="18">
        <f t="shared" si="8"/>
        <v>-0.1437376667</v>
      </c>
      <c r="K941" s="18">
        <f t="shared" si="10"/>
        <v>84.17534533</v>
      </c>
      <c r="L941" s="4"/>
      <c r="M941" s="4"/>
      <c r="N941" s="4"/>
      <c r="O941" s="4"/>
      <c r="P941" s="4"/>
      <c r="Q941" s="4"/>
      <c r="R941" s="4"/>
      <c r="S941" s="4"/>
      <c r="T941" s="4"/>
      <c r="U941" s="4"/>
      <c r="V941" s="4"/>
      <c r="W941" s="4"/>
    </row>
    <row r="942" ht="15.75" customHeight="1">
      <c r="A942" s="13">
        <f t="shared" si="9"/>
        <v>939</v>
      </c>
      <c r="B942" s="18">
        <f>A942/'Orbit Info'!$G$10</f>
        <v>9.924590697</v>
      </c>
      <c r="C942" s="13">
        <f t="shared" si="2"/>
        <v>0</v>
      </c>
      <c r="D942" s="13">
        <f t="shared" si="3"/>
        <v>1</v>
      </c>
      <c r="E942" s="13">
        <f t="shared" si="4"/>
        <v>0</v>
      </c>
      <c r="F942" s="13">
        <f t="shared" si="5"/>
        <v>0</v>
      </c>
      <c r="G942" s="13">
        <f t="shared" si="6"/>
        <v>1</v>
      </c>
      <c r="H942" s="13">
        <f>'Orbit Info'!C941*((C942*$O$2)+(D942*$O$3)+(E942*$O$4)+(F942*$O$5))</f>
        <v>0</v>
      </c>
      <c r="I942" s="13">
        <f t="shared" si="7"/>
        <v>8.62426</v>
      </c>
      <c r="J942" s="18">
        <f t="shared" si="8"/>
        <v>-0.1437376667</v>
      </c>
      <c r="K942" s="18">
        <f t="shared" si="10"/>
        <v>84.03160767</v>
      </c>
      <c r="L942" s="4"/>
      <c r="M942" s="4"/>
      <c r="N942" s="4"/>
      <c r="O942" s="4"/>
      <c r="P942" s="4"/>
      <c r="Q942" s="4"/>
      <c r="R942" s="4"/>
      <c r="S942" s="4"/>
      <c r="T942" s="4"/>
      <c r="U942" s="4"/>
      <c r="V942" s="4"/>
      <c r="W942" s="4"/>
    </row>
    <row r="943" ht="15.75" customHeight="1">
      <c r="A943" s="13">
        <f t="shared" si="9"/>
        <v>940</v>
      </c>
      <c r="B943" s="18">
        <f>A943/'Orbit Info'!$G$10</f>
        <v>9.935160016</v>
      </c>
      <c r="C943" s="13">
        <f t="shared" si="2"/>
        <v>0</v>
      </c>
      <c r="D943" s="13">
        <f t="shared" si="3"/>
        <v>1</v>
      </c>
      <c r="E943" s="13">
        <f t="shared" si="4"/>
        <v>0</v>
      </c>
      <c r="F943" s="13">
        <f t="shared" si="5"/>
        <v>0</v>
      </c>
      <c r="G943" s="13">
        <f t="shared" si="6"/>
        <v>1</v>
      </c>
      <c r="H943" s="13">
        <f>'Orbit Info'!C942*((C943*$O$2)+(D943*$O$3)+(E943*$O$4)+(F943*$O$5))</f>
        <v>0</v>
      </c>
      <c r="I943" s="13">
        <f t="shared" si="7"/>
        <v>8.62426</v>
      </c>
      <c r="J943" s="18">
        <f t="shared" si="8"/>
        <v>-0.1437376667</v>
      </c>
      <c r="K943" s="18">
        <f t="shared" si="10"/>
        <v>83.88787</v>
      </c>
      <c r="L943" s="4"/>
      <c r="M943" s="4"/>
      <c r="N943" s="4"/>
      <c r="O943" s="4"/>
      <c r="P943" s="4"/>
      <c r="Q943" s="4"/>
      <c r="R943" s="4"/>
      <c r="S943" s="4"/>
      <c r="T943" s="4"/>
      <c r="U943" s="4"/>
      <c r="V943" s="4"/>
      <c r="W943" s="4"/>
    </row>
    <row r="944" ht="15.75" customHeight="1">
      <c r="A944" s="13">
        <f t="shared" si="9"/>
        <v>941</v>
      </c>
      <c r="B944" s="18">
        <f>A944/'Orbit Info'!$G$10</f>
        <v>9.945729335</v>
      </c>
      <c r="C944" s="13">
        <f t="shared" si="2"/>
        <v>0</v>
      </c>
      <c r="D944" s="13">
        <f t="shared" si="3"/>
        <v>1</v>
      </c>
      <c r="E944" s="13">
        <f t="shared" si="4"/>
        <v>0</v>
      </c>
      <c r="F944" s="13">
        <f t="shared" si="5"/>
        <v>0</v>
      </c>
      <c r="G944" s="13">
        <f t="shared" si="6"/>
        <v>1</v>
      </c>
      <c r="H944" s="13">
        <f>'Orbit Info'!C943*((C944*$O$2)+(D944*$O$3)+(E944*$O$4)+(F944*$O$5))</f>
        <v>0</v>
      </c>
      <c r="I944" s="13">
        <f t="shared" si="7"/>
        <v>8.62426</v>
      </c>
      <c r="J944" s="18">
        <f t="shared" si="8"/>
        <v>-0.1437376667</v>
      </c>
      <c r="K944" s="18">
        <f t="shared" si="10"/>
        <v>83.74413233</v>
      </c>
      <c r="L944" s="4"/>
      <c r="M944" s="4"/>
      <c r="N944" s="4"/>
      <c r="O944" s="4"/>
      <c r="P944" s="4"/>
      <c r="Q944" s="4"/>
      <c r="R944" s="4"/>
      <c r="S944" s="4"/>
      <c r="T944" s="4"/>
      <c r="U944" s="4"/>
      <c r="V944" s="4"/>
      <c r="W944" s="4"/>
    </row>
    <row r="945" ht="15.75" customHeight="1">
      <c r="A945" s="13">
        <f t="shared" si="9"/>
        <v>942</v>
      </c>
      <c r="B945" s="18">
        <f>A945/'Orbit Info'!$G$10</f>
        <v>9.956298654</v>
      </c>
      <c r="C945" s="13">
        <f t="shared" si="2"/>
        <v>0</v>
      </c>
      <c r="D945" s="13">
        <f t="shared" si="3"/>
        <v>1</v>
      </c>
      <c r="E945" s="13">
        <f t="shared" si="4"/>
        <v>0</v>
      </c>
      <c r="F945" s="13">
        <f t="shared" si="5"/>
        <v>0</v>
      </c>
      <c r="G945" s="13">
        <f t="shared" si="6"/>
        <v>1</v>
      </c>
      <c r="H945" s="13">
        <f>'Orbit Info'!C944*((C945*$O$2)+(D945*$O$3)+(E945*$O$4)+(F945*$O$5))</f>
        <v>0</v>
      </c>
      <c r="I945" s="13">
        <f t="shared" si="7"/>
        <v>8.62426</v>
      </c>
      <c r="J945" s="18">
        <f t="shared" si="8"/>
        <v>-0.1437376667</v>
      </c>
      <c r="K945" s="18">
        <f t="shared" si="10"/>
        <v>83.60039467</v>
      </c>
      <c r="L945" s="4"/>
      <c r="M945" s="4"/>
      <c r="N945" s="4"/>
      <c r="O945" s="4"/>
      <c r="P945" s="4"/>
      <c r="Q945" s="4"/>
      <c r="R945" s="4"/>
      <c r="S945" s="4"/>
      <c r="T945" s="4"/>
      <c r="U945" s="4"/>
      <c r="V945" s="4"/>
      <c r="W945" s="4"/>
    </row>
    <row r="946" ht="15.75" customHeight="1">
      <c r="A946" s="13">
        <f t="shared" si="9"/>
        <v>943</v>
      </c>
      <c r="B946" s="18">
        <f>A946/'Orbit Info'!$G$10</f>
        <v>9.966867973</v>
      </c>
      <c r="C946" s="13">
        <f t="shared" si="2"/>
        <v>0</v>
      </c>
      <c r="D946" s="13">
        <f t="shared" si="3"/>
        <v>1</v>
      </c>
      <c r="E946" s="13">
        <f t="shared" si="4"/>
        <v>0</v>
      </c>
      <c r="F946" s="13">
        <f t="shared" si="5"/>
        <v>0</v>
      </c>
      <c r="G946" s="13">
        <f t="shared" si="6"/>
        <v>1</v>
      </c>
      <c r="H946" s="13">
        <f>'Orbit Info'!C945*((C946*$O$2)+(D946*$O$3)+(E946*$O$4)+(F946*$O$5))</f>
        <v>0</v>
      </c>
      <c r="I946" s="13">
        <f t="shared" si="7"/>
        <v>8.62426</v>
      </c>
      <c r="J946" s="18">
        <f t="shared" si="8"/>
        <v>-0.1437376667</v>
      </c>
      <c r="K946" s="18">
        <f t="shared" si="10"/>
        <v>83.456657</v>
      </c>
      <c r="L946" s="4"/>
      <c r="M946" s="4"/>
      <c r="N946" s="4"/>
      <c r="O946" s="4"/>
      <c r="P946" s="4"/>
      <c r="Q946" s="4"/>
      <c r="R946" s="4"/>
      <c r="S946" s="4"/>
      <c r="T946" s="4"/>
      <c r="U946" s="4"/>
      <c r="V946" s="4"/>
      <c r="W946" s="4"/>
    </row>
    <row r="947" ht="15.75" customHeight="1">
      <c r="A947" s="13">
        <f t="shared" si="9"/>
        <v>944</v>
      </c>
      <c r="B947" s="18">
        <f>A947/'Orbit Info'!$G$10</f>
        <v>9.977437293</v>
      </c>
      <c r="C947" s="13">
        <f t="shared" si="2"/>
        <v>0</v>
      </c>
      <c r="D947" s="13">
        <f t="shared" si="3"/>
        <v>1</v>
      </c>
      <c r="E947" s="13">
        <f t="shared" si="4"/>
        <v>0</v>
      </c>
      <c r="F947" s="13">
        <f t="shared" si="5"/>
        <v>0</v>
      </c>
      <c r="G947" s="13">
        <f t="shared" si="6"/>
        <v>1</v>
      </c>
      <c r="H947" s="13">
        <f>'Orbit Info'!C946*((C947*$O$2)+(D947*$O$3)+(E947*$O$4)+(F947*$O$5))</f>
        <v>0</v>
      </c>
      <c r="I947" s="13">
        <f t="shared" si="7"/>
        <v>8.62426</v>
      </c>
      <c r="J947" s="18">
        <f t="shared" si="8"/>
        <v>-0.1437376667</v>
      </c>
      <c r="K947" s="18">
        <f t="shared" si="10"/>
        <v>83.31291933</v>
      </c>
      <c r="L947" s="4"/>
      <c r="M947" s="4"/>
      <c r="N947" s="4"/>
      <c r="O947" s="4"/>
      <c r="P947" s="4"/>
      <c r="Q947" s="4"/>
      <c r="R947" s="4"/>
      <c r="S947" s="4"/>
      <c r="T947" s="4"/>
      <c r="U947" s="4"/>
      <c r="V947" s="4"/>
      <c r="W947" s="4"/>
    </row>
    <row r="948" ht="15.75" customHeight="1">
      <c r="A948" s="13">
        <f t="shared" si="9"/>
        <v>945</v>
      </c>
      <c r="B948" s="18">
        <f>A948/'Orbit Info'!$G$10</f>
        <v>9.988006612</v>
      </c>
      <c r="C948" s="13">
        <f t="shared" si="2"/>
        <v>0</v>
      </c>
      <c r="D948" s="13">
        <f t="shared" si="3"/>
        <v>1</v>
      </c>
      <c r="E948" s="13">
        <f t="shared" si="4"/>
        <v>0</v>
      </c>
      <c r="F948" s="13">
        <f t="shared" si="5"/>
        <v>0</v>
      </c>
      <c r="G948" s="13">
        <f t="shared" si="6"/>
        <v>1</v>
      </c>
      <c r="H948" s="13">
        <f>'Orbit Info'!C947*((C948*$O$2)+(D948*$O$3)+(E948*$O$4)+(F948*$O$5))</f>
        <v>0</v>
      </c>
      <c r="I948" s="13">
        <f t="shared" si="7"/>
        <v>8.62426</v>
      </c>
      <c r="J948" s="18">
        <f t="shared" si="8"/>
        <v>-0.1437376667</v>
      </c>
      <c r="K948" s="18">
        <f t="shared" si="10"/>
        <v>83.16918167</v>
      </c>
      <c r="L948" s="4"/>
      <c r="M948" s="4"/>
      <c r="N948" s="4"/>
      <c r="O948" s="4"/>
      <c r="P948" s="4"/>
      <c r="Q948" s="4"/>
      <c r="R948" s="4"/>
      <c r="S948" s="4"/>
      <c r="T948" s="4"/>
      <c r="U948" s="4"/>
      <c r="V948" s="4"/>
      <c r="W948" s="4"/>
    </row>
    <row r="949" ht="15.75" customHeight="1">
      <c r="A949" s="13">
        <f t="shared" si="9"/>
        <v>946</v>
      </c>
      <c r="B949" s="18">
        <f>A949/'Orbit Info'!$G$10</f>
        <v>9.998575931</v>
      </c>
      <c r="C949" s="13">
        <f t="shared" si="2"/>
        <v>0</v>
      </c>
      <c r="D949" s="13">
        <f t="shared" si="3"/>
        <v>1</v>
      </c>
      <c r="E949" s="13">
        <f t="shared" si="4"/>
        <v>0</v>
      </c>
      <c r="F949" s="13">
        <f t="shared" si="5"/>
        <v>0</v>
      </c>
      <c r="G949" s="13">
        <f t="shared" si="6"/>
        <v>1</v>
      </c>
      <c r="H949" s="13">
        <f>'Orbit Info'!C948*((C949*$O$2)+(D949*$O$3)+(E949*$O$4)+(F949*$O$5))</f>
        <v>0</v>
      </c>
      <c r="I949" s="13">
        <f t="shared" si="7"/>
        <v>8.62426</v>
      </c>
      <c r="J949" s="18">
        <f t="shared" si="8"/>
        <v>-0.1437376667</v>
      </c>
      <c r="K949" s="18">
        <f t="shared" si="10"/>
        <v>83.025444</v>
      </c>
      <c r="L949" s="4"/>
      <c r="M949" s="4"/>
      <c r="N949" s="4"/>
      <c r="O949" s="4"/>
      <c r="P949" s="4"/>
      <c r="Q949" s="4"/>
      <c r="R949" s="4"/>
      <c r="S949" s="4"/>
      <c r="T949" s="4"/>
      <c r="U949" s="4"/>
      <c r="V949" s="4"/>
      <c r="W949" s="4"/>
    </row>
    <row r="950" ht="15.75" customHeight="1">
      <c r="A950" s="13">
        <f t="shared" si="9"/>
        <v>947</v>
      </c>
      <c r="B950" s="18">
        <f>A950/'Orbit Info'!$G$10</f>
        <v>10.00914525</v>
      </c>
      <c r="C950" s="13">
        <f t="shared" si="2"/>
        <v>0</v>
      </c>
      <c r="D950" s="13">
        <f t="shared" si="3"/>
        <v>1</v>
      </c>
      <c r="E950" s="13">
        <f t="shared" si="4"/>
        <v>0</v>
      </c>
      <c r="F950" s="13">
        <f t="shared" si="5"/>
        <v>0</v>
      </c>
      <c r="G950" s="13">
        <f t="shared" si="6"/>
        <v>1</v>
      </c>
      <c r="H950" s="13">
        <f>'Orbit Info'!C949*((C950*$O$2)+(D950*$O$3)+(E950*$O$4)+(F950*$O$5))</f>
        <v>15.628032</v>
      </c>
      <c r="I950" s="13">
        <f t="shared" si="7"/>
        <v>8.62426</v>
      </c>
      <c r="J950" s="18">
        <f t="shared" si="8"/>
        <v>0.1167295333</v>
      </c>
      <c r="K950" s="18">
        <f t="shared" si="10"/>
        <v>83.14217353</v>
      </c>
      <c r="L950" s="4"/>
      <c r="M950" s="4"/>
      <c r="N950" s="4"/>
      <c r="O950" s="4"/>
      <c r="P950" s="4"/>
      <c r="Q950" s="4"/>
      <c r="R950" s="4"/>
      <c r="S950" s="4"/>
      <c r="T950" s="4"/>
      <c r="U950" s="4"/>
      <c r="V950" s="4"/>
      <c r="W950" s="4"/>
    </row>
    <row r="951" ht="15.75" customHeight="1">
      <c r="A951" s="13">
        <f t="shared" si="9"/>
        <v>948</v>
      </c>
      <c r="B951" s="18">
        <f>A951/'Orbit Info'!$G$10</f>
        <v>10.01971457</v>
      </c>
      <c r="C951" s="13">
        <f t="shared" si="2"/>
        <v>0</v>
      </c>
      <c r="D951" s="13">
        <f t="shared" si="3"/>
        <v>1</v>
      </c>
      <c r="E951" s="13">
        <f t="shared" si="4"/>
        <v>0</v>
      </c>
      <c r="F951" s="13">
        <f t="shared" si="5"/>
        <v>0</v>
      </c>
      <c r="G951" s="13">
        <f t="shared" si="6"/>
        <v>1</v>
      </c>
      <c r="H951" s="13">
        <f>'Orbit Info'!C950*((C951*$O$2)+(D951*$O$3)+(E951*$O$4)+(F951*$O$5))</f>
        <v>15.628032</v>
      </c>
      <c r="I951" s="13">
        <f t="shared" si="7"/>
        <v>8.62426</v>
      </c>
      <c r="J951" s="18">
        <f t="shared" si="8"/>
        <v>0.1167295333</v>
      </c>
      <c r="K951" s="18">
        <f t="shared" si="10"/>
        <v>83.25890307</v>
      </c>
      <c r="L951" s="4"/>
      <c r="M951" s="4"/>
      <c r="N951" s="4"/>
      <c r="O951" s="4"/>
      <c r="P951" s="4"/>
      <c r="Q951" s="4"/>
      <c r="R951" s="4"/>
      <c r="S951" s="4"/>
      <c r="T951" s="4"/>
      <c r="U951" s="4"/>
      <c r="V951" s="4"/>
      <c r="W951" s="4"/>
    </row>
    <row r="952" ht="15.75" customHeight="1">
      <c r="A952" s="13">
        <f t="shared" si="9"/>
        <v>949</v>
      </c>
      <c r="B952" s="18">
        <f>A952/'Orbit Info'!$G$10</f>
        <v>10.03028389</v>
      </c>
      <c r="C952" s="13">
        <f t="shared" si="2"/>
        <v>0</v>
      </c>
      <c r="D952" s="13">
        <f t="shared" si="3"/>
        <v>1</v>
      </c>
      <c r="E952" s="13">
        <f t="shared" si="4"/>
        <v>0</v>
      </c>
      <c r="F952" s="13">
        <f t="shared" si="5"/>
        <v>0</v>
      </c>
      <c r="G952" s="13">
        <f t="shared" si="6"/>
        <v>1</v>
      </c>
      <c r="H952" s="13">
        <f>'Orbit Info'!C951*((C952*$O$2)+(D952*$O$3)+(E952*$O$4)+(F952*$O$5))</f>
        <v>15.628032</v>
      </c>
      <c r="I952" s="13">
        <f t="shared" si="7"/>
        <v>8.62426</v>
      </c>
      <c r="J952" s="18">
        <f t="shared" si="8"/>
        <v>0.1167295333</v>
      </c>
      <c r="K952" s="18">
        <f t="shared" si="10"/>
        <v>83.3756326</v>
      </c>
      <c r="L952" s="4"/>
      <c r="M952" s="4"/>
      <c r="N952" s="4"/>
      <c r="O952" s="4"/>
      <c r="P952" s="4"/>
      <c r="Q952" s="4"/>
      <c r="R952" s="4"/>
      <c r="S952" s="4"/>
      <c r="T952" s="4"/>
      <c r="U952" s="4"/>
      <c r="V952" s="4"/>
      <c r="W952" s="4"/>
    </row>
    <row r="953" ht="15.75" customHeight="1">
      <c r="A953" s="13">
        <f t="shared" si="9"/>
        <v>950</v>
      </c>
      <c r="B953" s="18">
        <f>A953/'Orbit Info'!$G$10</f>
        <v>10.04085321</v>
      </c>
      <c r="C953" s="13">
        <f t="shared" si="2"/>
        <v>0</v>
      </c>
      <c r="D953" s="13">
        <f t="shared" si="3"/>
        <v>1</v>
      </c>
      <c r="E953" s="13">
        <f t="shared" si="4"/>
        <v>0</v>
      </c>
      <c r="F953" s="13">
        <f t="shared" si="5"/>
        <v>0</v>
      </c>
      <c r="G953" s="13">
        <f t="shared" si="6"/>
        <v>1</v>
      </c>
      <c r="H953" s="13">
        <f>'Orbit Info'!C952*((C953*$O$2)+(D953*$O$3)+(E953*$O$4)+(F953*$O$5))</f>
        <v>15.628032</v>
      </c>
      <c r="I953" s="13">
        <f t="shared" si="7"/>
        <v>8.62426</v>
      </c>
      <c r="J953" s="18">
        <f t="shared" si="8"/>
        <v>0.1167295333</v>
      </c>
      <c r="K953" s="18">
        <f t="shared" si="10"/>
        <v>83.49236213</v>
      </c>
      <c r="L953" s="4"/>
      <c r="M953" s="4"/>
      <c r="N953" s="4"/>
      <c r="O953" s="4"/>
      <c r="P953" s="4"/>
      <c r="Q953" s="4"/>
      <c r="R953" s="4"/>
      <c r="S953" s="4"/>
      <c r="T953" s="4"/>
      <c r="U953" s="4"/>
      <c r="V953" s="4"/>
      <c r="W953" s="4"/>
    </row>
    <row r="954" ht="15.75" customHeight="1">
      <c r="A954" s="13">
        <f t="shared" si="9"/>
        <v>951</v>
      </c>
      <c r="B954" s="18">
        <f>A954/'Orbit Info'!$G$10</f>
        <v>10.05142253</v>
      </c>
      <c r="C954" s="13">
        <f t="shared" si="2"/>
        <v>0</v>
      </c>
      <c r="D954" s="13">
        <f t="shared" si="3"/>
        <v>1</v>
      </c>
      <c r="E954" s="13">
        <f t="shared" si="4"/>
        <v>0</v>
      </c>
      <c r="F954" s="13">
        <f t="shared" si="5"/>
        <v>0</v>
      </c>
      <c r="G954" s="13">
        <f t="shared" si="6"/>
        <v>1</v>
      </c>
      <c r="H954" s="13">
        <f>'Orbit Info'!C953*((C954*$O$2)+(D954*$O$3)+(E954*$O$4)+(F954*$O$5))</f>
        <v>15.628032</v>
      </c>
      <c r="I954" s="13">
        <f t="shared" si="7"/>
        <v>8.62426</v>
      </c>
      <c r="J954" s="18">
        <f t="shared" si="8"/>
        <v>0.1167295333</v>
      </c>
      <c r="K954" s="18">
        <f t="shared" si="10"/>
        <v>83.60909167</v>
      </c>
      <c r="L954" s="4"/>
      <c r="M954" s="4"/>
      <c r="N954" s="4"/>
      <c r="O954" s="4"/>
      <c r="P954" s="4"/>
      <c r="Q954" s="4"/>
      <c r="R954" s="4"/>
      <c r="S954" s="4"/>
      <c r="T954" s="4"/>
      <c r="U954" s="4"/>
      <c r="V954" s="4"/>
      <c r="W954" s="4"/>
    </row>
    <row r="955" ht="15.75" customHeight="1">
      <c r="A955" s="13">
        <f t="shared" si="9"/>
        <v>952</v>
      </c>
      <c r="B955" s="18">
        <f>A955/'Orbit Info'!$G$10</f>
        <v>10.06199185</v>
      </c>
      <c r="C955" s="13">
        <f t="shared" si="2"/>
        <v>0</v>
      </c>
      <c r="D955" s="13">
        <f t="shared" si="3"/>
        <v>1</v>
      </c>
      <c r="E955" s="13">
        <f t="shared" si="4"/>
        <v>0</v>
      </c>
      <c r="F955" s="13">
        <f t="shared" si="5"/>
        <v>0</v>
      </c>
      <c r="G955" s="13">
        <f t="shared" si="6"/>
        <v>1</v>
      </c>
      <c r="H955" s="13">
        <f>'Orbit Info'!C954*((C955*$O$2)+(D955*$O$3)+(E955*$O$4)+(F955*$O$5))</f>
        <v>15.628032</v>
      </c>
      <c r="I955" s="13">
        <f t="shared" si="7"/>
        <v>8.62426</v>
      </c>
      <c r="J955" s="18">
        <f t="shared" si="8"/>
        <v>0.1167295333</v>
      </c>
      <c r="K955" s="18">
        <f t="shared" si="10"/>
        <v>83.7258212</v>
      </c>
      <c r="L955" s="4"/>
      <c r="M955" s="4"/>
      <c r="N955" s="4"/>
      <c r="O955" s="4"/>
      <c r="P955" s="4"/>
      <c r="Q955" s="4"/>
      <c r="R955" s="4"/>
      <c r="S955" s="4"/>
      <c r="T955" s="4"/>
      <c r="U955" s="4"/>
      <c r="V955" s="4"/>
      <c r="W955" s="4"/>
    </row>
    <row r="956" ht="15.75" customHeight="1">
      <c r="A956" s="13">
        <f t="shared" si="9"/>
        <v>953</v>
      </c>
      <c r="B956" s="18">
        <f>A956/'Orbit Info'!$G$10</f>
        <v>10.07256117</v>
      </c>
      <c r="C956" s="13">
        <f t="shared" si="2"/>
        <v>0</v>
      </c>
      <c r="D956" s="13">
        <f t="shared" si="3"/>
        <v>1</v>
      </c>
      <c r="E956" s="13">
        <f t="shared" si="4"/>
        <v>0</v>
      </c>
      <c r="F956" s="13">
        <f t="shared" si="5"/>
        <v>0</v>
      </c>
      <c r="G956" s="13">
        <f t="shared" si="6"/>
        <v>1</v>
      </c>
      <c r="H956" s="13">
        <f>'Orbit Info'!C955*((C956*$O$2)+(D956*$O$3)+(E956*$O$4)+(F956*$O$5))</f>
        <v>15.628032</v>
      </c>
      <c r="I956" s="13">
        <f t="shared" si="7"/>
        <v>8.62426</v>
      </c>
      <c r="J956" s="18">
        <f t="shared" si="8"/>
        <v>0.1167295333</v>
      </c>
      <c r="K956" s="18">
        <f t="shared" si="10"/>
        <v>83.84255073</v>
      </c>
      <c r="L956" s="4"/>
      <c r="M956" s="4"/>
      <c r="N956" s="4"/>
      <c r="O956" s="4"/>
      <c r="P956" s="4"/>
      <c r="Q956" s="4"/>
      <c r="R956" s="4"/>
      <c r="S956" s="4"/>
      <c r="T956" s="4"/>
      <c r="U956" s="4"/>
      <c r="V956" s="4"/>
      <c r="W956" s="4"/>
    </row>
    <row r="957" ht="15.75" customHeight="1">
      <c r="A957" s="13">
        <f t="shared" si="9"/>
        <v>954</v>
      </c>
      <c r="B957" s="18">
        <f>A957/'Orbit Info'!$G$10</f>
        <v>10.08313048</v>
      </c>
      <c r="C957" s="13">
        <f t="shared" si="2"/>
        <v>0</v>
      </c>
      <c r="D957" s="13">
        <f t="shared" si="3"/>
        <v>1</v>
      </c>
      <c r="E957" s="13">
        <f t="shared" si="4"/>
        <v>0</v>
      </c>
      <c r="F957" s="13">
        <f t="shared" si="5"/>
        <v>0</v>
      </c>
      <c r="G957" s="13">
        <f t="shared" si="6"/>
        <v>1</v>
      </c>
      <c r="H957" s="13">
        <f>'Orbit Info'!C956*((C957*$O$2)+(D957*$O$3)+(E957*$O$4)+(F957*$O$5))</f>
        <v>15.628032</v>
      </c>
      <c r="I957" s="13">
        <f t="shared" si="7"/>
        <v>8.62426</v>
      </c>
      <c r="J957" s="18">
        <f t="shared" si="8"/>
        <v>0.1167295333</v>
      </c>
      <c r="K957" s="18">
        <f t="shared" si="10"/>
        <v>83.95928027</v>
      </c>
      <c r="L957" s="4"/>
      <c r="M957" s="4"/>
      <c r="N957" s="4"/>
      <c r="O957" s="4"/>
      <c r="P957" s="4"/>
      <c r="Q957" s="4"/>
      <c r="R957" s="4"/>
      <c r="S957" s="4"/>
      <c r="T957" s="4"/>
      <c r="U957" s="4"/>
      <c r="V957" s="4"/>
      <c r="W957" s="4"/>
    </row>
    <row r="958" ht="15.75" customHeight="1">
      <c r="A958" s="13">
        <f t="shared" si="9"/>
        <v>955</v>
      </c>
      <c r="B958" s="18">
        <f>A958/'Orbit Info'!$G$10</f>
        <v>10.0936998</v>
      </c>
      <c r="C958" s="13">
        <f t="shared" si="2"/>
        <v>0</v>
      </c>
      <c r="D958" s="13">
        <f t="shared" si="3"/>
        <v>1</v>
      </c>
      <c r="E958" s="13">
        <f t="shared" si="4"/>
        <v>0</v>
      </c>
      <c r="F958" s="13">
        <f t="shared" si="5"/>
        <v>0</v>
      </c>
      <c r="G958" s="13">
        <f t="shared" si="6"/>
        <v>1</v>
      </c>
      <c r="H958" s="13">
        <f>'Orbit Info'!C957*((C958*$O$2)+(D958*$O$3)+(E958*$O$4)+(F958*$O$5))</f>
        <v>15.628032</v>
      </c>
      <c r="I958" s="13">
        <f t="shared" si="7"/>
        <v>8.62426</v>
      </c>
      <c r="J958" s="18">
        <f t="shared" si="8"/>
        <v>0.1167295333</v>
      </c>
      <c r="K958" s="18">
        <f t="shared" si="10"/>
        <v>84.0760098</v>
      </c>
      <c r="L958" s="4"/>
      <c r="M958" s="4"/>
      <c r="N958" s="4"/>
      <c r="O958" s="4"/>
      <c r="P958" s="4"/>
      <c r="Q958" s="4"/>
      <c r="R958" s="4"/>
      <c r="S958" s="4"/>
      <c r="T958" s="4"/>
      <c r="U958" s="4"/>
      <c r="V958" s="4"/>
      <c r="W958" s="4"/>
    </row>
    <row r="959" ht="15.75" customHeight="1">
      <c r="A959" s="13">
        <f t="shared" si="9"/>
        <v>956</v>
      </c>
      <c r="B959" s="18">
        <f>A959/'Orbit Info'!$G$10</f>
        <v>10.10426912</v>
      </c>
      <c r="C959" s="13">
        <f t="shared" si="2"/>
        <v>0</v>
      </c>
      <c r="D959" s="13">
        <f t="shared" si="3"/>
        <v>1</v>
      </c>
      <c r="E959" s="13">
        <f t="shared" si="4"/>
        <v>0</v>
      </c>
      <c r="F959" s="13">
        <f t="shared" si="5"/>
        <v>0</v>
      </c>
      <c r="G959" s="13">
        <f t="shared" si="6"/>
        <v>1</v>
      </c>
      <c r="H959" s="13">
        <f>'Orbit Info'!C958*((C959*$O$2)+(D959*$O$3)+(E959*$O$4)+(F959*$O$5))</f>
        <v>15.628032</v>
      </c>
      <c r="I959" s="13">
        <f t="shared" si="7"/>
        <v>8.62426</v>
      </c>
      <c r="J959" s="18">
        <f t="shared" si="8"/>
        <v>0.1167295333</v>
      </c>
      <c r="K959" s="18">
        <f t="shared" si="10"/>
        <v>84.19273933</v>
      </c>
      <c r="L959" s="4"/>
      <c r="M959" s="4"/>
      <c r="N959" s="4"/>
      <c r="O959" s="4"/>
      <c r="P959" s="4"/>
      <c r="Q959" s="4"/>
      <c r="R959" s="4"/>
      <c r="S959" s="4"/>
      <c r="T959" s="4"/>
      <c r="U959" s="4"/>
      <c r="V959" s="4"/>
      <c r="W959" s="4"/>
    </row>
    <row r="960" ht="15.75" customHeight="1">
      <c r="A960" s="13">
        <f t="shared" si="9"/>
        <v>957</v>
      </c>
      <c r="B960" s="18">
        <f>A960/'Orbit Info'!$G$10</f>
        <v>10.11483844</v>
      </c>
      <c r="C960" s="13">
        <f t="shared" si="2"/>
        <v>0</v>
      </c>
      <c r="D960" s="13">
        <f t="shared" si="3"/>
        <v>1</v>
      </c>
      <c r="E960" s="13">
        <f t="shared" si="4"/>
        <v>0</v>
      </c>
      <c r="F960" s="13">
        <f t="shared" si="5"/>
        <v>0</v>
      </c>
      <c r="G960" s="13">
        <f t="shared" si="6"/>
        <v>1</v>
      </c>
      <c r="H960" s="13">
        <f>'Orbit Info'!C959*((C960*$O$2)+(D960*$O$3)+(E960*$O$4)+(F960*$O$5))</f>
        <v>15.628032</v>
      </c>
      <c r="I960" s="13">
        <f t="shared" si="7"/>
        <v>8.62426</v>
      </c>
      <c r="J960" s="18">
        <f t="shared" si="8"/>
        <v>0.1167295333</v>
      </c>
      <c r="K960" s="18">
        <f t="shared" si="10"/>
        <v>84.30946887</v>
      </c>
      <c r="L960" s="4"/>
      <c r="M960" s="4"/>
      <c r="N960" s="4"/>
      <c r="O960" s="4"/>
      <c r="P960" s="4"/>
      <c r="Q960" s="4"/>
      <c r="R960" s="4"/>
      <c r="S960" s="4"/>
      <c r="T960" s="4"/>
      <c r="U960" s="4"/>
      <c r="V960" s="4"/>
      <c r="W960" s="4"/>
    </row>
    <row r="961" ht="15.75" customHeight="1">
      <c r="A961" s="13">
        <f t="shared" si="9"/>
        <v>958</v>
      </c>
      <c r="B961" s="18">
        <f>A961/'Orbit Info'!$G$10</f>
        <v>10.12540776</v>
      </c>
      <c r="C961" s="13">
        <f t="shared" si="2"/>
        <v>0</v>
      </c>
      <c r="D961" s="13">
        <f t="shared" si="3"/>
        <v>1</v>
      </c>
      <c r="E961" s="13">
        <f t="shared" si="4"/>
        <v>0</v>
      </c>
      <c r="F961" s="13">
        <f t="shared" si="5"/>
        <v>0</v>
      </c>
      <c r="G961" s="13">
        <f t="shared" si="6"/>
        <v>1</v>
      </c>
      <c r="H961" s="13">
        <f>'Orbit Info'!C960*((C961*$O$2)+(D961*$O$3)+(E961*$O$4)+(F961*$O$5))</f>
        <v>15.628032</v>
      </c>
      <c r="I961" s="13">
        <f t="shared" si="7"/>
        <v>8.62426</v>
      </c>
      <c r="J961" s="18">
        <f t="shared" si="8"/>
        <v>0.1167295333</v>
      </c>
      <c r="K961" s="18">
        <f t="shared" si="10"/>
        <v>84.4261984</v>
      </c>
      <c r="L961" s="4"/>
      <c r="M961" s="4"/>
      <c r="N961" s="4"/>
      <c r="O961" s="4"/>
      <c r="P961" s="4"/>
      <c r="Q961" s="4"/>
      <c r="R961" s="4"/>
      <c r="S961" s="4"/>
      <c r="T961" s="4"/>
      <c r="U961" s="4"/>
      <c r="V961" s="4"/>
      <c r="W961" s="4"/>
    </row>
    <row r="962" ht="15.75" customHeight="1">
      <c r="A962" s="13">
        <f t="shared" si="9"/>
        <v>959</v>
      </c>
      <c r="B962" s="18">
        <f>A962/'Orbit Info'!$G$10</f>
        <v>10.13597708</v>
      </c>
      <c r="C962" s="13">
        <f t="shared" si="2"/>
        <v>0</v>
      </c>
      <c r="D962" s="13">
        <f t="shared" si="3"/>
        <v>1</v>
      </c>
      <c r="E962" s="13">
        <f t="shared" si="4"/>
        <v>0</v>
      </c>
      <c r="F962" s="13">
        <f t="shared" si="5"/>
        <v>0</v>
      </c>
      <c r="G962" s="13">
        <f t="shared" si="6"/>
        <v>1</v>
      </c>
      <c r="H962" s="13">
        <f>'Orbit Info'!C961*((C962*$O$2)+(D962*$O$3)+(E962*$O$4)+(F962*$O$5))</f>
        <v>15.628032</v>
      </c>
      <c r="I962" s="13">
        <f t="shared" si="7"/>
        <v>8.62426</v>
      </c>
      <c r="J962" s="18">
        <f t="shared" si="8"/>
        <v>0.1167295333</v>
      </c>
      <c r="K962" s="18">
        <f t="shared" si="10"/>
        <v>84.54292793</v>
      </c>
      <c r="L962" s="4"/>
      <c r="M962" s="4"/>
      <c r="N962" s="4"/>
      <c r="O962" s="4"/>
      <c r="P962" s="4"/>
      <c r="Q962" s="4"/>
      <c r="R962" s="4"/>
      <c r="S962" s="4"/>
      <c r="T962" s="4"/>
      <c r="U962" s="4"/>
      <c r="V962" s="4"/>
      <c r="W962" s="4"/>
    </row>
    <row r="963" ht="15.75" customHeight="1">
      <c r="A963" s="13">
        <f t="shared" si="9"/>
        <v>960</v>
      </c>
      <c r="B963" s="18">
        <f>A963/'Orbit Info'!$G$10</f>
        <v>10.1465464</v>
      </c>
      <c r="C963" s="13">
        <f t="shared" si="2"/>
        <v>0</v>
      </c>
      <c r="D963" s="13">
        <f t="shared" si="3"/>
        <v>1</v>
      </c>
      <c r="E963" s="13">
        <f t="shared" si="4"/>
        <v>0</v>
      </c>
      <c r="F963" s="13">
        <f t="shared" si="5"/>
        <v>0</v>
      </c>
      <c r="G963" s="13">
        <f t="shared" si="6"/>
        <v>1</v>
      </c>
      <c r="H963" s="13">
        <f>'Orbit Info'!C962*((C963*$O$2)+(D963*$O$3)+(E963*$O$4)+(F963*$O$5))</f>
        <v>15.628032</v>
      </c>
      <c r="I963" s="13">
        <f t="shared" si="7"/>
        <v>8.62426</v>
      </c>
      <c r="J963" s="18">
        <f t="shared" si="8"/>
        <v>0.1167295333</v>
      </c>
      <c r="K963" s="18">
        <f t="shared" si="10"/>
        <v>84.65965747</v>
      </c>
      <c r="L963" s="4"/>
      <c r="M963" s="4"/>
      <c r="N963" s="4"/>
      <c r="O963" s="4"/>
      <c r="P963" s="4"/>
      <c r="Q963" s="4"/>
      <c r="R963" s="4"/>
      <c r="S963" s="4"/>
      <c r="T963" s="4"/>
      <c r="U963" s="4"/>
      <c r="V963" s="4"/>
      <c r="W963" s="4"/>
    </row>
    <row r="964" ht="15.75" customHeight="1">
      <c r="A964" s="13">
        <f t="shared" si="9"/>
        <v>961</v>
      </c>
      <c r="B964" s="18">
        <f>A964/'Orbit Info'!$G$10</f>
        <v>10.15711572</v>
      </c>
      <c r="C964" s="13">
        <f t="shared" si="2"/>
        <v>0</v>
      </c>
      <c r="D964" s="13">
        <f t="shared" si="3"/>
        <v>1</v>
      </c>
      <c r="E964" s="13">
        <f t="shared" si="4"/>
        <v>0</v>
      </c>
      <c r="F964" s="13">
        <f t="shared" si="5"/>
        <v>0</v>
      </c>
      <c r="G964" s="13">
        <f t="shared" si="6"/>
        <v>1</v>
      </c>
      <c r="H964" s="13">
        <f>'Orbit Info'!C963*((C964*$O$2)+(D964*$O$3)+(E964*$O$4)+(F964*$O$5))</f>
        <v>15.628032</v>
      </c>
      <c r="I964" s="13">
        <f t="shared" si="7"/>
        <v>8.62426</v>
      </c>
      <c r="J964" s="18">
        <f t="shared" si="8"/>
        <v>0.1167295333</v>
      </c>
      <c r="K964" s="18">
        <f t="shared" si="10"/>
        <v>84.776387</v>
      </c>
      <c r="L964" s="4"/>
      <c r="M964" s="4"/>
      <c r="N964" s="4"/>
      <c r="O964" s="4"/>
      <c r="P964" s="4"/>
      <c r="Q964" s="4"/>
      <c r="R964" s="4"/>
      <c r="S964" s="4"/>
      <c r="T964" s="4"/>
      <c r="U964" s="4"/>
      <c r="V964" s="4"/>
      <c r="W964" s="4"/>
    </row>
    <row r="965" ht="15.75" customHeight="1">
      <c r="A965" s="13">
        <f t="shared" si="9"/>
        <v>962</v>
      </c>
      <c r="B965" s="18">
        <f>A965/'Orbit Info'!$G$10</f>
        <v>10.16768504</v>
      </c>
      <c r="C965" s="13">
        <f t="shared" si="2"/>
        <v>0</v>
      </c>
      <c r="D965" s="13">
        <f t="shared" si="3"/>
        <v>1</v>
      </c>
      <c r="E965" s="13">
        <f t="shared" si="4"/>
        <v>0</v>
      </c>
      <c r="F965" s="13">
        <f t="shared" si="5"/>
        <v>0</v>
      </c>
      <c r="G965" s="13">
        <f t="shared" si="6"/>
        <v>1</v>
      </c>
      <c r="H965" s="13">
        <f>'Orbit Info'!C964*((C965*$O$2)+(D965*$O$3)+(E965*$O$4)+(F965*$O$5))</f>
        <v>15.628032</v>
      </c>
      <c r="I965" s="13">
        <f t="shared" si="7"/>
        <v>8.62426</v>
      </c>
      <c r="J965" s="18">
        <f t="shared" si="8"/>
        <v>0.1167295333</v>
      </c>
      <c r="K965" s="18">
        <f t="shared" si="10"/>
        <v>84.89311653</v>
      </c>
      <c r="L965" s="4"/>
      <c r="M965" s="4"/>
      <c r="N965" s="4"/>
      <c r="O965" s="4"/>
      <c r="P965" s="4"/>
      <c r="Q965" s="4"/>
      <c r="R965" s="4"/>
      <c r="S965" s="4"/>
      <c r="T965" s="4"/>
      <c r="U965" s="4"/>
      <c r="V965" s="4"/>
      <c r="W965" s="4"/>
    </row>
    <row r="966" ht="15.75" customHeight="1">
      <c r="A966" s="13">
        <f t="shared" si="9"/>
        <v>963</v>
      </c>
      <c r="B966" s="18">
        <f>A966/'Orbit Info'!$G$10</f>
        <v>10.17825436</v>
      </c>
      <c r="C966" s="13">
        <f t="shared" si="2"/>
        <v>0</v>
      </c>
      <c r="D966" s="13">
        <f t="shared" si="3"/>
        <v>1</v>
      </c>
      <c r="E966" s="13">
        <f t="shared" si="4"/>
        <v>0</v>
      </c>
      <c r="F966" s="13">
        <f t="shared" si="5"/>
        <v>0</v>
      </c>
      <c r="G966" s="13">
        <f t="shared" si="6"/>
        <v>1</v>
      </c>
      <c r="H966" s="13">
        <f>'Orbit Info'!C965*((C966*$O$2)+(D966*$O$3)+(E966*$O$4)+(F966*$O$5))</f>
        <v>15.628032</v>
      </c>
      <c r="I966" s="13">
        <f t="shared" si="7"/>
        <v>8.62426</v>
      </c>
      <c r="J966" s="18">
        <f t="shared" si="8"/>
        <v>0.1167295333</v>
      </c>
      <c r="K966" s="18">
        <f t="shared" si="10"/>
        <v>85.00984607</v>
      </c>
      <c r="L966" s="4"/>
      <c r="M966" s="4"/>
      <c r="N966" s="4"/>
      <c r="O966" s="4"/>
      <c r="P966" s="4"/>
      <c r="Q966" s="4"/>
      <c r="R966" s="4"/>
      <c r="S966" s="4"/>
      <c r="T966" s="4"/>
      <c r="U966" s="4"/>
      <c r="V966" s="4"/>
      <c r="W966" s="4"/>
    </row>
    <row r="967" ht="15.75" customHeight="1">
      <c r="A967" s="13">
        <f t="shared" si="9"/>
        <v>964</v>
      </c>
      <c r="B967" s="18">
        <f>A967/'Orbit Info'!$G$10</f>
        <v>10.18882368</v>
      </c>
      <c r="C967" s="13">
        <f t="shared" si="2"/>
        <v>0</v>
      </c>
      <c r="D967" s="13">
        <f t="shared" si="3"/>
        <v>1</v>
      </c>
      <c r="E967" s="13">
        <f t="shared" si="4"/>
        <v>0</v>
      </c>
      <c r="F967" s="13">
        <f t="shared" si="5"/>
        <v>0</v>
      </c>
      <c r="G967" s="13">
        <f t="shared" si="6"/>
        <v>1</v>
      </c>
      <c r="H967" s="13">
        <f>'Orbit Info'!C966*((C967*$O$2)+(D967*$O$3)+(E967*$O$4)+(F967*$O$5))</f>
        <v>15.628032</v>
      </c>
      <c r="I967" s="13">
        <f t="shared" si="7"/>
        <v>8.62426</v>
      </c>
      <c r="J967" s="18">
        <f t="shared" si="8"/>
        <v>0.1167295333</v>
      </c>
      <c r="K967" s="18">
        <f t="shared" si="10"/>
        <v>85.1265756</v>
      </c>
      <c r="L967" s="4"/>
      <c r="M967" s="4"/>
      <c r="N967" s="4"/>
      <c r="O967" s="4"/>
      <c r="P967" s="4"/>
      <c r="Q967" s="4"/>
      <c r="R967" s="4"/>
      <c r="S967" s="4"/>
      <c r="T967" s="4"/>
      <c r="U967" s="4"/>
      <c r="V967" s="4"/>
      <c r="W967" s="4"/>
    </row>
    <row r="968" ht="15.75" customHeight="1">
      <c r="A968" s="13">
        <f t="shared" si="9"/>
        <v>965</v>
      </c>
      <c r="B968" s="18">
        <f>A968/'Orbit Info'!$G$10</f>
        <v>10.199393</v>
      </c>
      <c r="C968" s="13">
        <f t="shared" si="2"/>
        <v>0</v>
      </c>
      <c r="D968" s="13">
        <f t="shared" si="3"/>
        <v>1</v>
      </c>
      <c r="E968" s="13">
        <f t="shared" si="4"/>
        <v>0</v>
      </c>
      <c r="F968" s="13">
        <f t="shared" si="5"/>
        <v>0</v>
      </c>
      <c r="G968" s="13">
        <f t="shared" si="6"/>
        <v>1</v>
      </c>
      <c r="H968" s="13">
        <f>'Orbit Info'!C967*((C968*$O$2)+(D968*$O$3)+(E968*$O$4)+(F968*$O$5))</f>
        <v>15.628032</v>
      </c>
      <c r="I968" s="13">
        <f t="shared" si="7"/>
        <v>8.62426</v>
      </c>
      <c r="J968" s="18">
        <f t="shared" si="8"/>
        <v>0.1167295333</v>
      </c>
      <c r="K968" s="18">
        <f t="shared" si="10"/>
        <v>85.24330513</v>
      </c>
      <c r="L968" s="4"/>
      <c r="M968" s="4"/>
      <c r="N968" s="4"/>
      <c r="O968" s="4"/>
      <c r="P968" s="4"/>
      <c r="Q968" s="4"/>
      <c r="R968" s="4"/>
      <c r="S968" s="4"/>
      <c r="T968" s="4"/>
      <c r="U968" s="4"/>
      <c r="V968" s="4"/>
      <c r="W968" s="4"/>
    </row>
    <row r="969" ht="15.75" customHeight="1">
      <c r="A969" s="13">
        <f t="shared" si="9"/>
        <v>966</v>
      </c>
      <c r="B969" s="18">
        <f>A969/'Orbit Info'!$G$10</f>
        <v>10.20996231</v>
      </c>
      <c r="C969" s="13">
        <f t="shared" si="2"/>
        <v>0</v>
      </c>
      <c r="D969" s="13">
        <f t="shared" si="3"/>
        <v>1</v>
      </c>
      <c r="E969" s="13">
        <f t="shared" si="4"/>
        <v>0</v>
      </c>
      <c r="F969" s="13">
        <f t="shared" si="5"/>
        <v>0</v>
      </c>
      <c r="G969" s="13">
        <f t="shared" si="6"/>
        <v>1</v>
      </c>
      <c r="H969" s="13">
        <f>'Orbit Info'!C968*((C969*$O$2)+(D969*$O$3)+(E969*$O$4)+(F969*$O$5))</f>
        <v>15.628032</v>
      </c>
      <c r="I969" s="13">
        <f t="shared" si="7"/>
        <v>8.62426</v>
      </c>
      <c r="J969" s="18">
        <f t="shared" si="8"/>
        <v>0.1167295333</v>
      </c>
      <c r="K969" s="18">
        <f t="shared" si="10"/>
        <v>85.36003467</v>
      </c>
      <c r="L969" s="4"/>
      <c r="M969" s="4"/>
      <c r="N969" s="4"/>
      <c r="O969" s="4"/>
      <c r="P969" s="4"/>
      <c r="Q969" s="4"/>
      <c r="R969" s="4"/>
      <c r="S969" s="4"/>
      <c r="T969" s="4"/>
      <c r="U969" s="4"/>
      <c r="V969" s="4"/>
      <c r="W969" s="4"/>
    </row>
    <row r="970" ht="15.75" customHeight="1">
      <c r="A970" s="13">
        <f t="shared" si="9"/>
        <v>967</v>
      </c>
      <c r="B970" s="18">
        <f>A970/'Orbit Info'!$G$10</f>
        <v>10.22053163</v>
      </c>
      <c r="C970" s="13">
        <f t="shared" si="2"/>
        <v>0</v>
      </c>
      <c r="D970" s="13">
        <f t="shared" si="3"/>
        <v>1</v>
      </c>
      <c r="E970" s="13">
        <f t="shared" si="4"/>
        <v>0</v>
      </c>
      <c r="F970" s="13">
        <f t="shared" si="5"/>
        <v>0</v>
      </c>
      <c r="G970" s="13">
        <f t="shared" si="6"/>
        <v>1</v>
      </c>
      <c r="H970" s="13">
        <f>'Orbit Info'!C969*((C970*$O$2)+(D970*$O$3)+(E970*$O$4)+(F970*$O$5))</f>
        <v>15.628032</v>
      </c>
      <c r="I970" s="13">
        <f t="shared" si="7"/>
        <v>8.62426</v>
      </c>
      <c r="J970" s="18">
        <f t="shared" si="8"/>
        <v>0.1167295333</v>
      </c>
      <c r="K970" s="18">
        <f t="shared" si="10"/>
        <v>85.4767642</v>
      </c>
      <c r="L970" s="4"/>
      <c r="M970" s="4"/>
      <c r="N970" s="4"/>
      <c r="O970" s="4"/>
      <c r="P970" s="4"/>
      <c r="Q970" s="4"/>
      <c r="R970" s="4"/>
      <c r="S970" s="4"/>
      <c r="T970" s="4"/>
      <c r="U970" s="4"/>
      <c r="V970" s="4"/>
      <c r="W970" s="4"/>
    </row>
    <row r="971" ht="15.75" customHeight="1">
      <c r="A971" s="13">
        <f t="shared" si="9"/>
        <v>968</v>
      </c>
      <c r="B971" s="18">
        <f>A971/'Orbit Info'!$G$10</f>
        <v>10.23110095</v>
      </c>
      <c r="C971" s="13">
        <f t="shared" si="2"/>
        <v>0</v>
      </c>
      <c r="D971" s="13">
        <f t="shared" si="3"/>
        <v>1</v>
      </c>
      <c r="E971" s="13">
        <f t="shared" si="4"/>
        <v>0</v>
      </c>
      <c r="F971" s="13">
        <f t="shared" si="5"/>
        <v>0</v>
      </c>
      <c r="G971" s="13">
        <f t="shared" si="6"/>
        <v>1</v>
      </c>
      <c r="H971" s="13">
        <f>'Orbit Info'!C970*((C971*$O$2)+(D971*$O$3)+(E971*$O$4)+(F971*$O$5))</f>
        <v>15.628032</v>
      </c>
      <c r="I971" s="13">
        <f t="shared" si="7"/>
        <v>8.62426</v>
      </c>
      <c r="J971" s="18">
        <f t="shared" si="8"/>
        <v>0.1167295333</v>
      </c>
      <c r="K971" s="18">
        <f t="shared" si="10"/>
        <v>85.59349373</v>
      </c>
      <c r="L971" s="4"/>
      <c r="M971" s="4"/>
      <c r="N971" s="4"/>
      <c r="O971" s="4"/>
      <c r="P971" s="4"/>
      <c r="Q971" s="4"/>
      <c r="R971" s="4"/>
      <c r="S971" s="4"/>
      <c r="T971" s="4"/>
      <c r="U971" s="4"/>
      <c r="V971" s="4"/>
      <c r="W971" s="4"/>
    </row>
    <row r="972" ht="15.75" customHeight="1">
      <c r="A972" s="13">
        <f t="shared" si="9"/>
        <v>969</v>
      </c>
      <c r="B972" s="18">
        <f>A972/'Orbit Info'!$G$10</f>
        <v>10.24167027</v>
      </c>
      <c r="C972" s="13">
        <f t="shared" si="2"/>
        <v>0</v>
      </c>
      <c r="D972" s="13">
        <f t="shared" si="3"/>
        <v>1</v>
      </c>
      <c r="E972" s="13">
        <f t="shared" si="4"/>
        <v>0</v>
      </c>
      <c r="F972" s="13">
        <f t="shared" si="5"/>
        <v>0</v>
      </c>
      <c r="G972" s="13">
        <f t="shared" si="6"/>
        <v>1</v>
      </c>
      <c r="H972" s="13">
        <f>'Orbit Info'!C971*((C972*$O$2)+(D972*$O$3)+(E972*$O$4)+(F972*$O$5))</f>
        <v>15.628032</v>
      </c>
      <c r="I972" s="13">
        <f t="shared" si="7"/>
        <v>8.62426</v>
      </c>
      <c r="J972" s="18">
        <f t="shared" si="8"/>
        <v>0.1167295333</v>
      </c>
      <c r="K972" s="18">
        <f t="shared" si="10"/>
        <v>85.71022327</v>
      </c>
      <c r="L972" s="4"/>
      <c r="M972" s="4"/>
      <c r="N972" s="4"/>
      <c r="O972" s="4"/>
      <c r="P972" s="4"/>
      <c r="Q972" s="4"/>
      <c r="R972" s="4"/>
      <c r="S972" s="4"/>
      <c r="T972" s="4"/>
      <c r="U972" s="4"/>
      <c r="V972" s="4"/>
      <c r="W972" s="4"/>
    </row>
    <row r="973" ht="15.75" customHeight="1">
      <c r="A973" s="13">
        <f t="shared" si="9"/>
        <v>970</v>
      </c>
      <c r="B973" s="18">
        <f>A973/'Orbit Info'!$G$10</f>
        <v>10.25223959</v>
      </c>
      <c r="C973" s="13">
        <f t="shared" si="2"/>
        <v>0</v>
      </c>
      <c r="D973" s="13">
        <f t="shared" si="3"/>
        <v>1</v>
      </c>
      <c r="E973" s="13">
        <f t="shared" si="4"/>
        <v>0</v>
      </c>
      <c r="F973" s="13">
        <f t="shared" si="5"/>
        <v>0</v>
      </c>
      <c r="G973" s="13">
        <f t="shared" si="6"/>
        <v>1</v>
      </c>
      <c r="H973" s="13">
        <f>'Orbit Info'!C972*((C973*$O$2)+(D973*$O$3)+(E973*$O$4)+(F973*$O$5))</f>
        <v>15.628032</v>
      </c>
      <c r="I973" s="13">
        <f t="shared" si="7"/>
        <v>8.62426</v>
      </c>
      <c r="J973" s="18">
        <f t="shared" si="8"/>
        <v>0.1167295333</v>
      </c>
      <c r="K973" s="18">
        <f t="shared" si="10"/>
        <v>85.8269528</v>
      </c>
      <c r="L973" s="4"/>
      <c r="M973" s="4"/>
      <c r="N973" s="4"/>
      <c r="O973" s="4"/>
      <c r="P973" s="4"/>
      <c r="Q973" s="4"/>
      <c r="R973" s="4"/>
      <c r="S973" s="4"/>
      <c r="T973" s="4"/>
      <c r="U973" s="4"/>
      <c r="V973" s="4"/>
      <c r="W973" s="4"/>
    </row>
    <row r="974" ht="15.75" customHeight="1">
      <c r="A974" s="13">
        <f t="shared" si="9"/>
        <v>971</v>
      </c>
      <c r="B974" s="18">
        <f>A974/'Orbit Info'!$G$10</f>
        <v>10.26280891</v>
      </c>
      <c r="C974" s="13">
        <f t="shared" si="2"/>
        <v>0</v>
      </c>
      <c r="D974" s="13">
        <f t="shared" si="3"/>
        <v>1</v>
      </c>
      <c r="E974" s="13">
        <f t="shared" si="4"/>
        <v>0</v>
      </c>
      <c r="F974" s="13">
        <f t="shared" si="5"/>
        <v>0</v>
      </c>
      <c r="G974" s="13">
        <f t="shared" si="6"/>
        <v>1</v>
      </c>
      <c r="H974" s="13">
        <f>'Orbit Info'!C973*((C974*$O$2)+(D974*$O$3)+(E974*$O$4)+(F974*$O$5))</f>
        <v>15.628032</v>
      </c>
      <c r="I974" s="13">
        <f t="shared" si="7"/>
        <v>8.62426</v>
      </c>
      <c r="J974" s="18">
        <f t="shared" si="8"/>
        <v>0.1167295333</v>
      </c>
      <c r="K974" s="18">
        <f t="shared" si="10"/>
        <v>85.94368233</v>
      </c>
      <c r="L974" s="4"/>
      <c r="M974" s="4"/>
      <c r="N974" s="4"/>
      <c r="O974" s="4"/>
      <c r="P974" s="4"/>
      <c r="Q974" s="4"/>
      <c r="R974" s="4"/>
      <c r="S974" s="4"/>
      <c r="T974" s="4"/>
      <c r="U974" s="4"/>
      <c r="V974" s="4"/>
      <c r="W974" s="4"/>
    </row>
    <row r="975" ht="15.75" customHeight="1">
      <c r="A975" s="13">
        <f t="shared" si="9"/>
        <v>972</v>
      </c>
      <c r="B975" s="18">
        <f>A975/'Orbit Info'!$G$10</f>
        <v>10.27337823</v>
      </c>
      <c r="C975" s="13">
        <f t="shared" si="2"/>
        <v>0</v>
      </c>
      <c r="D975" s="13">
        <f t="shared" si="3"/>
        <v>1</v>
      </c>
      <c r="E975" s="13">
        <f t="shared" si="4"/>
        <v>0</v>
      </c>
      <c r="F975" s="13">
        <f t="shared" si="5"/>
        <v>0</v>
      </c>
      <c r="G975" s="13">
        <f t="shared" si="6"/>
        <v>1</v>
      </c>
      <c r="H975" s="13">
        <f>'Orbit Info'!C974*((C975*$O$2)+(D975*$O$3)+(E975*$O$4)+(F975*$O$5))</f>
        <v>15.628032</v>
      </c>
      <c r="I975" s="13">
        <f t="shared" si="7"/>
        <v>8.62426</v>
      </c>
      <c r="J975" s="18">
        <f t="shared" si="8"/>
        <v>0.1167295333</v>
      </c>
      <c r="K975" s="18">
        <f t="shared" si="10"/>
        <v>86.06041187</v>
      </c>
      <c r="L975" s="4"/>
      <c r="M975" s="4"/>
      <c r="N975" s="4"/>
      <c r="O975" s="4"/>
      <c r="P975" s="4"/>
      <c r="Q975" s="4"/>
      <c r="R975" s="4"/>
      <c r="S975" s="4"/>
      <c r="T975" s="4"/>
      <c r="U975" s="4"/>
      <c r="V975" s="4"/>
      <c r="W975" s="4"/>
    </row>
    <row r="976" ht="15.75" customHeight="1">
      <c r="A976" s="13">
        <f t="shared" si="9"/>
        <v>973</v>
      </c>
      <c r="B976" s="18">
        <f>A976/'Orbit Info'!$G$10</f>
        <v>10.28394755</v>
      </c>
      <c r="C976" s="13">
        <f t="shared" si="2"/>
        <v>0</v>
      </c>
      <c r="D976" s="13">
        <f t="shared" si="3"/>
        <v>1</v>
      </c>
      <c r="E976" s="13">
        <f t="shared" si="4"/>
        <v>0</v>
      </c>
      <c r="F976" s="13">
        <f t="shared" si="5"/>
        <v>0</v>
      </c>
      <c r="G976" s="13">
        <f t="shared" si="6"/>
        <v>1</v>
      </c>
      <c r="H976" s="13">
        <f>'Orbit Info'!C975*((C976*$O$2)+(D976*$O$3)+(E976*$O$4)+(F976*$O$5))</f>
        <v>15.628032</v>
      </c>
      <c r="I976" s="13">
        <f t="shared" si="7"/>
        <v>8.62426</v>
      </c>
      <c r="J976" s="18">
        <f t="shared" si="8"/>
        <v>0.1167295333</v>
      </c>
      <c r="K976" s="18">
        <f t="shared" si="10"/>
        <v>86.1771414</v>
      </c>
      <c r="L976" s="4"/>
      <c r="M976" s="4"/>
      <c r="N976" s="4"/>
      <c r="O976" s="4"/>
      <c r="P976" s="4"/>
      <c r="Q976" s="4"/>
      <c r="R976" s="4"/>
      <c r="S976" s="4"/>
      <c r="T976" s="4"/>
      <c r="U976" s="4"/>
      <c r="V976" s="4"/>
      <c r="W976" s="4"/>
    </row>
    <row r="977" ht="15.75" customHeight="1">
      <c r="A977" s="13">
        <f t="shared" si="9"/>
        <v>974</v>
      </c>
      <c r="B977" s="18">
        <f>A977/'Orbit Info'!$G$10</f>
        <v>10.29451687</v>
      </c>
      <c r="C977" s="13">
        <f t="shared" si="2"/>
        <v>0</v>
      </c>
      <c r="D977" s="13">
        <f t="shared" si="3"/>
        <v>1</v>
      </c>
      <c r="E977" s="13">
        <f t="shared" si="4"/>
        <v>0</v>
      </c>
      <c r="F977" s="13">
        <f t="shared" si="5"/>
        <v>0</v>
      </c>
      <c r="G977" s="13">
        <f t="shared" si="6"/>
        <v>1</v>
      </c>
      <c r="H977" s="13">
        <f>'Orbit Info'!C976*((C977*$O$2)+(D977*$O$3)+(E977*$O$4)+(F977*$O$5))</f>
        <v>15.628032</v>
      </c>
      <c r="I977" s="13">
        <f t="shared" si="7"/>
        <v>8.62426</v>
      </c>
      <c r="J977" s="18">
        <f t="shared" si="8"/>
        <v>0.1167295333</v>
      </c>
      <c r="K977" s="18">
        <f t="shared" si="10"/>
        <v>86.29387093</v>
      </c>
      <c r="L977" s="4"/>
      <c r="M977" s="4"/>
      <c r="N977" s="4"/>
      <c r="O977" s="4"/>
      <c r="P977" s="4"/>
      <c r="Q977" s="4"/>
      <c r="R977" s="4"/>
      <c r="S977" s="4"/>
      <c r="T977" s="4"/>
      <c r="U977" s="4"/>
      <c r="V977" s="4"/>
      <c r="W977" s="4"/>
    </row>
    <row r="978" ht="15.75" customHeight="1">
      <c r="A978" s="13">
        <f t="shared" si="9"/>
        <v>975</v>
      </c>
      <c r="B978" s="18">
        <f>A978/'Orbit Info'!$G$10</f>
        <v>10.30508619</v>
      </c>
      <c r="C978" s="13">
        <f t="shared" si="2"/>
        <v>0</v>
      </c>
      <c r="D978" s="13">
        <f t="shared" si="3"/>
        <v>1</v>
      </c>
      <c r="E978" s="13">
        <f t="shared" si="4"/>
        <v>0</v>
      </c>
      <c r="F978" s="13">
        <f t="shared" si="5"/>
        <v>0</v>
      </c>
      <c r="G978" s="13">
        <f t="shared" si="6"/>
        <v>1</v>
      </c>
      <c r="H978" s="13">
        <f>'Orbit Info'!C977*((C978*$O$2)+(D978*$O$3)+(E978*$O$4)+(F978*$O$5))</f>
        <v>15.628032</v>
      </c>
      <c r="I978" s="13">
        <f t="shared" si="7"/>
        <v>8.62426</v>
      </c>
      <c r="J978" s="18">
        <f t="shared" si="8"/>
        <v>0.1167295333</v>
      </c>
      <c r="K978" s="18">
        <f t="shared" si="10"/>
        <v>86.41060047</v>
      </c>
      <c r="L978" s="4"/>
      <c r="M978" s="4"/>
      <c r="N978" s="4"/>
      <c r="O978" s="4"/>
      <c r="P978" s="4"/>
      <c r="Q978" s="4"/>
      <c r="R978" s="4"/>
      <c r="S978" s="4"/>
      <c r="T978" s="4"/>
      <c r="U978" s="4"/>
      <c r="V978" s="4"/>
      <c r="W978" s="4"/>
    </row>
    <row r="979" ht="15.75" customHeight="1">
      <c r="A979" s="13">
        <f t="shared" si="9"/>
        <v>976</v>
      </c>
      <c r="B979" s="18">
        <f>A979/'Orbit Info'!$G$10</f>
        <v>10.31565551</v>
      </c>
      <c r="C979" s="13">
        <f t="shared" si="2"/>
        <v>0</v>
      </c>
      <c r="D979" s="13">
        <f t="shared" si="3"/>
        <v>1</v>
      </c>
      <c r="E979" s="13">
        <f t="shared" si="4"/>
        <v>0</v>
      </c>
      <c r="F979" s="13">
        <f t="shared" si="5"/>
        <v>0</v>
      </c>
      <c r="G979" s="13">
        <f t="shared" si="6"/>
        <v>1</v>
      </c>
      <c r="H979" s="13">
        <f>'Orbit Info'!C978*((C979*$O$2)+(D979*$O$3)+(E979*$O$4)+(F979*$O$5))</f>
        <v>15.628032</v>
      </c>
      <c r="I979" s="13">
        <f t="shared" si="7"/>
        <v>8.62426</v>
      </c>
      <c r="J979" s="18">
        <f t="shared" si="8"/>
        <v>0.1167295333</v>
      </c>
      <c r="K979" s="18">
        <f t="shared" si="10"/>
        <v>86.52733</v>
      </c>
      <c r="L979" s="4"/>
      <c r="M979" s="4"/>
      <c r="N979" s="4"/>
      <c r="O979" s="4"/>
      <c r="P979" s="4"/>
      <c r="Q979" s="4"/>
      <c r="R979" s="4"/>
      <c r="S979" s="4"/>
      <c r="T979" s="4"/>
      <c r="U979" s="4"/>
      <c r="V979" s="4"/>
      <c r="W979" s="4"/>
    </row>
    <row r="980" ht="15.75" customHeight="1">
      <c r="A980" s="13">
        <f t="shared" si="9"/>
        <v>977</v>
      </c>
      <c r="B980" s="18">
        <f>A980/'Orbit Info'!$G$10</f>
        <v>10.32622483</v>
      </c>
      <c r="C980" s="13">
        <f t="shared" si="2"/>
        <v>0</v>
      </c>
      <c r="D980" s="13">
        <f t="shared" si="3"/>
        <v>1</v>
      </c>
      <c r="E980" s="13">
        <f t="shared" si="4"/>
        <v>0</v>
      </c>
      <c r="F980" s="13">
        <f t="shared" si="5"/>
        <v>0</v>
      </c>
      <c r="G980" s="13">
        <f t="shared" si="6"/>
        <v>1</v>
      </c>
      <c r="H980" s="13">
        <f>'Orbit Info'!C979*((C980*$O$2)+(D980*$O$3)+(E980*$O$4)+(F980*$O$5))</f>
        <v>15.628032</v>
      </c>
      <c r="I980" s="13">
        <f t="shared" si="7"/>
        <v>8.62426</v>
      </c>
      <c r="J980" s="18">
        <f t="shared" si="8"/>
        <v>0.1167295333</v>
      </c>
      <c r="K980" s="18">
        <f t="shared" si="10"/>
        <v>86.64405953</v>
      </c>
      <c r="L980" s="4"/>
      <c r="M980" s="4"/>
      <c r="N980" s="4"/>
      <c r="O980" s="4"/>
      <c r="P980" s="4"/>
      <c r="Q980" s="4"/>
      <c r="R980" s="4"/>
      <c r="S980" s="4"/>
      <c r="T980" s="4"/>
      <c r="U980" s="4"/>
      <c r="V980" s="4"/>
      <c r="W980" s="4"/>
    </row>
    <row r="981" ht="15.75" customHeight="1">
      <c r="A981" s="13">
        <f t="shared" si="9"/>
        <v>978</v>
      </c>
      <c r="B981" s="18">
        <f>A981/'Orbit Info'!$G$10</f>
        <v>10.33679414</v>
      </c>
      <c r="C981" s="13">
        <f t="shared" si="2"/>
        <v>0</v>
      </c>
      <c r="D981" s="13">
        <f t="shared" si="3"/>
        <v>1</v>
      </c>
      <c r="E981" s="13">
        <f t="shared" si="4"/>
        <v>0</v>
      </c>
      <c r="F981" s="13">
        <f t="shared" si="5"/>
        <v>0</v>
      </c>
      <c r="G981" s="13">
        <f t="shared" si="6"/>
        <v>1</v>
      </c>
      <c r="H981" s="13">
        <f>'Orbit Info'!C980*((C981*$O$2)+(D981*$O$3)+(E981*$O$4)+(F981*$O$5))</f>
        <v>15.628032</v>
      </c>
      <c r="I981" s="13">
        <f t="shared" si="7"/>
        <v>8.62426</v>
      </c>
      <c r="J981" s="18">
        <f t="shared" si="8"/>
        <v>0.1167295333</v>
      </c>
      <c r="K981" s="18">
        <f t="shared" si="10"/>
        <v>86.76078907</v>
      </c>
      <c r="L981" s="4"/>
      <c r="M981" s="4"/>
      <c r="N981" s="4"/>
      <c r="O981" s="4"/>
      <c r="P981" s="4"/>
      <c r="Q981" s="4"/>
      <c r="R981" s="4"/>
      <c r="S981" s="4"/>
      <c r="T981" s="4"/>
      <c r="U981" s="4"/>
      <c r="V981" s="4"/>
      <c r="W981" s="4"/>
    </row>
    <row r="982" ht="15.75" customHeight="1">
      <c r="A982" s="13">
        <f t="shared" si="9"/>
        <v>979</v>
      </c>
      <c r="B982" s="18">
        <f>A982/'Orbit Info'!$G$10</f>
        <v>10.34736346</v>
      </c>
      <c r="C982" s="13">
        <f t="shared" si="2"/>
        <v>0</v>
      </c>
      <c r="D982" s="13">
        <f t="shared" si="3"/>
        <v>1</v>
      </c>
      <c r="E982" s="13">
        <f t="shared" si="4"/>
        <v>0</v>
      </c>
      <c r="F982" s="13">
        <f t="shared" si="5"/>
        <v>0</v>
      </c>
      <c r="G982" s="13">
        <f t="shared" si="6"/>
        <v>1</v>
      </c>
      <c r="H982" s="13">
        <f>'Orbit Info'!C981*((C982*$O$2)+(D982*$O$3)+(E982*$O$4)+(F982*$O$5))</f>
        <v>15.628032</v>
      </c>
      <c r="I982" s="13">
        <f t="shared" si="7"/>
        <v>8.62426</v>
      </c>
      <c r="J982" s="18">
        <f t="shared" si="8"/>
        <v>0.1167295333</v>
      </c>
      <c r="K982" s="18">
        <f t="shared" si="10"/>
        <v>86.8775186</v>
      </c>
      <c r="L982" s="4"/>
      <c r="M982" s="4"/>
      <c r="N982" s="4"/>
      <c r="O982" s="4"/>
      <c r="P982" s="4"/>
      <c r="Q982" s="4"/>
      <c r="R982" s="4"/>
      <c r="S982" s="4"/>
      <c r="T982" s="4"/>
      <c r="U982" s="4"/>
      <c r="V982" s="4"/>
      <c r="W982" s="4"/>
    </row>
    <row r="983" ht="15.75" customHeight="1">
      <c r="A983" s="13">
        <f t="shared" si="9"/>
        <v>980</v>
      </c>
      <c r="B983" s="18">
        <f>A983/'Orbit Info'!$G$10</f>
        <v>10.35793278</v>
      </c>
      <c r="C983" s="13">
        <f t="shared" si="2"/>
        <v>0</v>
      </c>
      <c r="D983" s="13">
        <f t="shared" si="3"/>
        <v>1</v>
      </c>
      <c r="E983" s="13">
        <f t="shared" si="4"/>
        <v>0</v>
      </c>
      <c r="F983" s="13">
        <f t="shared" si="5"/>
        <v>0</v>
      </c>
      <c r="G983" s="13">
        <f t="shared" si="6"/>
        <v>1</v>
      </c>
      <c r="H983" s="13">
        <f>'Orbit Info'!C982*((C983*$O$2)+(D983*$O$3)+(E983*$O$4)+(F983*$O$5))</f>
        <v>15.628032</v>
      </c>
      <c r="I983" s="13">
        <f t="shared" si="7"/>
        <v>8.62426</v>
      </c>
      <c r="J983" s="18">
        <f t="shared" si="8"/>
        <v>0.1167295333</v>
      </c>
      <c r="K983" s="18">
        <f t="shared" si="10"/>
        <v>86.99424813</v>
      </c>
      <c r="L983" s="4"/>
      <c r="M983" s="4"/>
      <c r="N983" s="4"/>
      <c r="O983" s="4"/>
      <c r="P983" s="4"/>
      <c r="Q983" s="4"/>
      <c r="R983" s="4"/>
      <c r="S983" s="4"/>
      <c r="T983" s="4"/>
      <c r="U983" s="4"/>
      <c r="V983" s="4"/>
      <c r="W983" s="4"/>
    </row>
    <row r="984" ht="15.75" customHeight="1">
      <c r="A984" s="13">
        <f t="shared" si="9"/>
        <v>981</v>
      </c>
      <c r="B984" s="18">
        <f>A984/'Orbit Info'!$G$10</f>
        <v>10.3685021</v>
      </c>
      <c r="C984" s="13">
        <f t="shared" si="2"/>
        <v>0</v>
      </c>
      <c r="D984" s="13">
        <f t="shared" si="3"/>
        <v>1</v>
      </c>
      <c r="E984" s="13">
        <f t="shared" si="4"/>
        <v>0</v>
      </c>
      <c r="F984" s="13">
        <f t="shared" si="5"/>
        <v>0</v>
      </c>
      <c r="G984" s="13">
        <f t="shared" si="6"/>
        <v>1</v>
      </c>
      <c r="H984" s="13">
        <f>'Orbit Info'!C983*((C984*$O$2)+(D984*$O$3)+(E984*$O$4)+(F984*$O$5))</f>
        <v>15.628032</v>
      </c>
      <c r="I984" s="13">
        <f t="shared" si="7"/>
        <v>8.62426</v>
      </c>
      <c r="J984" s="18">
        <f t="shared" si="8"/>
        <v>0.1167295333</v>
      </c>
      <c r="K984" s="18">
        <f t="shared" si="10"/>
        <v>87.11097767</v>
      </c>
      <c r="L984" s="4"/>
      <c r="M984" s="4"/>
      <c r="N984" s="4"/>
      <c r="O984" s="4"/>
      <c r="P984" s="4"/>
      <c r="Q984" s="4"/>
      <c r="R984" s="4"/>
      <c r="S984" s="4"/>
      <c r="T984" s="4"/>
      <c r="U984" s="4"/>
      <c r="V984" s="4"/>
      <c r="W984" s="4"/>
    </row>
    <row r="985" ht="15.75" customHeight="1">
      <c r="A985" s="13">
        <f t="shared" si="9"/>
        <v>982</v>
      </c>
      <c r="B985" s="18">
        <f>A985/'Orbit Info'!$G$10</f>
        <v>10.37907142</v>
      </c>
      <c r="C985" s="13">
        <f t="shared" si="2"/>
        <v>0</v>
      </c>
      <c r="D985" s="13">
        <f t="shared" si="3"/>
        <v>1</v>
      </c>
      <c r="E985" s="13">
        <f t="shared" si="4"/>
        <v>0</v>
      </c>
      <c r="F985" s="13">
        <f t="shared" si="5"/>
        <v>0</v>
      </c>
      <c r="G985" s="13">
        <f t="shared" si="6"/>
        <v>1</v>
      </c>
      <c r="H985" s="13">
        <f>'Orbit Info'!C984*((C985*$O$2)+(D985*$O$3)+(E985*$O$4)+(F985*$O$5))</f>
        <v>15.628032</v>
      </c>
      <c r="I985" s="13">
        <f t="shared" si="7"/>
        <v>8.62426</v>
      </c>
      <c r="J985" s="18">
        <f t="shared" si="8"/>
        <v>0.1167295333</v>
      </c>
      <c r="K985" s="18">
        <f t="shared" si="10"/>
        <v>87.2277072</v>
      </c>
      <c r="L985" s="4"/>
      <c r="M985" s="4"/>
      <c r="N985" s="4"/>
      <c r="O985" s="4"/>
      <c r="P985" s="4"/>
      <c r="Q985" s="4"/>
      <c r="R985" s="4"/>
      <c r="S985" s="4"/>
      <c r="T985" s="4"/>
      <c r="U985" s="4"/>
      <c r="V985" s="4"/>
      <c r="W985" s="4"/>
    </row>
    <row r="986" ht="15.75" customHeight="1">
      <c r="A986" s="13">
        <f t="shared" si="9"/>
        <v>983</v>
      </c>
      <c r="B986" s="18">
        <f>A986/'Orbit Info'!$G$10</f>
        <v>10.38964074</v>
      </c>
      <c r="C986" s="13">
        <f t="shared" si="2"/>
        <v>0</v>
      </c>
      <c r="D986" s="13">
        <f t="shared" si="3"/>
        <v>1</v>
      </c>
      <c r="E986" s="13">
        <f t="shared" si="4"/>
        <v>0</v>
      </c>
      <c r="F986" s="13">
        <f t="shared" si="5"/>
        <v>0</v>
      </c>
      <c r="G986" s="13">
        <f t="shared" si="6"/>
        <v>1</v>
      </c>
      <c r="H986" s="13">
        <f>'Orbit Info'!C985*((C986*$O$2)+(D986*$O$3)+(E986*$O$4)+(F986*$O$5))</f>
        <v>15.628032</v>
      </c>
      <c r="I986" s="13">
        <f t="shared" si="7"/>
        <v>8.62426</v>
      </c>
      <c r="J986" s="18">
        <f t="shared" si="8"/>
        <v>0.1167295333</v>
      </c>
      <c r="K986" s="18">
        <f t="shared" si="10"/>
        <v>87.34443673</v>
      </c>
      <c r="L986" s="4"/>
      <c r="M986" s="4"/>
      <c r="N986" s="4"/>
      <c r="O986" s="4"/>
      <c r="P986" s="4"/>
      <c r="Q986" s="4"/>
      <c r="R986" s="4"/>
      <c r="S986" s="4"/>
      <c r="T986" s="4"/>
      <c r="U986" s="4"/>
      <c r="V986" s="4"/>
      <c r="W986" s="4"/>
    </row>
    <row r="987" ht="15.75" customHeight="1">
      <c r="A987" s="13">
        <f t="shared" si="9"/>
        <v>984</v>
      </c>
      <c r="B987" s="18">
        <f>A987/'Orbit Info'!$G$10</f>
        <v>10.40021006</v>
      </c>
      <c r="C987" s="13">
        <f t="shared" si="2"/>
        <v>0</v>
      </c>
      <c r="D987" s="13">
        <f t="shared" si="3"/>
        <v>1</v>
      </c>
      <c r="E987" s="13">
        <f t="shared" si="4"/>
        <v>0</v>
      </c>
      <c r="F987" s="13">
        <f t="shared" si="5"/>
        <v>0</v>
      </c>
      <c r="G987" s="13">
        <f t="shared" si="6"/>
        <v>1</v>
      </c>
      <c r="H987" s="13">
        <f>'Orbit Info'!C986*((C987*$O$2)+(D987*$O$3)+(E987*$O$4)+(F987*$O$5))</f>
        <v>15.628032</v>
      </c>
      <c r="I987" s="13">
        <f t="shared" si="7"/>
        <v>8.62426</v>
      </c>
      <c r="J987" s="18">
        <f t="shared" si="8"/>
        <v>0.1167295333</v>
      </c>
      <c r="K987" s="18">
        <f t="shared" si="10"/>
        <v>87.46116627</v>
      </c>
      <c r="L987" s="4"/>
      <c r="M987" s="4"/>
      <c r="N987" s="4"/>
      <c r="O987" s="4"/>
      <c r="P987" s="4"/>
      <c r="Q987" s="4"/>
      <c r="R987" s="4"/>
      <c r="S987" s="4"/>
      <c r="T987" s="4"/>
      <c r="U987" s="4"/>
      <c r="V987" s="4"/>
      <c r="W987" s="4"/>
    </row>
    <row r="988" ht="15.75" customHeight="1">
      <c r="A988" s="13">
        <f t="shared" si="9"/>
        <v>985</v>
      </c>
      <c r="B988" s="18">
        <f>A988/'Orbit Info'!$G$10</f>
        <v>10.41077938</v>
      </c>
      <c r="C988" s="13">
        <f t="shared" si="2"/>
        <v>0</v>
      </c>
      <c r="D988" s="13">
        <f t="shared" si="3"/>
        <v>1</v>
      </c>
      <c r="E988" s="13">
        <f t="shared" si="4"/>
        <v>0</v>
      </c>
      <c r="F988" s="13">
        <f t="shared" si="5"/>
        <v>0</v>
      </c>
      <c r="G988" s="13">
        <f t="shared" si="6"/>
        <v>1</v>
      </c>
      <c r="H988" s="13">
        <f>'Orbit Info'!C987*((C988*$O$2)+(D988*$O$3)+(E988*$O$4)+(F988*$O$5))</f>
        <v>15.628032</v>
      </c>
      <c r="I988" s="13">
        <f t="shared" si="7"/>
        <v>8.62426</v>
      </c>
      <c r="J988" s="18">
        <f t="shared" si="8"/>
        <v>0.1167295333</v>
      </c>
      <c r="K988" s="18">
        <f t="shared" si="10"/>
        <v>87.5778958</v>
      </c>
      <c r="L988" s="4"/>
      <c r="M988" s="4"/>
      <c r="N988" s="4"/>
      <c r="O988" s="4"/>
      <c r="P988" s="4"/>
      <c r="Q988" s="4"/>
      <c r="R988" s="4"/>
      <c r="S988" s="4"/>
      <c r="T988" s="4"/>
      <c r="U988" s="4"/>
      <c r="V988" s="4"/>
      <c r="W988" s="4"/>
    </row>
    <row r="989" ht="15.75" customHeight="1">
      <c r="A989" s="13">
        <f t="shared" si="9"/>
        <v>986</v>
      </c>
      <c r="B989" s="18">
        <f>A989/'Orbit Info'!$G$10</f>
        <v>10.4213487</v>
      </c>
      <c r="C989" s="13">
        <f t="shared" si="2"/>
        <v>0</v>
      </c>
      <c r="D989" s="13">
        <f t="shared" si="3"/>
        <v>1</v>
      </c>
      <c r="E989" s="13">
        <f t="shared" si="4"/>
        <v>0</v>
      </c>
      <c r="F989" s="13">
        <f t="shared" si="5"/>
        <v>0</v>
      </c>
      <c r="G989" s="13">
        <f t="shared" si="6"/>
        <v>1</v>
      </c>
      <c r="H989" s="13">
        <f>'Orbit Info'!C988*((C989*$O$2)+(D989*$O$3)+(E989*$O$4)+(F989*$O$5))</f>
        <v>15.628032</v>
      </c>
      <c r="I989" s="13">
        <f t="shared" si="7"/>
        <v>8.62426</v>
      </c>
      <c r="J989" s="18">
        <f t="shared" si="8"/>
        <v>0.1167295333</v>
      </c>
      <c r="K989" s="18">
        <f t="shared" si="10"/>
        <v>87.69462533</v>
      </c>
      <c r="L989" s="4"/>
      <c r="M989" s="4"/>
      <c r="N989" s="4"/>
      <c r="O989" s="4"/>
      <c r="P989" s="4"/>
      <c r="Q989" s="4"/>
      <c r="R989" s="4"/>
      <c r="S989" s="4"/>
      <c r="T989" s="4"/>
      <c r="U989" s="4"/>
      <c r="V989" s="4"/>
      <c r="W989" s="4"/>
    </row>
    <row r="990" ht="15.75" customHeight="1">
      <c r="A990" s="13">
        <f t="shared" si="9"/>
        <v>987</v>
      </c>
      <c r="B990" s="18">
        <f>A990/'Orbit Info'!$G$10</f>
        <v>10.43191802</v>
      </c>
      <c r="C990" s="13">
        <f t="shared" si="2"/>
        <v>0</v>
      </c>
      <c r="D990" s="13">
        <f t="shared" si="3"/>
        <v>1</v>
      </c>
      <c r="E990" s="13">
        <f t="shared" si="4"/>
        <v>0</v>
      </c>
      <c r="F990" s="13">
        <f t="shared" si="5"/>
        <v>0</v>
      </c>
      <c r="G990" s="13">
        <f t="shared" si="6"/>
        <v>1</v>
      </c>
      <c r="H990" s="13">
        <f>'Orbit Info'!C989*((C990*$O$2)+(D990*$O$3)+(E990*$O$4)+(F990*$O$5))</f>
        <v>15.628032</v>
      </c>
      <c r="I990" s="13">
        <f t="shared" si="7"/>
        <v>8.62426</v>
      </c>
      <c r="J990" s="18">
        <f t="shared" si="8"/>
        <v>0.1167295333</v>
      </c>
      <c r="K990" s="18">
        <f t="shared" si="10"/>
        <v>87.81135487</v>
      </c>
      <c r="L990" s="4"/>
      <c r="M990" s="4"/>
      <c r="N990" s="4"/>
      <c r="O990" s="4"/>
      <c r="P990" s="4"/>
      <c r="Q990" s="4"/>
      <c r="R990" s="4"/>
      <c r="S990" s="4"/>
      <c r="T990" s="4"/>
      <c r="U990" s="4"/>
      <c r="V990" s="4"/>
      <c r="W990" s="4"/>
    </row>
    <row r="991" ht="15.75" customHeight="1">
      <c r="A991" s="13">
        <f t="shared" si="9"/>
        <v>988</v>
      </c>
      <c r="B991" s="18">
        <f>A991/'Orbit Info'!$G$10</f>
        <v>10.44248734</v>
      </c>
      <c r="C991" s="13">
        <f t="shared" si="2"/>
        <v>0</v>
      </c>
      <c r="D991" s="13">
        <f t="shared" si="3"/>
        <v>1</v>
      </c>
      <c r="E991" s="13">
        <f t="shared" si="4"/>
        <v>0</v>
      </c>
      <c r="F991" s="13">
        <f t="shared" si="5"/>
        <v>0</v>
      </c>
      <c r="G991" s="13">
        <f t="shared" si="6"/>
        <v>1</v>
      </c>
      <c r="H991" s="13">
        <f>'Orbit Info'!C990*((C991*$O$2)+(D991*$O$3)+(E991*$O$4)+(F991*$O$5))</f>
        <v>15.628032</v>
      </c>
      <c r="I991" s="13">
        <f t="shared" si="7"/>
        <v>8.62426</v>
      </c>
      <c r="J991" s="18">
        <f t="shared" si="8"/>
        <v>0.1167295333</v>
      </c>
      <c r="K991" s="18">
        <f t="shared" si="10"/>
        <v>87.9280844</v>
      </c>
      <c r="L991" s="4"/>
      <c r="M991" s="4"/>
      <c r="N991" s="4"/>
      <c r="O991" s="4"/>
      <c r="P991" s="4"/>
      <c r="Q991" s="4"/>
      <c r="R991" s="4"/>
      <c r="S991" s="4"/>
      <c r="T991" s="4"/>
      <c r="U991" s="4"/>
      <c r="V991" s="4"/>
      <c r="W991" s="4"/>
    </row>
    <row r="992" ht="15.75" customHeight="1">
      <c r="A992" s="13">
        <f t="shared" si="9"/>
        <v>989</v>
      </c>
      <c r="B992" s="18">
        <f>A992/'Orbit Info'!$G$10</f>
        <v>10.45305666</v>
      </c>
      <c r="C992" s="13">
        <f t="shared" si="2"/>
        <v>0</v>
      </c>
      <c r="D992" s="13">
        <f t="shared" si="3"/>
        <v>1</v>
      </c>
      <c r="E992" s="13">
        <f t="shared" si="4"/>
        <v>0</v>
      </c>
      <c r="F992" s="13">
        <f t="shared" si="5"/>
        <v>0</v>
      </c>
      <c r="G992" s="13">
        <f t="shared" si="6"/>
        <v>1</v>
      </c>
      <c r="H992" s="13">
        <f>'Orbit Info'!C991*((C992*$O$2)+(D992*$O$3)+(E992*$O$4)+(F992*$O$5))</f>
        <v>15.628032</v>
      </c>
      <c r="I992" s="13">
        <f t="shared" si="7"/>
        <v>8.62426</v>
      </c>
      <c r="J992" s="18">
        <f t="shared" si="8"/>
        <v>0.1167295333</v>
      </c>
      <c r="K992" s="18">
        <f t="shared" si="10"/>
        <v>88.04481393</v>
      </c>
      <c r="L992" s="4"/>
      <c r="M992" s="4"/>
      <c r="N992" s="4"/>
      <c r="O992" s="4"/>
      <c r="P992" s="4"/>
      <c r="Q992" s="4"/>
      <c r="R992" s="4"/>
      <c r="S992" s="4"/>
      <c r="T992" s="4"/>
      <c r="U992" s="4"/>
      <c r="V992" s="4"/>
      <c r="W992" s="4"/>
    </row>
    <row r="993" ht="15.75" customHeight="1">
      <c r="A993" s="13">
        <f t="shared" si="9"/>
        <v>990</v>
      </c>
      <c r="B993" s="18">
        <f>A993/'Orbit Info'!$G$10</f>
        <v>10.46362597</v>
      </c>
      <c r="C993" s="13">
        <f t="shared" si="2"/>
        <v>0</v>
      </c>
      <c r="D993" s="13">
        <f t="shared" si="3"/>
        <v>1</v>
      </c>
      <c r="E993" s="13">
        <f t="shared" si="4"/>
        <v>0</v>
      </c>
      <c r="F993" s="13">
        <f t="shared" si="5"/>
        <v>0</v>
      </c>
      <c r="G993" s="13">
        <f t="shared" si="6"/>
        <v>1</v>
      </c>
      <c r="H993" s="13">
        <f>'Orbit Info'!C992*((C993*$O$2)+(D993*$O$3)+(E993*$O$4)+(F993*$O$5))</f>
        <v>15.628032</v>
      </c>
      <c r="I993" s="13">
        <f t="shared" si="7"/>
        <v>8.62426</v>
      </c>
      <c r="J993" s="18">
        <f t="shared" si="8"/>
        <v>0.1167295333</v>
      </c>
      <c r="K993" s="18">
        <f t="shared" si="10"/>
        <v>88.16154347</v>
      </c>
      <c r="L993" s="4"/>
      <c r="M993" s="4"/>
      <c r="N993" s="4"/>
      <c r="O993" s="4"/>
      <c r="P993" s="4"/>
      <c r="Q993" s="4"/>
      <c r="R993" s="4"/>
      <c r="S993" s="4"/>
      <c r="T993" s="4"/>
      <c r="U993" s="4"/>
      <c r="V993" s="4"/>
      <c r="W993" s="4"/>
    </row>
    <row r="994" ht="15.75" customHeight="1">
      <c r="A994" s="13">
        <f t="shared" si="9"/>
        <v>991</v>
      </c>
      <c r="B994" s="18">
        <f>A994/'Orbit Info'!$G$10</f>
        <v>10.47419529</v>
      </c>
      <c r="C994" s="13">
        <f t="shared" si="2"/>
        <v>0</v>
      </c>
      <c r="D994" s="13">
        <f t="shared" si="3"/>
        <v>1</v>
      </c>
      <c r="E994" s="13">
        <f t="shared" si="4"/>
        <v>0</v>
      </c>
      <c r="F994" s="13">
        <f t="shared" si="5"/>
        <v>0</v>
      </c>
      <c r="G994" s="13">
        <f t="shared" si="6"/>
        <v>1</v>
      </c>
      <c r="H994" s="13">
        <f>'Orbit Info'!C993*((C994*$O$2)+(D994*$O$3)+(E994*$O$4)+(F994*$O$5))</f>
        <v>15.628032</v>
      </c>
      <c r="I994" s="13">
        <f t="shared" si="7"/>
        <v>8.62426</v>
      </c>
      <c r="J994" s="18">
        <f t="shared" si="8"/>
        <v>0.1167295333</v>
      </c>
      <c r="K994" s="18">
        <f t="shared" si="10"/>
        <v>88.2</v>
      </c>
      <c r="L994" s="4"/>
      <c r="M994" s="4"/>
      <c r="N994" s="4"/>
      <c r="O994" s="4"/>
      <c r="P994" s="4"/>
      <c r="Q994" s="4"/>
      <c r="R994" s="4"/>
      <c r="S994" s="4"/>
      <c r="T994" s="4"/>
      <c r="U994" s="4"/>
      <c r="V994" s="4"/>
      <c r="W994" s="4"/>
    </row>
    <row r="995" ht="15.75" customHeight="1">
      <c r="A995" s="13">
        <f t="shared" si="9"/>
        <v>992</v>
      </c>
      <c r="B995" s="18">
        <f>A995/'Orbit Info'!$G$10</f>
        <v>10.48476461</v>
      </c>
      <c r="C995" s="13">
        <f t="shared" si="2"/>
        <v>0</v>
      </c>
      <c r="D995" s="13">
        <f t="shared" si="3"/>
        <v>1</v>
      </c>
      <c r="E995" s="13">
        <f t="shared" si="4"/>
        <v>0</v>
      </c>
      <c r="F995" s="13">
        <f t="shared" si="5"/>
        <v>0</v>
      </c>
      <c r="G995" s="13">
        <f t="shared" si="6"/>
        <v>1</v>
      </c>
      <c r="H995" s="13">
        <f>'Orbit Info'!C994*((C995*$O$2)+(D995*$O$3)+(E995*$O$4)+(F995*$O$5))</f>
        <v>15.628032</v>
      </c>
      <c r="I995" s="13">
        <f t="shared" si="7"/>
        <v>8.62426</v>
      </c>
      <c r="J995" s="18">
        <f t="shared" si="8"/>
        <v>0.1167295333</v>
      </c>
      <c r="K995" s="18">
        <f t="shared" si="10"/>
        <v>88.2</v>
      </c>
      <c r="L995" s="4"/>
      <c r="M995" s="4"/>
      <c r="N995" s="4"/>
      <c r="O995" s="4"/>
      <c r="P995" s="4"/>
      <c r="Q995" s="4"/>
      <c r="R995" s="4"/>
      <c r="S995" s="4"/>
      <c r="T995" s="4"/>
      <c r="U995" s="4"/>
      <c r="V995" s="4"/>
      <c r="W995" s="4"/>
    </row>
    <row r="996" ht="15.75" customHeight="1">
      <c r="A996" s="13">
        <f t="shared" si="9"/>
        <v>993</v>
      </c>
      <c r="B996" s="18">
        <f>A996/'Orbit Info'!$G$10</f>
        <v>10.49533393</v>
      </c>
      <c r="C996" s="13">
        <f t="shared" si="2"/>
        <v>0</v>
      </c>
      <c r="D996" s="13">
        <f t="shared" si="3"/>
        <v>1</v>
      </c>
      <c r="E996" s="13">
        <f t="shared" si="4"/>
        <v>0</v>
      </c>
      <c r="F996" s="13">
        <f t="shared" si="5"/>
        <v>0</v>
      </c>
      <c r="G996" s="13">
        <f t="shared" si="6"/>
        <v>1</v>
      </c>
      <c r="H996" s="13">
        <f>'Orbit Info'!C995*((C996*$O$2)+(D996*$O$3)+(E996*$O$4)+(F996*$O$5))</f>
        <v>15.628032</v>
      </c>
      <c r="I996" s="13">
        <f t="shared" si="7"/>
        <v>8.62426</v>
      </c>
      <c r="J996" s="18">
        <f t="shared" si="8"/>
        <v>0.1167295333</v>
      </c>
      <c r="K996" s="18">
        <f t="shared" si="10"/>
        <v>88.2</v>
      </c>
      <c r="L996" s="4"/>
      <c r="M996" s="4"/>
      <c r="N996" s="4"/>
      <c r="O996" s="4"/>
      <c r="P996" s="4"/>
      <c r="Q996" s="4"/>
      <c r="R996" s="4"/>
      <c r="S996" s="4"/>
      <c r="T996" s="4"/>
      <c r="U996" s="4"/>
      <c r="V996" s="4"/>
      <c r="W996" s="4"/>
    </row>
    <row r="997" ht="15.75" customHeight="1">
      <c r="A997" s="13">
        <f t="shared" si="9"/>
        <v>994</v>
      </c>
      <c r="B997" s="18">
        <f>A997/'Orbit Info'!$G$10</f>
        <v>10.50590325</v>
      </c>
      <c r="C997" s="13">
        <f t="shared" si="2"/>
        <v>0</v>
      </c>
      <c r="D997" s="13">
        <f t="shared" si="3"/>
        <v>1</v>
      </c>
      <c r="E997" s="13">
        <f t="shared" si="4"/>
        <v>0</v>
      </c>
      <c r="F997" s="13">
        <f t="shared" si="5"/>
        <v>0</v>
      </c>
      <c r="G997" s="13">
        <f t="shared" si="6"/>
        <v>1</v>
      </c>
      <c r="H997" s="13">
        <f>'Orbit Info'!C996*((C997*$O$2)+(D997*$O$3)+(E997*$O$4)+(F997*$O$5))</f>
        <v>15.628032</v>
      </c>
      <c r="I997" s="13">
        <f t="shared" si="7"/>
        <v>8.62426</v>
      </c>
      <c r="J997" s="18">
        <f t="shared" si="8"/>
        <v>0.1167295333</v>
      </c>
      <c r="K997" s="18">
        <f t="shared" si="10"/>
        <v>88.2</v>
      </c>
      <c r="L997" s="4"/>
      <c r="M997" s="4"/>
      <c r="N997" s="4"/>
      <c r="O997" s="4"/>
      <c r="P997" s="4"/>
      <c r="Q997" s="4"/>
      <c r="R997" s="4"/>
      <c r="S997" s="4"/>
      <c r="T997" s="4"/>
      <c r="U997" s="4"/>
      <c r="V997" s="4"/>
      <c r="W997" s="4"/>
    </row>
    <row r="998" ht="15.75" customHeight="1">
      <c r="A998" s="13">
        <f t="shared" si="9"/>
        <v>995</v>
      </c>
      <c r="B998" s="18">
        <f>A998/'Orbit Info'!$G$10</f>
        <v>10.51647257</v>
      </c>
      <c r="C998" s="13">
        <f t="shared" si="2"/>
        <v>0</v>
      </c>
      <c r="D998" s="13">
        <f t="shared" si="3"/>
        <v>1</v>
      </c>
      <c r="E998" s="13">
        <f t="shared" si="4"/>
        <v>0</v>
      </c>
      <c r="F998" s="13">
        <f t="shared" si="5"/>
        <v>0</v>
      </c>
      <c r="G998" s="13">
        <f t="shared" si="6"/>
        <v>1</v>
      </c>
      <c r="H998" s="13">
        <f>'Orbit Info'!C997*((C998*$O$2)+(D998*$O$3)+(E998*$O$4)+(F998*$O$5))</f>
        <v>15.628032</v>
      </c>
      <c r="I998" s="13">
        <f t="shared" si="7"/>
        <v>8.62426</v>
      </c>
      <c r="J998" s="18">
        <f t="shared" si="8"/>
        <v>0.1167295333</v>
      </c>
      <c r="K998" s="18">
        <f t="shared" si="10"/>
        <v>88.2</v>
      </c>
      <c r="L998" s="4"/>
      <c r="M998" s="4"/>
      <c r="N998" s="4"/>
      <c r="O998" s="4"/>
      <c r="P998" s="4"/>
      <c r="Q998" s="4"/>
      <c r="R998" s="4"/>
      <c r="S998" s="4"/>
      <c r="T998" s="4"/>
      <c r="U998" s="4"/>
      <c r="V998" s="4"/>
      <c r="W998" s="4"/>
    </row>
    <row r="999" ht="15.75" customHeight="1">
      <c r="A999" s="13">
        <f t="shared" si="9"/>
        <v>996</v>
      </c>
      <c r="B999" s="18">
        <f>A999/'Orbit Info'!$G$10</f>
        <v>10.52704189</v>
      </c>
      <c r="C999" s="13">
        <f t="shared" si="2"/>
        <v>0</v>
      </c>
      <c r="D999" s="13">
        <f t="shared" si="3"/>
        <v>1</v>
      </c>
      <c r="E999" s="13">
        <f t="shared" si="4"/>
        <v>0</v>
      </c>
      <c r="F999" s="13">
        <f t="shared" si="5"/>
        <v>0</v>
      </c>
      <c r="G999" s="13">
        <f t="shared" si="6"/>
        <v>1</v>
      </c>
      <c r="H999" s="13">
        <f>'Orbit Info'!C998*((C999*$O$2)+(D999*$O$3)+(E999*$O$4)+(F999*$O$5))</f>
        <v>15.628032</v>
      </c>
      <c r="I999" s="13">
        <f t="shared" si="7"/>
        <v>8.62426</v>
      </c>
      <c r="J999" s="18">
        <f t="shared" si="8"/>
        <v>0.1167295333</v>
      </c>
      <c r="K999" s="18">
        <f t="shared" si="10"/>
        <v>88.2</v>
      </c>
      <c r="L999" s="4"/>
      <c r="M999" s="4"/>
      <c r="N999" s="4"/>
      <c r="O999" s="4"/>
      <c r="P999" s="4"/>
      <c r="Q999" s="4"/>
      <c r="R999" s="4"/>
      <c r="S999" s="4"/>
      <c r="T999" s="4"/>
      <c r="U999" s="4"/>
      <c r="V999" s="4"/>
      <c r="W999" s="4"/>
    </row>
    <row r="1000" ht="15.75" customHeight="1">
      <c r="A1000" s="13">
        <f t="shared" si="9"/>
        <v>997</v>
      </c>
      <c r="B1000" s="18">
        <f>A1000/'Orbit Info'!$G$10</f>
        <v>10.53761121</v>
      </c>
      <c r="C1000" s="13">
        <f t="shared" si="2"/>
        <v>0</v>
      </c>
      <c r="D1000" s="13">
        <f t="shared" si="3"/>
        <v>1</v>
      </c>
      <c r="E1000" s="13">
        <f t="shared" si="4"/>
        <v>0</v>
      </c>
      <c r="F1000" s="13">
        <f t="shared" si="5"/>
        <v>0</v>
      </c>
      <c r="G1000" s="13">
        <f t="shared" si="6"/>
        <v>1</v>
      </c>
      <c r="H1000" s="13">
        <f>'Orbit Info'!C999*((C1000*$O$2)+(D1000*$O$3)+(E1000*$O$4)+(F1000*$O$5))</f>
        <v>15.628032</v>
      </c>
      <c r="I1000" s="13">
        <f t="shared" si="7"/>
        <v>8.62426</v>
      </c>
      <c r="J1000" s="18">
        <f t="shared" si="8"/>
        <v>0.1167295333</v>
      </c>
      <c r="K1000" s="18">
        <f t="shared" si="10"/>
        <v>88.2</v>
      </c>
      <c r="L1000" s="4"/>
      <c r="M1000" s="4"/>
      <c r="N1000" s="4"/>
      <c r="O1000" s="4"/>
      <c r="P1000" s="4"/>
      <c r="Q1000" s="4"/>
      <c r="R1000" s="4"/>
      <c r="S1000" s="4"/>
      <c r="T1000" s="4"/>
      <c r="U1000" s="4"/>
      <c r="V1000" s="4"/>
      <c r="W1000" s="4"/>
    </row>
    <row r="1001" ht="15.75" customHeight="1">
      <c r="A1001" s="13">
        <f t="shared" si="9"/>
        <v>998</v>
      </c>
      <c r="B1001" s="18">
        <f>A1001/'Orbit Info'!$G$10</f>
        <v>10.54818053</v>
      </c>
      <c r="C1001" s="13">
        <f t="shared" si="2"/>
        <v>0</v>
      </c>
      <c r="D1001" s="13">
        <f t="shared" si="3"/>
        <v>1</v>
      </c>
      <c r="E1001" s="13">
        <f t="shared" si="4"/>
        <v>0</v>
      </c>
      <c r="F1001" s="13">
        <f t="shared" si="5"/>
        <v>0</v>
      </c>
      <c r="G1001" s="13">
        <f t="shared" si="6"/>
        <v>1</v>
      </c>
      <c r="H1001" s="13">
        <f>'Orbit Info'!C1000*((C1001*$O$2)+(D1001*$O$3)+(E1001*$O$4)+(F1001*$O$5))</f>
        <v>15.628032</v>
      </c>
      <c r="I1001" s="13">
        <f t="shared" si="7"/>
        <v>8.62426</v>
      </c>
      <c r="J1001" s="18">
        <f t="shared" si="8"/>
        <v>0.1167295333</v>
      </c>
      <c r="K1001" s="18">
        <f t="shared" si="10"/>
        <v>88.2</v>
      </c>
      <c r="L1001" s="4"/>
      <c r="M1001" s="4"/>
      <c r="N1001" s="4"/>
      <c r="O1001" s="4"/>
      <c r="P1001" s="4"/>
      <c r="Q1001" s="4"/>
      <c r="R1001" s="4"/>
      <c r="S1001" s="4"/>
      <c r="T1001" s="4"/>
      <c r="U1001" s="4"/>
      <c r="V1001" s="4"/>
      <c r="W1001" s="4"/>
    </row>
    <row r="1002" ht="15.75" customHeight="1">
      <c r="A1002" s="13">
        <f t="shared" si="9"/>
        <v>999</v>
      </c>
      <c r="B1002" s="18">
        <f>A1002/'Orbit Info'!$G$10</f>
        <v>10.55874985</v>
      </c>
      <c r="C1002" s="13">
        <f t="shared" si="2"/>
        <v>0</v>
      </c>
      <c r="D1002" s="13">
        <f t="shared" si="3"/>
        <v>1</v>
      </c>
      <c r="E1002" s="13">
        <f t="shared" si="4"/>
        <v>0</v>
      </c>
      <c r="F1002" s="13">
        <f t="shared" si="5"/>
        <v>0</v>
      </c>
      <c r="G1002" s="13">
        <f t="shared" si="6"/>
        <v>1</v>
      </c>
      <c r="H1002" s="13">
        <f>'Orbit Info'!C1001*((C1002*$O$2)+(D1002*$O$3)+(E1002*$O$4)+(F1002*$O$5))</f>
        <v>15.628032</v>
      </c>
      <c r="I1002" s="13">
        <f t="shared" si="7"/>
        <v>8.62426</v>
      </c>
      <c r="J1002" s="18">
        <f t="shared" si="8"/>
        <v>0.1167295333</v>
      </c>
      <c r="K1002" s="18">
        <f t="shared" si="10"/>
        <v>88.2</v>
      </c>
      <c r="L1002" s="4"/>
      <c r="M1002" s="4"/>
      <c r="N1002" s="4"/>
      <c r="O1002" s="4"/>
      <c r="P1002" s="4"/>
      <c r="Q1002" s="4"/>
      <c r="R1002" s="4"/>
      <c r="S1002" s="4"/>
      <c r="T1002" s="4"/>
      <c r="U1002" s="4"/>
      <c r="V1002" s="4"/>
      <c r="W1002" s="4"/>
    </row>
    <row r="1003" ht="15.75" customHeight="1">
      <c r="A1003" s="13">
        <f t="shared" si="9"/>
        <v>1000</v>
      </c>
      <c r="B1003" s="18">
        <f>A1003/'Orbit Info'!$G$10</f>
        <v>10.56931917</v>
      </c>
      <c r="C1003" s="13">
        <f t="shared" si="2"/>
        <v>0</v>
      </c>
      <c r="D1003" s="13">
        <f t="shared" si="3"/>
        <v>1</v>
      </c>
      <c r="E1003" s="13">
        <f t="shared" si="4"/>
        <v>0</v>
      </c>
      <c r="F1003" s="13">
        <f t="shared" si="5"/>
        <v>0</v>
      </c>
      <c r="G1003" s="13">
        <f t="shared" si="6"/>
        <v>1</v>
      </c>
      <c r="H1003" s="13">
        <f>'Orbit Info'!C1002*((C1003*$O$2)+(D1003*$O$3)+(E1003*$O$4)+(F1003*$O$5))</f>
        <v>15.628032</v>
      </c>
      <c r="I1003" s="13">
        <f t="shared" si="7"/>
        <v>8.62426</v>
      </c>
      <c r="J1003" s="18">
        <f t="shared" si="8"/>
        <v>0.1167295333</v>
      </c>
      <c r="K1003" s="18">
        <f t="shared" si="10"/>
        <v>88.2</v>
      </c>
      <c r="L1003" s="4"/>
      <c r="M1003" s="4"/>
      <c r="N1003" s="4"/>
      <c r="O1003" s="4"/>
      <c r="P1003" s="4"/>
      <c r="Q1003" s="4"/>
      <c r="R1003" s="4"/>
      <c r="S1003" s="4"/>
      <c r="T1003" s="4"/>
      <c r="U1003" s="4"/>
      <c r="V1003" s="4"/>
      <c r="W1003" s="4"/>
    </row>
    <row r="1004" ht="15.75" customHeight="1">
      <c r="A1004" s="13">
        <f t="shared" si="9"/>
        <v>1001</v>
      </c>
      <c r="B1004" s="18">
        <f>A1004/'Orbit Info'!$G$10</f>
        <v>10.57988849</v>
      </c>
      <c r="C1004" s="13">
        <f t="shared" si="2"/>
        <v>0</v>
      </c>
      <c r="D1004" s="13">
        <f t="shared" si="3"/>
        <v>1</v>
      </c>
      <c r="E1004" s="13">
        <f t="shared" si="4"/>
        <v>0</v>
      </c>
      <c r="F1004" s="13">
        <f t="shared" si="5"/>
        <v>0</v>
      </c>
      <c r="G1004" s="13">
        <f t="shared" si="6"/>
        <v>1</v>
      </c>
      <c r="H1004" s="13">
        <f>'Orbit Info'!C1003*((C1004*$O$2)+(D1004*$O$3)+(E1004*$O$4)+(F1004*$O$5))</f>
        <v>15.628032</v>
      </c>
      <c r="I1004" s="13">
        <f t="shared" si="7"/>
        <v>8.62426</v>
      </c>
      <c r="J1004" s="18">
        <f t="shared" si="8"/>
        <v>0.1167295333</v>
      </c>
      <c r="K1004" s="18">
        <f t="shared" si="10"/>
        <v>88.2</v>
      </c>
      <c r="L1004" s="4"/>
      <c r="M1004" s="4"/>
      <c r="N1004" s="4"/>
      <c r="O1004" s="4"/>
      <c r="P1004" s="4"/>
      <c r="Q1004" s="4"/>
      <c r="R1004" s="4"/>
      <c r="S1004" s="4"/>
      <c r="T1004" s="4"/>
      <c r="U1004" s="4"/>
      <c r="V1004" s="4"/>
      <c r="W1004" s="4"/>
    </row>
    <row r="1005" ht="15.75" customHeight="1">
      <c r="A1005" s="13">
        <f t="shared" si="9"/>
        <v>1002</v>
      </c>
      <c r="B1005" s="18">
        <f>A1005/'Orbit Info'!$G$10</f>
        <v>10.5904578</v>
      </c>
      <c r="C1005" s="13">
        <f t="shared" si="2"/>
        <v>0</v>
      </c>
      <c r="D1005" s="13">
        <f t="shared" si="3"/>
        <v>1</v>
      </c>
      <c r="E1005" s="13">
        <f t="shared" si="4"/>
        <v>0</v>
      </c>
      <c r="F1005" s="13">
        <f t="shared" si="5"/>
        <v>0</v>
      </c>
      <c r="G1005" s="13">
        <f t="shared" si="6"/>
        <v>1</v>
      </c>
      <c r="H1005" s="13">
        <f>'Orbit Info'!C1004*((C1005*$O$2)+(D1005*$O$3)+(E1005*$O$4)+(F1005*$O$5))</f>
        <v>15.628032</v>
      </c>
      <c r="I1005" s="13">
        <f t="shared" si="7"/>
        <v>8.62426</v>
      </c>
      <c r="J1005" s="18">
        <f t="shared" si="8"/>
        <v>0.1167295333</v>
      </c>
      <c r="K1005" s="18">
        <f t="shared" si="10"/>
        <v>88.2</v>
      </c>
      <c r="L1005" s="4"/>
      <c r="M1005" s="4"/>
      <c r="N1005" s="4"/>
      <c r="O1005" s="4"/>
      <c r="P1005" s="4"/>
      <c r="Q1005" s="4"/>
      <c r="R1005" s="4"/>
      <c r="S1005" s="4"/>
      <c r="T1005" s="4"/>
      <c r="U1005" s="4"/>
      <c r="V1005" s="4"/>
      <c r="W1005" s="4"/>
    </row>
    <row r="1006" ht="15.75" customHeight="1">
      <c r="A1006" s="13">
        <f t="shared" si="9"/>
        <v>1003</v>
      </c>
      <c r="B1006" s="18">
        <f>A1006/'Orbit Info'!$G$10</f>
        <v>10.60102712</v>
      </c>
      <c r="C1006" s="13">
        <f t="shared" si="2"/>
        <v>0</v>
      </c>
      <c r="D1006" s="13">
        <f t="shared" si="3"/>
        <v>1</v>
      </c>
      <c r="E1006" s="13">
        <f t="shared" si="4"/>
        <v>0</v>
      </c>
      <c r="F1006" s="13">
        <f t="shared" si="5"/>
        <v>0</v>
      </c>
      <c r="G1006" s="13">
        <f t="shared" si="6"/>
        <v>1</v>
      </c>
      <c r="H1006" s="13">
        <f>'Orbit Info'!C1005*((C1006*$O$2)+(D1006*$O$3)+(E1006*$O$4)+(F1006*$O$5))</f>
        <v>15.628032</v>
      </c>
      <c r="I1006" s="13">
        <f t="shared" si="7"/>
        <v>8.62426</v>
      </c>
      <c r="J1006" s="18">
        <f t="shared" si="8"/>
        <v>0.1167295333</v>
      </c>
      <c r="K1006" s="18">
        <f t="shared" si="10"/>
        <v>88.2</v>
      </c>
      <c r="L1006" s="4"/>
      <c r="M1006" s="4"/>
      <c r="N1006" s="4"/>
      <c r="O1006" s="4"/>
      <c r="P1006" s="4"/>
      <c r="Q1006" s="4"/>
      <c r="R1006" s="4"/>
      <c r="S1006" s="4"/>
      <c r="T1006" s="4"/>
      <c r="U1006" s="4"/>
      <c r="V1006" s="4"/>
      <c r="W1006" s="4"/>
    </row>
    <row r="1007" ht="15.75" customHeight="1">
      <c r="A1007" s="13">
        <f t="shared" si="9"/>
        <v>1004</v>
      </c>
      <c r="B1007" s="18">
        <f>A1007/'Orbit Info'!$G$10</f>
        <v>10.61159644</v>
      </c>
      <c r="C1007" s="13">
        <f t="shared" si="2"/>
        <v>0</v>
      </c>
      <c r="D1007" s="13">
        <f t="shared" si="3"/>
        <v>1</v>
      </c>
      <c r="E1007" s="13">
        <f t="shared" si="4"/>
        <v>0</v>
      </c>
      <c r="F1007" s="13">
        <f t="shared" si="5"/>
        <v>0</v>
      </c>
      <c r="G1007" s="13">
        <f t="shared" si="6"/>
        <v>1</v>
      </c>
      <c r="H1007" s="13">
        <f>'Orbit Info'!C1006*((C1007*$O$2)+(D1007*$O$3)+(E1007*$O$4)+(F1007*$O$5))</f>
        <v>15.628032</v>
      </c>
      <c r="I1007" s="13">
        <f t="shared" si="7"/>
        <v>8.62426</v>
      </c>
      <c r="J1007" s="18">
        <f t="shared" si="8"/>
        <v>0.1167295333</v>
      </c>
      <c r="K1007" s="18">
        <f t="shared" si="10"/>
        <v>88.2</v>
      </c>
      <c r="L1007" s="4"/>
      <c r="M1007" s="4"/>
      <c r="N1007" s="4"/>
      <c r="O1007" s="4"/>
      <c r="P1007" s="4"/>
      <c r="Q1007" s="4"/>
      <c r="R1007" s="4"/>
      <c r="S1007" s="4"/>
      <c r="T1007" s="4"/>
      <c r="U1007" s="4"/>
      <c r="V1007" s="4"/>
      <c r="W1007" s="4"/>
    </row>
    <row r="1008" ht="15.75" customHeight="1">
      <c r="A1008" s="13">
        <f t="shared" si="9"/>
        <v>1005</v>
      </c>
      <c r="B1008" s="18">
        <f>A1008/'Orbit Info'!$G$10</f>
        <v>10.62216576</v>
      </c>
      <c r="C1008" s="13">
        <f t="shared" si="2"/>
        <v>0</v>
      </c>
      <c r="D1008" s="13">
        <f t="shared" si="3"/>
        <v>1</v>
      </c>
      <c r="E1008" s="13">
        <f t="shared" si="4"/>
        <v>0</v>
      </c>
      <c r="F1008" s="13">
        <f t="shared" si="5"/>
        <v>0</v>
      </c>
      <c r="G1008" s="13">
        <f t="shared" si="6"/>
        <v>1</v>
      </c>
      <c r="H1008" s="13">
        <f>'Orbit Info'!C1007*((C1008*$O$2)+(D1008*$O$3)+(E1008*$O$4)+(F1008*$O$5))</f>
        <v>0</v>
      </c>
      <c r="I1008" s="13">
        <f t="shared" si="7"/>
        <v>8.62426</v>
      </c>
      <c r="J1008" s="18">
        <f t="shared" si="8"/>
        <v>-0.1437376667</v>
      </c>
      <c r="K1008" s="18">
        <f t="shared" si="10"/>
        <v>88.05626233</v>
      </c>
      <c r="L1008" s="4"/>
      <c r="M1008" s="4"/>
      <c r="N1008" s="4"/>
      <c r="O1008" s="4"/>
      <c r="P1008" s="4"/>
      <c r="Q1008" s="4"/>
      <c r="R1008" s="4"/>
      <c r="S1008" s="4"/>
      <c r="T1008" s="4"/>
      <c r="U1008" s="4"/>
      <c r="V1008" s="4"/>
      <c r="W1008" s="4"/>
    </row>
    <row r="1009" ht="15.75" customHeight="1">
      <c r="A1009" s="13">
        <f t="shared" si="9"/>
        <v>1006</v>
      </c>
      <c r="B1009" s="18">
        <f>A1009/'Orbit Info'!$G$10</f>
        <v>10.63273508</v>
      </c>
      <c r="C1009" s="13">
        <f t="shared" si="2"/>
        <v>0</v>
      </c>
      <c r="D1009" s="13">
        <f t="shared" si="3"/>
        <v>1</v>
      </c>
      <c r="E1009" s="13">
        <f t="shared" si="4"/>
        <v>0</v>
      </c>
      <c r="F1009" s="13">
        <f t="shared" si="5"/>
        <v>0</v>
      </c>
      <c r="G1009" s="13">
        <f t="shared" si="6"/>
        <v>1</v>
      </c>
      <c r="H1009" s="13">
        <f>'Orbit Info'!C1008*((C1009*$O$2)+(D1009*$O$3)+(E1009*$O$4)+(F1009*$O$5))</f>
        <v>0</v>
      </c>
      <c r="I1009" s="13">
        <f t="shared" si="7"/>
        <v>8.62426</v>
      </c>
      <c r="J1009" s="18">
        <f t="shared" si="8"/>
        <v>-0.1437376667</v>
      </c>
      <c r="K1009" s="18">
        <f t="shared" si="10"/>
        <v>87.91252467</v>
      </c>
      <c r="L1009" s="4"/>
      <c r="M1009" s="4"/>
      <c r="N1009" s="4"/>
      <c r="O1009" s="4"/>
      <c r="P1009" s="4"/>
      <c r="Q1009" s="4"/>
      <c r="R1009" s="4"/>
      <c r="S1009" s="4"/>
      <c r="T1009" s="4"/>
      <c r="U1009" s="4"/>
      <c r="V1009" s="4"/>
      <c r="W1009" s="4"/>
    </row>
    <row r="1010" ht="15.75" customHeight="1">
      <c r="A1010" s="13">
        <f t="shared" si="9"/>
        <v>1007</v>
      </c>
      <c r="B1010" s="18">
        <f>A1010/'Orbit Info'!$G$10</f>
        <v>10.6433044</v>
      </c>
      <c r="C1010" s="13">
        <f t="shared" si="2"/>
        <v>0</v>
      </c>
      <c r="D1010" s="13">
        <f t="shared" si="3"/>
        <v>1</v>
      </c>
      <c r="E1010" s="13">
        <f t="shared" si="4"/>
        <v>0</v>
      </c>
      <c r="F1010" s="13">
        <f t="shared" si="5"/>
        <v>0</v>
      </c>
      <c r="G1010" s="13">
        <f t="shared" si="6"/>
        <v>1</v>
      </c>
      <c r="H1010" s="13">
        <f>'Orbit Info'!C1009*((C1010*$O$2)+(D1010*$O$3)+(E1010*$O$4)+(F1010*$O$5))</f>
        <v>0</v>
      </c>
      <c r="I1010" s="13">
        <f t="shared" si="7"/>
        <v>8.62426</v>
      </c>
      <c r="J1010" s="18">
        <f t="shared" si="8"/>
        <v>-0.1437376667</v>
      </c>
      <c r="K1010" s="18">
        <f t="shared" si="10"/>
        <v>87.768787</v>
      </c>
      <c r="L1010" s="4"/>
      <c r="M1010" s="4"/>
      <c r="N1010" s="4"/>
      <c r="O1010" s="4"/>
      <c r="P1010" s="4"/>
      <c r="Q1010" s="4"/>
      <c r="R1010" s="4"/>
      <c r="S1010" s="4"/>
      <c r="T1010" s="4"/>
      <c r="U1010" s="4"/>
      <c r="V1010" s="4"/>
      <c r="W1010" s="4"/>
    </row>
    <row r="1011" ht="15.75" customHeight="1">
      <c r="A1011" s="13">
        <f t="shared" si="9"/>
        <v>1008</v>
      </c>
      <c r="B1011" s="18">
        <f>A1011/'Orbit Info'!$G$10</f>
        <v>10.65387372</v>
      </c>
      <c r="C1011" s="13">
        <f t="shared" si="2"/>
        <v>0</v>
      </c>
      <c r="D1011" s="13">
        <f t="shared" si="3"/>
        <v>1</v>
      </c>
      <c r="E1011" s="13">
        <f t="shared" si="4"/>
        <v>0</v>
      </c>
      <c r="F1011" s="13">
        <f t="shared" si="5"/>
        <v>0</v>
      </c>
      <c r="G1011" s="13">
        <f t="shared" si="6"/>
        <v>1</v>
      </c>
      <c r="H1011" s="13">
        <f>'Orbit Info'!C1010*((C1011*$O$2)+(D1011*$O$3)+(E1011*$O$4)+(F1011*$O$5))</f>
        <v>0</v>
      </c>
      <c r="I1011" s="13">
        <f t="shared" si="7"/>
        <v>8.62426</v>
      </c>
      <c r="J1011" s="18">
        <f t="shared" si="8"/>
        <v>-0.1437376667</v>
      </c>
      <c r="K1011" s="18">
        <f t="shared" si="10"/>
        <v>87.62504933</v>
      </c>
      <c r="L1011" s="4"/>
      <c r="M1011" s="4"/>
      <c r="N1011" s="4"/>
      <c r="O1011" s="4"/>
      <c r="P1011" s="4"/>
      <c r="Q1011" s="4"/>
      <c r="R1011" s="4"/>
      <c r="S1011" s="4"/>
      <c r="T1011" s="4"/>
      <c r="U1011" s="4"/>
      <c r="V1011" s="4"/>
      <c r="W1011" s="4"/>
    </row>
    <row r="1012" ht="15.75" customHeight="1">
      <c r="A1012" s="13">
        <f t="shared" si="9"/>
        <v>1009</v>
      </c>
      <c r="B1012" s="18">
        <f>A1012/'Orbit Info'!$G$10</f>
        <v>10.66444304</v>
      </c>
      <c r="C1012" s="13">
        <f t="shared" si="2"/>
        <v>0</v>
      </c>
      <c r="D1012" s="13">
        <f t="shared" si="3"/>
        <v>1</v>
      </c>
      <c r="E1012" s="13">
        <f t="shared" si="4"/>
        <v>0</v>
      </c>
      <c r="F1012" s="13">
        <f t="shared" si="5"/>
        <v>0</v>
      </c>
      <c r="G1012" s="13">
        <f t="shared" si="6"/>
        <v>1</v>
      </c>
      <c r="H1012" s="13">
        <f>'Orbit Info'!C1011*((C1012*$O$2)+(D1012*$O$3)+(E1012*$O$4)+(F1012*$O$5))</f>
        <v>0</v>
      </c>
      <c r="I1012" s="13">
        <f t="shared" si="7"/>
        <v>8.62426</v>
      </c>
      <c r="J1012" s="18">
        <f t="shared" si="8"/>
        <v>-0.1437376667</v>
      </c>
      <c r="K1012" s="18">
        <f t="shared" si="10"/>
        <v>87.48131167</v>
      </c>
      <c r="L1012" s="4"/>
      <c r="M1012" s="4"/>
      <c r="N1012" s="4"/>
      <c r="O1012" s="4"/>
      <c r="P1012" s="4"/>
      <c r="Q1012" s="4"/>
      <c r="R1012" s="4"/>
      <c r="S1012" s="4"/>
      <c r="T1012" s="4"/>
      <c r="U1012" s="4"/>
      <c r="V1012" s="4"/>
      <c r="W1012" s="4"/>
    </row>
    <row r="1013" ht="15.75" customHeight="1">
      <c r="A1013" s="13">
        <f t="shared" si="9"/>
        <v>1010</v>
      </c>
      <c r="B1013" s="18">
        <f>A1013/'Orbit Info'!$G$10</f>
        <v>10.67501236</v>
      </c>
      <c r="C1013" s="13">
        <f t="shared" si="2"/>
        <v>0</v>
      </c>
      <c r="D1013" s="13">
        <f t="shared" si="3"/>
        <v>1</v>
      </c>
      <c r="E1013" s="13">
        <f t="shared" si="4"/>
        <v>0</v>
      </c>
      <c r="F1013" s="13">
        <f t="shared" si="5"/>
        <v>0</v>
      </c>
      <c r="G1013" s="13">
        <f t="shared" si="6"/>
        <v>1</v>
      </c>
      <c r="H1013" s="13">
        <f>'Orbit Info'!C1012*((C1013*$O$2)+(D1013*$O$3)+(E1013*$O$4)+(F1013*$O$5))</f>
        <v>0</v>
      </c>
      <c r="I1013" s="13">
        <f t="shared" si="7"/>
        <v>8.62426</v>
      </c>
      <c r="J1013" s="18">
        <f t="shared" si="8"/>
        <v>-0.1437376667</v>
      </c>
      <c r="K1013" s="18">
        <f t="shared" si="10"/>
        <v>87.337574</v>
      </c>
      <c r="L1013" s="4"/>
      <c r="M1013" s="4"/>
      <c r="N1013" s="4"/>
      <c r="O1013" s="4"/>
      <c r="P1013" s="4"/>
      <c r="Q1013" s="4"/>
      <c r="R1013" s="4"/>
      <c r="S1013" s="4"/>
      <c r="T1013" s="4"/>
      <c r="U1013" s="4"/>
      <c r="V1013" s="4"/>
      <c r="W1013" s="4"/>
    </row>
    <row r="1014" ht="15.75" customHeight="1">
      <c r="A1014" s="13">
        <f t="shared" si="9"/>
        <v>1011</v>
      </c>
      <c r="B1014" s="18">
        <f>A1014/'Orbit Info'!$G$10</f>
        <v>10.68558168</v>
      </c>
      <c r="C1014" s="13">
        <f t="shared" si="2"/>
        <v>0</v>
      </c>
      <c r="D1014" s="13">
        <f t="shared" si="3"/>
        <v>1</v>
      </c>
      <c r="E1014" s="13">
        <f t="shared" si="4"/>
        <v>0</v>
      </c>
      <c r="F1014" s="13">
        <f t="shared" si="5"/>
        <v>0</v>
      </c>
      <c r="G1014" s="13">
        <f t="shared" si="6"/>
        <v>1</v>
      </c>
      <c r="H1014" s="13">
        <f>'Orbit Info'!C1013*((C1014*$O$2)+(D1014*$O$3)+(E1014*$O$4)+(F1014*$O$5))</f>
        <v>0</v>
      </c>
      <c r="I1014" s="13">
        <f t="shared" si="7"/>
        <v>8.62426</v>
      </c>
      <c r="J1014" s="18">
        <f t="shared" si="8"/>
        <v>-0.1437376667</v>
      </c>
      <c r="K1014" s="18">
        <f t="shared" si="10"/>
        <v>87.19383633</v>
      </c>
      <c r="L1014" s="4"/>
      <c r="M1014" s="4"/>
      <c r="N1014" s="4"/>
      <c r="O1014" s="4"/>
      <c r="P1014" s="4"/>
      <c r="Q1014" s="4"/>
      <c r="R1014" s="4"/>
      <c r="S1014" s="4"/>
      <c r="T1014" s="4"/>
      <c r="U1014" s="4"/>
      <c r="V1014" s="4"/>
      <c r="W1014" s="4"/>
    </row>
    <row r="1015" ht="15.75" customHeight="1">
      <c r="A1015" s="13">
        <f t="shared" si="9"/>
        <v>1012</v>
      </c>
      <c r="B1015" s="18">
        <f>A1015/'Orbit Info'!$G$10</f>
        <v>10.696151</v>
      </c>
      <c r="C1015" s="13">
        <f t="shared" si="2"/>
        <v>0</v>
      </c>
      <c r="D1015" s="13">
        <f t="shared" si="3"/>
        <v>1</v>
      </c>
      <c r="E1015" s="13">
        <f t="shared" si="4"/>
        <v>0</v>
      </c>
      <c r="F1015" s="13">
        <f t="shared" si="5"/>
        <v>0</v>
      </c>
      <c r="G1015" s="13">
        <f t="shared" si="6"/>
        <v>1</v>
      </c>
      <c r="H1015" s="13">
        <f>'Orbit Info'!C1014*((C1015*$O$2)+(D1015*$O$3)+(E1015*$O$4)+(F1015*$O$5))</f>
        <v>0</v>
      </c>
      <c r="I1015" s="13">
        <f t="shared" si="7"/>
        <v>8.62426</v>
      </c>
      <c r="J1015" s="18">
        <f t="shared" si="8"/>
        <v>-0.1437376667</v>
      </c>
      <c r="K1015" s="18">
        <f t="shared" si="10"/>
        <v>87.05009867</v>
      </c>
      <c r="L1015" s="4"/>
      <c r="M1015" s="4"/>
      <c r="N1015" s="4"/>
      <c r="O1015" s="4"/>
      <c r="P1015" s="4"/>
      <c r="Q1015" s="4"/>
      <c r="R1015" s="4"/>
      <c r="S1015" s="4"/>
      <c r="T1015" s="4"/>
      <c r="U1015" s="4"/>
      <c r="V1015" s="4"/>
      <c r="W1015" s="4"/>
    </row>
    <row r="1016" ht="15.75" customHeight="1">
      <c r="A1016" s="13">
        <f t="shared" si="9"/>
        <v>1013</v>
      </c>
      <c r="B1016" s="18">
        <f>A1016/'Orbit Info'!$G$10</f>
        <v>10.70672032</v>
      </c>
      <c r="C1016" s="13">
        <f t="shared" si="2"/>
        <v>0</v>
      </c>
      <c r="D1016" s="13">
        <f t="shared" si="3"/>
        <v>1</v>
      </c>
      <c r="E1016" s="13">
        <f t="shared" si="4"/>
        <v>0</v>
      </c>
      <c r="F1016" s="13">
        <f t="shared" si="5"/>
        <v>0</v>
      </c>
      <c r="G1016" s="13">
        <f t="shared" si="6"/>
        <v>1</v>
      </c>
      <c r="H1016" s="13">
        <f>'Orbit Info'!C1015*((C1016*$O$2)+(D1016*$O$3)+(E1016*$O$4)+(F1016*$O$5))</f>
        <v>0</v>
      </c>
      <c r="I1016" s="13">
        <f t="shared" si="7"/>
        <v>8.62426</v>
      </c>
      <c r="J1016" s="18">
        <f t="shared" si="8"/>
        <v>-0.1437376667</v>
      </c>
      <c r="K1016" s="18">
        <f t="shared" si="10"/>
        <v>86.906361</v>
      </c>
      <c r="L1016" s="4"/>
      <c r="M1016" s="4"/>
      <c r="N1016" s="4"/>
      <c r="O1016" s="4"/>
      <c r="P1016" s="4"/>
      <c r="Q1016" s="4"/>
      <c r="R1016" s="4"/>
      <c r="S1016" s="4"/>
      <c r="T1016" s="4"/>
      <c r="U1016" s="4"/>
      <c r="V1016" s="4"/>
      <c r="W1016" s="4"/>
    </row>
    <row r="1017" ht="15.75" customHeight="1">
      <c r="A1017" s="13">
        <f t="shared" si="9"/>
        <v>1014</v>
      </c>
      <c r="B1017" s="18">
        <f>A1017/'Orbit Info'!$G$10</f>
        <v>10.71728963</v>
      </c>
      <c r="C1017" s="13">
        <f t="shared" si="2"/>
        <v>0</v>
      </c>
      <c r="D1017" s="13">
        <f t="shared" si="3"/>
        <v>1</v>
      </c>
      <c r="E1017" s="13">
        <f t="shared" si="4"/>
        <v>0</v>
      </c>
      <c r="F1017" s="13">
        <f t="shared" si="5"/>
        <v>0</v>
      </c>
      <c r="G1017" s="13">
        <f t="shared" si="6"/>
        <v>1</v>
      </c>
      <c r="H1017" s="13">
        <f>'Orbit Info'!C1016*((C1017*$O$2)+(D1017*$O$3)+(E1017*$O$4)+(F1017*$O$5))</f>
        <v>0</v>
      </c>
      <c r="I1017" s="13">
        <f t="shared" si="7"/>
        <v>8.62426</v>
      </c>
      <c r="J1017" s="18">
        <f t="shared" si="8"/>
        <v>-0.1437376667</v>
      </c>
      <c r="K1017" s="18">
        <f t="shared" si="10"/>
        <v>86.76262333</v>
      </c>
      <c r="L1017" s="4"/>
      <c r="M1017" s="4"/>
      <c r="N1017" s="4"/>
      <c r="O1017" s="4"/>
      <c r="P1017" s="4"/>
      <c r="Q1017" s="4"/>
      <c r="R1017" s="4"/>
      <c r="S1017" s="4"/>
      <c r="T1017" s="4"/>
      <c r="U1017" s="4"/>
      <c r="V1017" s="4"/>
      <c r="W1017" s="4"/>
    </row>
    <row r="1018" ht="15.75" customHeight="1">
      <c r="A1018" s="13">
        <f t="shared" si="9"/>
        <v>1015</v>
      </c>
      <c r="B1018" s="18">
        <f>A1018/'Orbit Info'!$G$10</f>
        <v>10.72785895</v>
      </c>
      <c r="C1018" s="13">
        <f t="shared" si="2"/>
        <v>0</v>
      </c>
      <c r="D1018" s="13">
        <f t="shared" si="3"/>
        <v>1</v>
      </c>
      <c r="E1018" s="13">
        <f t="shared" si="4"/>
        <v>0</v>
      </c>
      <c r="F1018" s="13">
        <f t="shared" si="5"/>
        <v>0</v>
      </c>
      <c r="G1018" s="13">
        <f t="shared" si="6"/>
        <v>1</v>
      </c>
      <c r="H1018" s="13">
        <f>'Orbit Info'!C1017*((C1018*$O$2)+(D1018*$O$3)+(E1018*$O$4)+(F1018*$O$5))</f>
        <v>0</v>
      </c>
      <c r="I1018" s="13">
        <f t="shared" si="7"/>
        <v>8.62426</v>
      </c>
      <c r="J1018" s="18">
        <f t="shared" si="8"/>
        <v>-0.1437376667</v>
      </c>
      <c r="K1018" s="18">
        <f t="shared" si="10"/>
        <v>86.61888567</v>
      </c>
      <c r="L1018" s="4"/>
      <c r="M1018" s="4"/>
      <c r="N1018" s="4"/>
      <c r="O1018" s="4"/>
      <c r="P1018" s="4"/>
      <c r="Q1018" s="4"/>
      <c r="R1018" s="4"/>
      <c r="S1018" s="4"/>
      <c r="T1018" s="4"/>
      <c r="U1018" s="4"/>
      <c r="V1018" s="4"/>
      <c r="W1018" s="4"/>
    </row>
    <row r="1019" ht="15.75" customHeight="1">
      <c r="A1019" s="13">
        <f t="shared" si="9"/>
        <v>1016</v>
      </c>
      <c r="B1019" s="18">
        <f>A1019/'Orbit Info'!$G$10</f>
        <v>10.73842827</v>
      </c>
      <c r="C1019" s="13">
        <f t="shared" si="2"/>
        <v>0</v>
      </c>
      <c r="D1019" s="13">
        <f t="shared" si="3"/>
        <v>1</v>
      </c>
      <c r="E1019" s="13">
        <f t="shared" si="4"/>
        <v>0</v>
      </c>
      <c r="F1019" s="13">
        <f t="shared" si="5"/>
        <v>0</v>
      </c>
      <c r="G1019" s="13">
        <f t="shared" si="6"/>
        <v>1</v>
      </c>
      <c r="H1019" s="13">
        <f>'Orbit Info'!C1018*((C1019*$O$2)+(D1019*$O$3)+(E1019*$O$4)+(F1019*$O$5))</f>
        <v>0</v>
      </c>
      <c r="I1019" s="13">
        <f t="shared" si="7"/>
        <v>8.62426</v>
      </c>
      <c r="J1019" s="18">
        <f t="shared" si="8"/>
        <v>-0.1437376667</v>
      </c>
      <c r="K1019" s="18">
        <f t="shared" si="10"/>
        <v>86.475148</v>
      </c>
      <c r="L1019" s="4"/>
      <c r="M1019" s="4"/>
      <c r="N1019" s="4"/>
      <c r="O1019" s="4"/>
      <c r="P1019" s="4"/>
      <c r="Q1019" s="4"/>
      <c r="R1019" s="4"/>
      <c r="S1019" s="4"/>
      <c r="T1019" s="4"/>
      <c r="U1019" s="4"/>
      <c r="V1019" s="4"/>
      <c r="W1019" s="4"/>
    </row>
    <row r="1020" ht="15.75" customHeight="1">
      <c r="A1020" s="13">
        <f t="shared" si="9"/>
        <v>1017</v>
      </c>
      <c r="B1020" s="18">
        <f>A1020/'Orbit Info'!$G$10</f>
        <v>10.74899759</v>
      </c>
      <c r="C1020" s="13">
        <f t="shared" si="2"/>
        <v>0</v>
      </c>
      <c r="D1020" s="13">
        <f t="shared" si="3"/>
        <v>1</v>
      </c>
      <c r="E1020" s="13">
        <f t="shared" si="4"/>
        <v>0</v>
      </c>
      <c r="F1020" s="13">
        <f t="shared" si="5"/>
        <v>0</v>
      </c>
      <c r="G1020" s="13">
        <f t="shared" si="6"/>
        <v>1</v>
      </c>
      <c r="H1020" s="13">
        <f>'Orbit Info'!C1019*((C1020*$O$2)+(D1020*$O$3)+(E1020*$O$4)+(F1020*$O$5))</f>
        <v>0</v>
      </c>
      <c r="I1020" s="13">
        <f t="shared" si="7"/>
        <v>8.62426</v>
      </c>
      <c r="J1020" s="18">
        <f t="shared" si="8"/>
        <v>-0.1437376667</v>
      </c>
      <c r="K1020" s="18">
        <f t="shared" si="10"/>
        <v>86.33141033</v>
      </c>
      <c r="L1020" s="4"/>
      <c r="M1020" s="4"/>
      <c r="N1020" s="4"/>
      <c r="O1020" s="4"/>
      <c r="P1020" s="4"/>
      <c r="Q1020" s="4"/>
      <c r="R1020" s="4"/>
      <c r="S1020" s="4"/>
      <c r="T1020" s="4"/>
      <c r="U1020" s="4"/>
      <c r="V1020" s="4"/>
      <c r="W1020" s="4"/>
    </row>
    <row r="1021" ht="15.75" customHeight="1">
      <c r="A1021" s="13">
        <f t="shared" si="9"/>
        <v>1018</v>
      </c>
      <c r="B1021" s="18">
        <f>A1021/'Orbit Info'!$G$10</f>
        <v>10.75956691</v>
      </c>
      <c r="C1021" s="13">
        <f t="shared" si="2"/>
        <v>0</v>
      </c>
      <c r="D1021" s="13">
        <f t="shared" si="3"/>
        <v>1</v>
      </c>
      <c r="E1021" s="13">
        <f t="shared" si="4"/>
        <v>0</v>
      </c>
      <c r="F1021" s="13">
        <f t="shared" si="5"/>
        <v>0</v>
      </c>
      <c r="G1021" s="13">
        <f t="shared" si="6"/>
        <v>1</v>
      </c>
      <c r="H1021" s="13">
        <f>'Orbit Info'!C1020*((C1021*$O$2)+(D1021*$O$3)+(E1021*$O$4)+(F1021*$O$5))</f>
        <v>0</v>
      </c>
      <c r="I1021" s="13">
        <f t="shared" si="7"/>
        <v>8.62426</v>
      </c>
      <c r="J1021" s="18">
        <f t="shared" si="8"/>
        <v>-0.1437376667</v>
      </c>
      <c r="K1021" s="18">
        <f t="shared" si="10"/>
        <v>86.18767267</v>
      </c>
      <c r="L1021" s="4"/>
      <c r="M1021" s="4"/>
      <c r="N1021" s="4"/>
      <c r="O1021" s="4"/>
      <c r="P1021" s="4"/>
      <c r="Q1021" s="4"/>
      <c r="R1021" s="4"/>
      <c r="S1021" s="4"/>
      <c r="T1021" s="4"/>
      <c r="U1021" s="4"/>
      <c r="V1021" s="4"/>
      <c r="W1021" s="4"/>
    </row>
    <row r="1022" ht="15.75" customHeight="1">
      <c r="A1022" s="13">
        <f t="shared" si="9"/>
        <v>1019</v>
      </c>
      <c r="B1022" s="18">
        <f>A1022/'Orbit Info'!$G$10</f>
        <v>10.77013623</v>
      </c>
      <c r="C1022" s="13">
        <f t="shared" si="2"/>
        <v>0</v>
      </c>
      <c r="D1022" s="13">
        <f t="shared" si="3"/>
        <v>1</v>
      </c>
      <c r="E1022" s="13">
        <f t="shared" si="4"/>
        <v>0</v>
      </c>
      <c r="F1022" s="13">
        <f t="shared" si="5"/>
        <v>0</v>
      </c>
      <c r="G1022" s="13">
        <f t="shared" si="6"/>
        <v>1</v>
      </c>
      <c r="H1022" s="13">
        <f>'Orbit Info'!C1021*((C1022*$O$2)+(D1022*$O$3)+(E1022*$O$4)+(F1022*$O$5))</f>
        <v>0</v>
      </c>
      <c r="I1022" s="13">
        <f t="shared" si="7"/>
        <v>8.62426</v>
      </c>
      <c r="J1022" s="18">
        <f t="shared" si="8"/>
        <v>-0.1437376667</v>
      </c>
      <c r="K1022" s="18">
        <f t="shared" si="10"/>
        <v>86.043935</v>
      </c>
      <c r="L1022" s="4"/>
      <c r="M1022" s="4"/>
      <c r="N1022" s="4"/>
      <c r="O1022" s="4"/>
      <c r="P1022" s="4"/>
      <c r="Q1022" s="4"/>
      <c r="R1022" s="4"/>
      <c r="S1022" s="4"/>
      <c r="T1022" s="4"/>
      <c r="U1022" s="4"/>
      <c r="V1022" s="4"/>
      <c r="W1022" s="4"/>
    </row>
    <row r="1023" ht="15.75" customHeight="1">
      <c r="A1023" s="13">
        <f t="shared" si="9"/>
        <v>1020</v>
      </c>
      <c r="B1023" s="18">
        <f>A1023/'Orbit Info'!$G$10</f>
        <v>10.78070555</v>
      </c>
      <c r="C1023" s="13">
        <f t="shared" si="2"/>
        <v>0</v>
      </c>
      <c r="D1023" s="13">
        <f t="shared" si="3"/>
        <v>1</v>
      </c>
      <c r="E1023" s="13">
        <f t="shared" si="4"/>
        <v>0</v>
      </c>
      <c r="F1023" s="13">
        <f t="shared" si="5"/>
        <v>0</v>
      </c>
      <c r="G1023" s="13">
        <f t="shared" si="6"/>
        <v>1</v>
      </c>
      <c r="H1023" s="13">
        <f>'Orbit Info'!C1022*((C1023*$O$2)+(D1023*$O$3)+(E1023*$O$4)+(F1023*$O$5))</f>
        <v>0</v>
      </c>
      <c r="I1023" s="13">
        <f t="shared" si="7"/>
        <v>8.62426</v>
      </c>
      <c r="J1023" s="18">
        <f t="shared" si="8"/>
        <v>-0.1437376667</v>
      </c>
      <c r="K1023" s="18">
        <f t="shared" si="10"/>
        <v>85.90019733</v>
      </c>
      <c r="L1023" s="4"/>
      <c r="M1023" s="4"/>
      <c r="N1023" s="4"/>
      <c r="O1023" s="4"/>
      <c r="P1023" s="4"/>
      <c r="Q1023" s="4"/>
      <c r="R1023" s="4"/>
      <c r="S1023" s="4"/>
      <c r="T1023" s="4"/>
      <c r="U1023" s="4"/>
      <c r="V1023" s="4"/>
      <c r="W1023" s="4"/>
    </row>
    <row r="1024" ht="15.75" customHeight="1">
      <c r="A1024" s="13">
        <f t="shared" si="9"/>
        <v>1021</v>
      </c>
      <c r="B1024" s="18">
        <f>A1024/'Orbit Info'!$G$10</f>
        <v>10.79127487</v>
      </c>
      <c r="C1024" s="13">
        <f t="shared" si="2"/>
        <v>0</v>
      </c>
      <c r="D1024" s="13">
        <f t="shared" si="3"/>
        <v>1</v>
      </c>
      <c r="E1024" s="13">
        <f t="shared" si="4"/>
        <v>0</v>
      </c>
      <c r="F1024" s="13">
        <f t="shared" si="5"/>
        <v>0</v>
      </c>
      <c r="G1024" s="13">
        <f t="shared" si="6"/>
        <v>1</v>
      </c>
      <c r="H1024" s="13">
        <f>'Orbit Info'!C1023*((C1024*$O$2)+(D1024*$O$3)+(E1024*$O$4)+(F1024*$O$5))</f>
        <v>0</v>
      </c>
      <c r="I1024" s="13">
        <f t="shared" si="7"/>
        <v>8.62426</v>
      </c>
      <c r="J1024" s="18">
        <f t="shared" si="8"/>
        <v>-0.1437376667</v>
      </c>
      <c r="K1024" s="18">
        <f t="shared" si="10"/>
        <v>85.75645967</v>
      </c>
      <c r="L1024" s="4"/>
      <c r="M1024" s="4"/>
      <c r="N1024" s="4"/>
      <c r="O1024" s="4"/>
      <c r="P1024" s="4"/>
      <c r="Q1024" s="4"/>
      <c r="R1024" s="4"/>
      <c r="S1024" s="4"/>
      <c r="T1024" s="4"/>
      <c r="U1024" s="4"/>
      <c r="V1024" s="4"/>
      <c r="W1024" s="4"/>
    </row>
    <row r="1025" ht="15.75" customHeight="1">
      <c r="A1025" s="13">
        <f t="shared" si="9"/>
        <v>1022</v>
      </c>
      <c r="B1025" s="18">
        <f>A1025/'Orbit Info'!$G$10</f>
        <v>10.80184419</v>
      </c>
      <c r="C1025" s="13">
        <f t="shared" si="2"/>
        <v>0</v>
      </c>
      <c r="D1025" s="13">
        <f t="shared" si="3"/>
        <v>1</v>
      </c>
      <c r="E1025" s="13">
        <f t="shared" si="4"/>
        <v>0</v>
      </c>
      <c r="F1025" s="13">
        <f t="shared" si="5"/>
        <v>0</v>
      </c>
      <c r="G1025" s="13">
        <f t="shared" si="6"/>
        <v>1</v>
      </c>
      <c r="H1025" s="13">
        <f>'Orbit Info'!C1024*((C1025*$O$2)+(D1025*$O$3)+(E1025*$O$4)+(F1025*$O$5))</f>
        <v>0</v>
      </c>
      <c r="I1025" s="13">
        <f t="shared" si="7"/>
        <v>8.62426</v>
      </c>
      <c r="J1025" s="18">
        <f t="shared" si="8"/>
        <v>-0.1437376667</v>
      </c>
      <c r="K1025" s="18">
        <f t="shared" si="10"/>
        <v>85.612722</v>
      </c>
      <c r="L1025" s="4"/>
      <c r="M1025" s="4"/>
      <c r="N1025" s="4"/>
      <c r="O1025" s="4"/>
      <c r="P1025" s="4"/>
      <c r="Q1025" s="4"/>
      <c r="R1025" s="4"/>
      <c r="S1025" s="4"/>
      <c r="T1025" s="4"/>
      <c r="U1025" s="4"/>
      <c r="V1025" s="4"/>
      <c r="W1025" s="4"/>
    </row>
    <row r="1026" ht="15.75" customHeight="1">
      <c r="A1026" s="13">
        <f t="shared" si="9"/>
        <v>1023</v>
      </c>
      <c r="B1026" s="18">
        <f>A1026/'Orbit Info'!$G$10</f>
        <v>10.81241351</v>
      </c>
      <c r="C1026" s="13">
        <f t="shared" si="2"/>
        <v>0</v>
      </c>
      <c r="D1026" s="13">
        <f t="shared" si="3"/>
        <v>1</v>
      </c>
      <c r="E1026" s="13">
        <f t="shared" si="4"/>
        <v>0</v>
      </c>
      <c r="F1026" s="13">
        <f t="shared" si="5"/>
        <v>0</v>
      </c>
      <c r="G1026" s="13">
        <f t="shared" si="6"/>
        <v>1</v>
      </c>
      <c r="H1026" s="13">
        <f>'Orbit Info'!C1025*((C1026*$O$2)+(D1026*$O$3)+(E1026*$O$4)+(F1026*$O$5))</f>
        <v>0</v>
      </c>
      <c r="I1026" s="13">
        <f t="shared" si="7"/>
        <v>8.62426</v>
      </c>
      <c r="J1026" s="18">
        <f t="shared" si="8"/>
        <v>-0.1437376667</v>
      </c>
      <c r="K1026" s="18">
        <f t="shared" si="10"/>
        <v>85.46898433</v>
      </c>
      <c r="L1026" s="4"/>
      <c r="M1026" s="4"/>
      <c r="N1026" s="4"/>
      <c r="O1026" s="4"/>
      <c r="P1026" s="4"/>
      <c r="Q1026" s="4"/>
      <c r="R1026" s="4"/>
      <c r="S1026" s="4"/>
      <c r="T1026" s="4"/>
      <c r="U1026" s="4"/>
      <c r="V1026" s="4"/>
      <c r="W1026" s="4"/>
    </row>
    <row r="1027" ht="15.75" customHeight="1">
      <c r="A1027" s="13">
        <f t="shared" si="9"/>
        <v>1024</v>
      </c>
      <c r="B1027" s="18">
        <f>A1027/'Orbit Info'!$G$10</f>
        <v>10.82298283</v>
      </c>
      <c r="C1027" s="13">
        <f t="shared" si="2"/>
        <v>0</v>
      </c>
      <c r="D1027" s="13">
        <f t="shared" si="3"/>
        <v>1</v>
      </c>
      <c r="E1027" s="13">
        <f t="shared" si="4"/>
        <v>0</v>
      </c>
      <c r="F1027" s="13">
        <f t="shared" si="5"/>
        <v>0</v>
      </c>
      <c r="G1027" s="13">
        <f t="shared" si="6"/>
        <v>1</v>
      </c>
      <c r="H1027" s="13">
        <f>'Orbit Info'!C1026*((C1027*$O$2)+(D1027*$O$3)+(E1027*$O$4)+(F1027*$O$5))</f>
        <v>0</v>
      </c>
      <c r="I1027" s="13">
        <f t="shared" si="7"/>
        <v>8.62426</v>
      </c>
      <c r="J1027" s="18">
        <f t="shared" si="8"/>
        <v>-0.1437376667</v>
      </c>
      <c r="K1027" s="18">
        <f t="shared" si="10"/>
        <v>85.32524667</v>
      </c>
      <c r="L1027" s="4"/>
      <c r="M1027" s="4"/>
      <c r="N1027" s="4"/>
      <c r="O1027" s="4"/>
      <c r="P1027" s="4"/>
      <c r="Q1027" s="4"/>
      <c r="R1027" s="4"/>
      <c r="S1027" s="4"/>
      <c r="T1027" s="4"/>
      <c r="U1027" s="4"/>
      <c r="V1027" s="4"/>
      <c r="W1027" s="4"/>
    </row>
    <row r="1028" ht="15.75" customHeight="1">
      <c r="A1028" s="13">
        <f t="shared" si="9"/>
        <v>1025</v>
      </c>
      <c r="B1028" s="18">
        <f>A1028/'Orbit Info'!$G$10</f>
        <v>10.83355215</v>
      </c>
      <c r="C1028" s="13">
        <f t="shared" si="2"/>
        <v>0</v>
      </c>
      <c r="D1028" s="13">
        <f t="shared" si="3"/>
        <v>1</v>
      </c>
      <c r="E1028" s="13">
        <f t="shared" si="4"/>
        <v>0</v>
      </c>
      <c r="F1028" s="13">
        <f t="shared" si="5"/>
        <v>0</v>
      </c>
      <c r="G1028" s="13">
        <f t="shared" si="6"/>
        <v>1</v>
      </c>
      <c r="H1028" s="13">
        <f>'Orbit Info'!C1027*((C1028*$O$2)+(D1028*$O$3)+(E1028*$O$4)+(F1028*$O$5))</f>
        <v>0</v>
      </c>
      <c r="I1028" s="13">
        <f t="shared" si="7"/>
        <v>8.62426</v>
      </c>
      <c r="J1028" s="18">
        <f t="shared" si="8"/>
        <v>-0.1437376667</v>
      </c>
      <c r="K1028" s="18">
        <f t="shared" si="10"/>
        <v>85.181509</v>
      </c>
      <c r="L1028" s="4"/>
      <c r="M1028" s="4"/>
      <c r="N1028" s="4"/>
      <c r="O1028" s="4"/>
      <c r="P1028" s="4"/>
      <c r="Q1028" s="4"/>
      <c r="R1028" s="4"/>
      <c r="S1028" s="4"/>
      <c r="T1028" s="4"/>
      <c r="U1028" s="4"/>
      <c r="V1028" s="4"/>
      <c r="W1028" s="4"/>
    </row>
    <row r="1029" ht="15.75" customHeight="1">
      <c r="A1029" s="13">
        <f t="shared" si="9"/>
        <v>1026</v>
      </c>
      <c r="B1029" s="18">
        <f>A1029/'Orbit Info'!$G$10</f>
        <v>10.84412146</v>
      </c>
      <c r="C1029" s="13">
        <f t="shared" si="2"/>
        <v>0</v>
      </c>
      <c r="D1029" s="13">
        <f t="shared" si="3"/>
        <v>1</v>
      </c>
      <c r="E1029" s="13">
        <f t="shared" si="4"/>
        <v>0</v>
      </c>
      <c r="F1029" s="13">
        <f t="shared" si="5"/>
        <v>0</v>
      </c>
      <c r="G1029" s="13">
        <f t="shared" si="6"/>
        <v>1</v>
      </c>
      <c r="H1029" s="13">
        <f>'Orbit Info'!C1028*((C1029*$O$2)+(D1029*$O$3)+(E1029*$O$4)+(F1029*$O$5))</f>
        <v>0</v>
      </c>
      <c r="I1029" s="13">
        <f t="shared" si="7"/>
        <v>8.62426</v>
      </c>
      <c r="J1029" s="18">
        <f t="shared" si="8"/>
        <v>-0.1437376667</v>
      </c>
      <c r="K1029" s="18">
        <f t="shared" si="10"/>
        <v>85.03777133</v>
      </c>
      <c r="L1029" s="4"/>
      <c r="M1029" s="4"/>
      <c r="N1029" s="4"/>
      <c r="O1029" s="4"/>
      <c r="P1029" s="4"/>
      <c r="Q1029" s="4"/>
      <c r="R1029" s="4"/>
      <c r="S1029" s="4"/>
      <c r="T1029" s="4"/>
      <c r="U1029" s="4"/>
      <c r="V1029" s="4"/>
      <c r="W1029" s="4"/>
    </row>
    <row r="1030" ht="15.75" customHeight="1">
      <c r="A1030" s="13">
        <f t="shared" si="9"/>
        <v>1027</v>
      </c>
      <c r="B1030" s="18">
        <f>A1030/'Orbit Info'!$G$10</f>
        <v>10.85469078</v>
      </c>
      <c r="C1030" s="13">
        <f t="shared" si="2"/>
        <v>0</v>
      </c>
      <c r="D1030" s="13">
        <f t="shared" si="3"/>
        <v>1</v>
      </c>
      <c r="E1030" s="13">
        <f t="shared" si="4"/>
        <v>0</v>
      </c>
      <c r="F1030" s="13">
        <f t="shared" si="5"/>
        <v>0</v>
      </c>
      <c r="G1030" s="13">
        <f t="shared" si="6"/>
        <v>1</v>
      </c>
      <c r="H1030" s="13">
        <f>'Orbit Info'!C1029*((C1030*$O$2)+(D1030*$O$3)+(E1030*$O$4)+(F1030*$O$5))</f>
        <v>0</v>
      </c>
      <c r="I1030" s="13">
        <f t="shared" si="7"/>
        <v>8.62426</v>
      </c>
      <c r="J1030" s="18">
        <f t="shared" si="8"/>
        <v>-0.1437376667</v>
      </c>
      <c r="K1030" s="18">
        <f t="shared" si="10"/>
        <v>84.89403367</v>
      </c>
      <c r="L1030" s="4"/>
      <c r="M1030" s="4"/>
      <c r="N1030" s="4"/>
      <c r="O1030" s="4"/>
      <c r="P1030" s="4"/>
      <c r="Q1030" s="4"/>
      <c r="R1030" s="4"/>
      <c r="S1030" s="4"/>
      <c r="T1030" s="4"/>
      <c r="U1030" s="4"/>
      <c r="V1030" s="4"/>
      <c r="W1030" s="4"/>
    </row>
    <row r="1031" ht="15.75" customHeight="1">
      <c r="A1031" s="13">
        <f t="shared" si="9"/>
        <v>1028</v>
      </c>
      <c r="B1031" s="18">
        <f>A1031/'Orbit Info'!$G$10</f>
        <v>10.8652601</v>
      </c>
      <c r="C1031" s="13">
        <f t="shared" si="2"/>
        <v>0</v>
      </c>
      <c r="D1031" s="13">
        <f t="shared" si="3"/>
        <v>1</v>
      </c>
      <c r="E1031" s="13">
        <f t="shared" si="4"/>
        <v>0</v>
      </c>
      <c r="F1031" s="13">
        <f t="shared" si="5"/>
        <v>0</v>
      </c>
      <c r="G1031" s="13">
        <f t="shared" si="6"/>
        <v>1</v>
      </c>
      <c r="H1031" s="13">
        <f>'Orbit Info'!C1030*((C1031*$O$2)+(D1031*$O$3)+(E1031*$O$4)+(F1031*$O$5))</f>
        <v>0</v>
      </c>
      <c r="I1031" s="13">
        <f t="shared" si="7"/>
        <v>8.62426</v>
      </c>
      <c r="J1031" s="18">
        <f t="shared" si="8"/>
        <v>-0.1437376667</v>
      </c>
      <c r="K1031" s="18">
        <f t="shared" si="10"/>
        <v>84.750296</v>
      </c>
      <c r="L1031" s="4"/>
      <c r="M1031" s="4"/>
      <c r="N1031" s="4"/>
      <c r="O1031" s="4"/>
      <c r="P1031" s="4"/>
      <c r="Q1031" s="4"/>
      <c r="R1031" s="4"/>
      <c r="S1031" s="4"/>
      <c r="T1031" s="4"/>
      <c r="U1031" s="4"/>
      <c r="V1031" s="4"/>
      <c r="W1031" s="4"/>
    </row>
    <row r="1032" ht="15.75" customHeight="1">
      <c r="A1032" s="13">
        <f t="shared" si="9"/>
        <v>1029</v>
      </c>
      <c r="B1032" s="18">
        <f>A1032/'Orbit Info'!$G$10</f>
        <v>10.87582942</v>
      </c>
      <c r="C1032" s="13">
        <f t="shared" si="2"/>
        <v>0</v>
      </c>
      <c r="D1032" s="13">
        <f t="shared" si="3"/>
        <v>1</v>
      </c>
      <c r="E1032" s="13">
        <f t="shared" si="4"/>
        <v>0</v>
      </c>
      <c r="F1032" s="13">
        <f t="shared" si="5"/>
        <v>0</v>
      </c>
      <c r="G1032" s="13">
        <f t="shared" si="6"/>
        <v>1</v>
      </c>
      <c r="H1032" s="13">
        <f>'Orbit Info'!C1031*((C1032*$O$2)+(D1032*$O$3)+(E1032*$O$4)+(F1032*$O$5))</f>
        <v>0</v>
      </c>
      <c r="I1032" s="13">
        <f t="shared" si="7"/>
        <v>8.62426</v>
      </c>
      <c r="J1032" s="18">
        <f t="shared" si="8"/>
        <v>-0.1437376667</v>
      </c>
      <c r="K1032" s="18">
        <f t="shared" si="10"/>
        <v>84.60655833</v>
      </c>
      <c r="L1032" s="4"/>
      <c r="M1032" s="4"/>
      <c r="N1032" s="4"/>
      <c r="O1032" s="4"/>
      <c r="P1032" s="4"/>
      <c r="Q1032" s="4"/>
      <c r="R1032" s="4"/>
      <c r="S1032" s="4"/>
      <c r="T1032" s="4"/>
      <c r="U1032" s="4"/>
      <c r="V1032" s="4"/>
      <c r="W1032" s="4"/>
    </row>
    <row r="1033" ht="15.75" customHeight="1">
      <c r="A1033" s="13">
        <f t="shared" si="9"/>
        <v>1030</v>
      </c>
      <c r="B1033" s="18">
        <f>A1033/'Orbit Info'!$G$10</f>
        <v>10.88639874</v>
      </c>
      <c r="C1033" s="13">
        <f t="shared" si="2"/>
        <v>0</v>
      </c>
      <c r="D1033" s="13">
        <f t="shared" si="3"/>
        <v>1</v>
      </c>
      <c r="E1033" s="13">
        <f t="shared" si="4"/>
        <v>0</v>
      </c>
      <c r="F1033" s="13">
        <f t="shared" si="5"/>
        <v>0</v>
      </c>
      <c r="G1033" s="13">
        <f t="shared" si="6"/>
        <v>1</v>
      </c>
      <c r="H1033" s="13">
        <f>'Orbit Info'!C1032*((C1033*$O$2)+(D1033*$O$3)+(E1033*$O$4)+(F1033*$O$5))</f>
        <v>0</v>
      </c>
      <c r="I1033" s="13">
        <f t="shared" si="7"/>
        <v>8.62426</v>
      </c>
      <c r="J1033" s="18">
        <f t="shared" si="8"/>
        <v>-0.1437376667</v>
      </c>
      <c r="K1033" s="18">
        <f t="shared" si="10"/>
        <v>84.46282067</v>
      </c>
      <c r="L1033" s="4"/>
      <c r="M1033" s="4"/>
      <c r="N1033" s="4"/>
      <c r="O1033" s="4"/>
      <c r="P1033" s="4"/>
      <c r="Q1033" s="4"/>
      <c r="R1033" s="4"/>
      <c r="S1033" s="4"/>
      <c r="T1033" s="4"/>
      <c r="U1033" s="4"/>
      <c r="V1033" s="4"/>
      <c r="W1033" s="4"/>
    </row>
    <row r="1034" ht="15.75" customHeight="1">
      <c r="A1034" s="13">
        <f t="shared" si="9"/>
        <v>1031</v>
      </c>
      <c r="B1034" s="18">
        <f>A1034/'Orbit Info'!$G$10</f>
        <v>10.89696806</v>
      </c>
      <c r="C1034" s="13">
        <f t="shared" si="2"/>
        <v>0</v>
      </c>
      <c r="D1034" s="13">
        <f t="shared" si="3"/>
        <v>1</v>
      </c>
      <c r="E1034" s="13">
        <f t="shared" si="4"/>
        <v>0</v>
      </c>
      <c r="F1034" s="13">
        <f t="shared" si="5"/>
        <v>0</v>
      </c>
      <c r="G1034" s="13">
        <f t="shared" si="6"/>
        <v>1</v>
      </c>
      <c r="H1034" s="13">
        <f>'Orbit Info'!C1033*((C1034*$O$2)+(D1034*$O$3)+(E1034*$O$4)+(F1034*$O$5))</f>
        <v>0</v>
      </c>
      <c r="I1034" s="13">
        <f t="shared" si="7"/>
        <v>8.62426</v>
      </c>
      <c r="J1034" s="18">
        <f t="shared" si="8"/>
        <v>-0.1437376667</v>
      </c>
      <c r="K1034" s="18">
        <f t="shared" si="10"/>
        <v>84.319083</v>
      </c>
      <c r="L1034" s="4"/>
      <c r="M1034" s="4"/>
      <c r="N1034" s="4"/>
      <c r="O1034" s="4"/>
      <c r="P1034" s="4"/>
      <c r="Q1034" s="4"/>
      <c r="R1034" s="4"/>
      <c r="S1034" s="4"/>
      <c r="T1034" s="4"/>
      <c r="U1034" s="4"/>
      <c r="V1034" s="4"/>
      <c r="W1034" s="4"/>
    </row>
    <row r="1035" ht="15.75" customHeight="1">
      <c r="A1035" s="13">
        <f t="shared" si="9"/>
        <v>1032</v>
      </c>
      <c r="B1035" s="18">
        <f>A1035/'Orbit Info'!$G$10</f>
        <v>10.90753738</v>
      </c>
      <c r="C1035" s="13">
        <f t="shared" si="2"/>
        <v>0</v>
      </c>
      <c r="D1035" s="13">
        <f t="shared" si="3"/>
        <v>1</v>
      </c>
      <c r="E1035" s="13">
        <f t="shared" si="4"/>
        <v>0</v>
      </c>
      <c r="F1035" s="13">
        <f t="shared" si="5"/>
        <v>0</v>
      </c>
      <c r="G1035" s="13">
        <f t="shared" si="6"/>
        <v>1</v>
      </c>
      <c r="H1035" s="13">
        <f>'Orbit Info'!C1034*((C1035*$O$2)+(D1035*$O$3)+(E1035*$O$4)+(F1035*$O$5))</f>
        <v>0</v>
      </c>
      <c r="I1035" s="13">
        <f t="shared" si="7"/>
        <v>8.62426</v>
      </c>
      <c r="J1035" s="18">
        <f t="shared" si="8"/>
        <v>-0.1437376667</v>
      </c>
      <c r="K1035" s="18">
        <f t="shared" si="10"/>
        <v>84.17534533</v>
      </c>
      <c r="L1035" s="4"/>
      <c r="M1035" s="4"/>
      <c r="N1035" s="4"/>
      <c r="O1035" s="4"/>
      <c r="P1035" s="4"/>
      <c r="Q1035" s="4"/>
      <c r="R1035" s="4"/>
      <c r="S1035" s="4"/>
      <c r="T1035" s="4"/>
      <c r="U1035" s="4"/>
      <c r="V1035" s="4"/>
      <c r="W1035" s="4"/>
    </row>
    <row r="1036" ht="15.75" customHeight="1">
      <c r="A1036" s="13">
        <f t="shared" si="9"/>
        <v>1033</v>
      </c>
      <c r="B1036" s="18">
        <f>A1036/'Orbit Info'!$G$10</f>
        <v>10.9181067</v>
      </c>
      <c r="C1036" s="13">
        <f t="shared" si="2"/>
        <v>0</v>
      </c>
      <c r="D1036" s="13">
        <f t="shared" si="3"/>
        <v>1</v>
      </c>
      <c r="E1036" s="13">
        <f t="shared" si="4"/>
        <v>0</v>
      </c>
      <c r="F1036" s="13">
        <f t="shared" si="5"/>
        <v>0</v>
      </c>
      <c r="G1036" s="13">
        <f t="shared" si="6"/>
        <v>1</v>
      </c>
      <c r="H1036" s="13">
        <f>'Orbit Info'!C1035*((C1036*$O$2)+(D1036*$O$3)+(E1036*$O$4)+(F1036*$O$5))</f>
        <v>0</v>
      </c>
      <c r="I1036" s="13">
        <f t="shared" si="7"/>
        <v>8.62426</v>
      </c>
      <c r="J1036" s="18">
        <f t="shared" si="8"/>
        <v>-0.1437376667</v>
      </c>
      <c r="K1036" s="18">
        <f t="shared" si="10"/>
        <v>84.03160767</v>
      </c>
      <c r="L1036" s="4"/>
      <c r="M1036" s="4"/>
      <c r="N1036" s="4"/>
      <c r="O1036" s="4"/>
      <c r="P1036" s="4"/>
      <c r="Q1036" s="4"/>
      <c r="R1036" s="4"/>
      <c r="S1036" s="4"/>
      <c r="T1036" s="4"/>
      <c r="U1036" s="4"/>
      <c r="V1036" s="4"/>
      <c r="W1036" s="4"/>
    </row>
    <row r="1037" ht="15.75" customHeight="1">
      <c r="A1037" s="13">
        <f t="shared" si="9"/>
        <v>1034</v>
      </c>
      <c r="B1037" s="18">
        <f>A1037/'Orbit Info'!$G$10</f>
        <v>10.92867602</v>
      </c>
      <c r="C1037" s="13">
        <f t="shared" si="2"/>
        <v>0</v>
      </c>
      <c r="D1037" s="13">
        <f t="shared" si="3"/>
        <v>1</v>
      </c>
      <c r="E1037" s="13">
        <f t="shared" si="4"/>
        <v>0</v>
      </c>
      <c r="F1037" s="13">
        <f t="shared" si="5"/>
        <v>0</v>
      </c>
      <c r="G1037" s="13">
        <f t="shared" si="6"/>
        <v>1</v>
      </c>
      <c r="H1037" s="13">
        <f>'Orbit Info'!C1036*((C1037*$O$2)+(D1037*$O$3)+(E1037*$O$4)+(F1037*$O$5))</f>
        <v>0</v>
      </c>
      <c r="I1037" s="13">
        <f t="shared" si="7"/>
        <v>8.62426</v>
      </c>
      <c r="J1037" s="18">
        <f t="shared" si="8"/>
        <v>-0.1437376667</v>
      </c>
      <c r="K1037" s="18">
        <f t="shared" si="10"/>
        <v>83.88787</v>
      </c>
      <c r="L1037" s="4"/>
      <c r="M1037" s="4"/>
      <c r="N1037" s="4"/>
      <c r="O1037" s="4"/>
      <c r="P1037" s="4"/>
      <c r="Q1037" s="4"/>
      <c r="R1037" s="4"/>
      <c r="S1037" s="4"/>
      <c r="T1037" s="4"/>
      <c r="U1037" s="4"/>
      <c r="V1037" s="4"/>
      <c r="W1037" s="4"/>
    </row>
    <row r="1038" ht="15.75" customHeight="1">
      <c r="A1038" s="13">
        <f t="shared" si="9"/>
        <v>1035</v>
      </c>
      <c r="B1038" s="18">
        <f>A1038/'Orbit Info'!$G$10</f>
        <v>10.93924534</v>
      </c>
      <c r="C1038" s="13">
        <f t="shared" si="2"/>
        <v>0</v>
      </c>
      <c r="D1038" s="13">
        <f t="shared" si="3"/>
        <v>1</v>
      </c>
      <c r="E1038" s="13">
        <f t="shared" si="4"/>
        <v>0</v>
      </c>
      <c r="F1038" s="13">
        <f t="shared" si="5"/>
        <v>0</v>
      </c>
      <c r="G1038" s="13">
        <f t="shared" si="6"/>
        <v>1</v>
      </c>
      <c r="H1038" s="13">
        <f>'Orbit Info'!C1037*((C1038*$O$2)+(D1038*$O$3)+(E1038*$O$4)+(F1038*$O$5))</f>
        <v>0</v>
      </c>
      <c r="I1038" s="13">
        <f t="shared" si="7"/>
        <v>8.62426</v>
      </c>
      <c r="J1038" s="18">
        <f t="shared" si="8"/>
        <v>-0.1437376667</v>
      </c>
      <c r="K1038" s="18">
        <f t="shared" si="10"/>
        <v>83.74413233</v>
      </c>
      <c r="L1038" s="4"/>
      <c r="M1038" s="4"/>
      <c r="N1038" s="4"/>
      <c r="O1038" s="4"/>
      <c r="P1038" s="4"/>
      <c r="Q1038" s="4"/>
      <c r="R1038" s="4"/>
      <c r="S1038" s="4"/>
      <c r="T1038" s="4"/>
      <c r="U1038" s="4"/>
      <c r="V1038" s="4"/>
      <c r="W1038" s="4"/>
    </row>
    <row r="1039" ht="15.75" customHeight="1">
      <c r="A1039" s="13">
        <f t="shared" si="9"/>
        <v>1036</v>
      </c>
      <c r="B1039" s="18">
        <f>A1039/'Orbit Info'!$G$10</f>
        <v>10.94981466</v>
      </c>
      <c r="C1039" s="13">
        <f t="shared" si="2"/>
        <v>0</v>
      </c>
      <c r="D1039" s="13">
        <f t="shared" si="3"/>
        <v>1</v>
      </c>
      <c r="E1039" s="13">
        <f t="shared" si="4"/>
        <v>0</v>
      </c>
      <c r="F1039" s="13">
        <f t="shared" si="5"/>
        <v>0</v>
      </c>
      <c r="G1039" s="13">
        <f t="shared" si="6"/>
        <v>1</v>
      </c>
      <c r="H1039" s="13">
        <f>'Orbit Info'!C1038*((C1039*$O$2)+(D1039*$O$3)+(E1039*$O$4)+(F1039*$O$5))</f>
        <v>0</v>
      </c>
      <c r="I1039" s="13">
        <f t="shared" si="7"/>
        <v>8.62426</v>
      </c>
      <c r="J1039" s="18">
        <f t="shared" si="8"/>
        <v>-0.1437376667</v>
      </c>
      <c r="K1039" s="18">
        <f t="shared" si="10"/>
        <v>83.60039467</v>
      </c>
      <c r="L1039" s="4"/>
      <c r="M1039" s="4"/>
      <c r="N1039" s="4"/>
      <c r="O1039" s="4"/>
      <c r="P1039" s="4"/>
      <c r="Q1039" s="4"/>
      <c r="R1039" s="4"/>
      <c r="S1039" s="4"/>
      <c r="T1039" s="4"/>
      <c r="U1039" s="4"/>
      <c r="V1039" s="4"/>
      <c r="W1039" s="4"/>
    </row>
    <row r="1040" ht="15.75" customHeight="1">
      <c r="A1040" s="13">
        <f t="shared" si="9"/>
        <v>1037</v>
      </c>
      <c r="B1040" s="18">
        <f>A1040/'Orbit Info'!$G$10</f>
        <v>10.96038398</v>
      </c>
      <c r="C1040" s="13">
        <f t="shared" si="2"/>
        <v>0</v>
      </c>
      <c r="D1040" s="13">
        <f t="shared" si="3"/>
        <v>1</v>
      </c>
      <c r="E1040" s="13">
        <f t="shared" si="4"/>
        <v>0</v>
      </c>
      <c r="F1040" s="13">
        <f t="shared" si="5"/>
        <v>0</v>
      </c>
      <c r="G1040" s="13">
        <f t="shared" si="6"/>
        <v>1</v>
      </c>
      <c r="H1040" s="13">
        <f>'Orbit Info'!C1039*((C1040*$O$2)+(D1040*$O$3)+(E1040*$O$4)+(F1040*$O$5))</f>
        <v>0</v>
      </c>
      <c r="I1040" s="13">
        <f t="shared" si="7"/>
        <v>8.62426</v>
      </c>
      <c r="J1040" s="18">
        <f t="shared" si="8"/>
        <v>-0.1437376667</v>
      </c>
      <c r="K1040" s="18">
        <f t="shared" si="10"/>
        <v>83.456657</v>
      </c>
      <c r="L1040" s="4"/>
      <c r="M1040" s="4"/>
      <c r="N1040" s="4"/>
      <c r="O1040" s="4"/>
      <c r="P1040" s="4"/>
      <c r="Q1040" s="4"/>
      <c r="R1040" s="4"/>
      <c r="S1040" s="4"/>
      <c r="T1040" s="4"/>
      <c r="U1040" s="4"/>
      <c r="V1040" s="4"/>
      <c r="W1040" s="4"/>
    </row>
    <row r="1041" ht="15.75" customHeight="1">
      <c r="A1041" s="13">
        <f t="shared" si="9"/>
        <v>1038</v>
      </c>
      <c r="B1041" s="18">
        <f>A1041/'Orbit Info'!$G$10</f>
        <v>10.97095329</v>
      </c>
      <c r="C1041" s="13">
        <f t="shared" si="2"/>
        <v>0</v>
      </c>
      <c r="D1041" s="13">
        <f t="shared" si="3"/>
        <v>1</v>
      </c>
      <c r="E1041" s="13">
        <f t="shared" si="4"/>
        <v>0</v>
      </c>
      <c r="F1041" s="13">
        <f t="shared" si="5"/>
        <v>0</v>
      </c>
      <c r="G1041" s="13">
        <f t="shared" si="6"/>
        <v>1</v>
      </c>
      <c r="H1041" s="13">
        <f>'Orbit Info'!C1040*((C1041*$O$2)+(D1041*$O$3)+(E1041*$O$4)+(F1041*$O$5))</f>
        <v>0</v>
      </c>
      <c r="I1041" s="13">
        <f t="shared" si="7"/>
        <v>8.62426</v>
      </c>
      <c r="J1041" s="18">
        <f t="shared" si="8"/>
        <v>-0.1437376667</v>
      </c>
      <c r="K1041" s="18">
        <f t="shared" si="10"/>
        <v>83.31291933</v>
      </c>
      <c r="L1041" s="4"/>
      <c r="M1041" s="4"/>
      <c r="N1041" s="4"/>
      <c r="O1041" s="4"/>
      <c r="P1041" s="4"/>
      <c r="Q1041" s="4"/>
      <c r="R1041" s="4"/>
      <c r="S1041" s="4"/>
      <c r="T1041" s="4"/>
      <c r="U1041" s="4"/>
      <c r="V1041" s="4"/>
      <c r="W1041" s="4"/>
    </row>
    <row r="1042" ht="15.75" customHeight="1">
      <c r="A1042" s="13">
        <f t="shared" si="9"/>
        <v>1039</v>
      </c>
      <c r="B1042" s="18">
        <f>A1042/'Orbit Info'!$G$10</f>
        <v>10.98152261</v>
      </c>
      <c r="C1042" s="13">
        <f t="shared" si="2"/>
        <v>0</v>
      </c>
      <c r="D1042" s="13">
        <f t="shared" si="3"/>
        <v>1</v>
      </c>
      <c r="E1042" s="13">
        <f t="shared" si="4"/>
        <v>0</v>
      </c>
      <c r="F1042" s="13">
        <f t="shared" si="5"/>
        <v>0</v>
      </c>
      <c r="G1042" s="13">
        <f t="shared" si="6"/>
        <v>1</v>
      </c>
      <c r="H1042" s="13">
        <f>'Orbit Info'!C1041*((C1042*$O$2)+(D1042*$O$3)+(E1042*$O$4)+(F1042*$O$5))</f>
        <v>0</v>
      </c>
      <c r="I1042" s="13">
        <f t="shared" si="7"/>
        <v>8.62426</v>
      </c>
      <c r="J1042" s="18">
        <f t="shared" si="8"/>
        <v>-0.1437376667</v>
      </c>
      <c r="K1042" s="18">
        <f t="shared" si="10"/>
        <v>83.16918167</v>
      </c>
      <c r="L1042" s="4"/>
      <c r="M1042" s="4"/>
      <c r="N1042" s="4"/>
      <c r="O1042" s="4"/>
      <c r="P1042" s="4"/>
      <c r="Q1042" s="4"/>
      <c r="R1042" s="4"/>
      <c r="S1042" s="4"/>
      <c r="T1042" s="4"/>
      <c r="U1042" s="4"/>
      <c r="V1042" s="4"/>
      <c r="W1042" s="4"/>
    </row>
    <row r="1043" ht="15.75" customHeight="1">
      <c r="A1043" s="13">
        <f t="shared" si="9"/>
        <v>1040</v>
      </c>
      <c r="B1043" s="18">
        <f>A1043/'Orbit Info'!$G$10</f>
        <v>10.99209193</v>
      </c>
      <c r="C1043" s="13">
        <f t="shared" si="2"/>
        <v>0</v>
      </c>
      <c r="D1043" s="13">
        <f t="shared" si="3"/>
        <v>1</v>
      </c>
      <c r="E1043" s="13">
        <f t="shared" si="4"/>
        <v>0</v>
      </c>
      <c r="F1043" s="13">
        <f t="shared" si="5"/>
        <v>0</v>
      </c>
      <c r="G1043" s="13">
        <f t="shared" si="6"/>
        <v>1</v>
      </c>
      <c r="H1043" s="13">
        <f>'Orbit Info'!C1042*((C1043*$O$2)+(D1043*$O$3)+(E1043*$O$4)+(F1043*$O$5))</f>
        <v>0</v>
      </c>
      <c r="I1043" s="13">
        <f t="shared" si="7"/>
        <v>8.62426</v>
      </c>
      <c r="J1043" s="18">
        <f t="shared" si="8"/>
        <v>-0.1437376667</v>
      </c>
      <c r="K1043" s="18">
        <f t="shared" si="10"/>
        <v>83.025444</v>
      </c>
      <c r="L1043" s="4"/>
      <c r="M1043" s="4"/>
      <c r="N1043" s="4"/>
      <c r="O1043" s="4"/>
      <c r="P1043" s="4"/>
      <c r="Q1043" s="4"/>
      <c r="R1043" s="4"/>
      <c r="S1043" s="4"/>
      <c r="T1043" s="4"/>
      <c r="U1043" s="4"/>
      <c r="V1043" s="4"/>
      <c r="W1043" s="4"/>
    </row>
    <row r="1044" ht="15.75" customHeight="1">
      <c r="A1044" s="13">
        <f t="shared" si="9"/>
        <v>1041</v>
      </c>
      <c r="B1044" s="18">
        <f>A1044/'Orbit Info'!$G$10</f>
        <v>11.00266125</v>
      </c>
      <c r="C1044" s="13">
        <f t="shared" si="2"/>
        <v>0</v>
      </c>
      <c r="D1044" s="13">
        <f t="shared" si="3"/>
        <v>1</v>
      </c>
      <c r="E1044" s="13">
        <f t="shared" si="4"/>
        <v>0</v>
      </c>
      <c r="F1044" s="13">
        <f t="shared" si="5"/>
        <v>0</v>
      </c>
      <c r="G1044" s="13">
        <f t="shared" si="6"/>
        <v>1</v>
      </c>
      <c r="H1044" s="13">
        <f>'Orbit Info'!C1043*((C1044*$O$2)+(D1044*$O$3)+(E1044*$O$4)+(F1044*$O$5))</f>
        <v>15.628032</v>
      </c>
      <c r="I1044" s="13">
        <f t="shared" si="7"/>
        <v>8.62426</v>
      </c>
      <c r="J1044" s="18">
        <f t="shared" si="8"/>
        <v>0.1167295333</v>
      </c>
      <c r="K1044" s="18">
        <f t="shared" si="10"/>
        <v>83.14217353</v>
      </c>
      <c r="L1044" s="4"/>
      <c r="M1044" s="4"/>
      <c r="N1044" s="4"/>
      <c r="O1044" s="4"/>
      <c r="P1044" s="4"/>
      <c r="Q1044" s="4"/>
      <c r="R1044" s="4"/>
      <c r="S1044" s="4"/>
      <c r="T1044" s="4"/>
      <c r="U1044" s="4"/>
      <c r="V1044" s="4"/>
      <c r="W1044" s="4"/>
    </row>
    <row r="1045" ht="15.75" customHeight="1">
      <c r="A1045" s="13">
        <f t="shared" si="9"/>
        <v>1042</v>
      </c>
      <c r="B1045" s="18">
        <f>A1045/'Orbit Info'!$G$10</f>
        <v>11.01323057</v>
      </c>
      <c r="C1045" s="13">
        <f t="shared" si="2"/>
        <v>0</v>
      </c>
      <c r="D1045" s="13">
        <f t="shared" si="3"/>
        <v>1</v>
      </c>
      <c r="E1045" s="13">
        <f t="shared" si="4"/>
        <v>0</v>
      </c>
      <c r="F1045" s="13">
        <f t="shared" si="5"/>
        <v>0</v>
      </c>
      <c r="G1045" s="13">
        <f t="shared" si="6"/>
        <v>1</v>
      </c>
      <c r="H1045" s="13">
        <f>'Orbit Info'!C1044*((C1045*$O$2)+(D1045*$O$3)+(E1045*$O$4)+(F1045*$O$5))</f>
        <v>15.628032</v>
      </c>
      <c r="I1045" s="13">
        <f t="shared" si="7"/>
        <v>8.62426</v>
      </c>
      <c r="J1045" s="18">
        <f t="shared" si="8"/>
        <v>0.1167295333</v>
      </c>
      <c r="K1045" s="18">
        <f t="shared" si="10"/>
        <v>83.25890307</v>
      </c>
      <c r="L1045" s="4"/>
      <c r="M1045" s="4"/>
      <c r="N1045" s="4"/>
      <c r="O1045" s="4"/>
      <c r="P1045" s="4"/>
      <c r="Q1045" s="4"/>
      <c r="R1045" s="4"/>
      <c r="S1045" s="4"/>
      <c r="T1045" s="4"/>
      <c r="U1045" s="4"/>
      <c r="V1045" s="4"/>
      <c r="W1045" s="4"/>
    </row>
    <row r="1046" ht="15.75" customHeight="1">
      <c r="A1046" s="13">
        <f t="shared" si="9"/>
        <v>1043</v>
      </c>
      <c r="B1046" s="18">
        <f>A1046/'Orbit Info'!$G$10</f>
        <v>11.02379989</v>
      </c>
      <c r="C1046" s="13">
        <f t="shared" si="2"/>
        <v>0</v>
      </c>
      <c r="D1046" s="13">
        <f t="shared" si="3"/>
        <v>1</v>
      </c>
      <c r="E1046" s="13">
        <f t="shared" si="4"/>
        <v>0</v>
      </c>
      <c r="F1046" s="13">
        <f t="shared" si="5"/>
        <v>0</v>
      </c>
      <c r="G1046" s="13">
        <f t="shared" si="6"/>
        <v>1</v>
      </c>
      <c r="H1046" s="13">
        <f>'Orbit Info'!C1045*((C1046*$O$2)+(D1046*$O$3)+(E1046*$O$4)+(F1046*$O$5))</f>
        <v>15.628032</v>
      </c>
      <c r="I1046" s="13">
        <f t="shared" si="7"/>
        <v>8.62426</v>
      </c>
      <c r="J1046" s="18">
        <f t="shared" si="8"/>
        <v>0.1167295333</v>
      </c>
      <c r="K1046" s="18">
        <f t="shared" si="10"/>
        <v>83.3756326</v>
      </c>
      <c r="L1046" s="4"/>
      <c r="M1046" s="4"/>
      <c r="N1046" s="4"/>
      <c r="O1046" s="4"/>
      <c r="P1046" s="4"/>
      <c r="Q1046" s="4"/>
      <c r="R1046" s="4"/>
      <c r="S1046" s="4"/>
      <c r="T1046" s="4"/>
      <c r="U1046" s="4"/>
      <c r="V1046" s="4"/>
      <c r="W1046" s="4"/>
    </row>
    <row r="1047" ht="15.75" customHeight="1">
      <c r="A1047" s="13">
        <f t="shared" si="9"/>
        <v>1044</v>
      </c>
      <c r="B1047" s="18">
        <f>A1047/'Orbit Info'!$G$10</f>
        <v>11.03436921</v>
      </c>
      <c r="C1047" s="13">
        <f t="shared" si="2"/>
        <v>0</v>
      </c>
      <c r="D1047" s="13">
        <f t="shared" si="3"/>
        <v>1</v>
      </c>
      <c r="E1047" s="13">
        <f t="shared" si="4"/>
        <v>0</v>
      </c>
      <c r="F1047" s="13">
        <f t="shared" si="5"/>
        <v>0</v>
      </c>
      <c r="G1047" s="13">
        <f t="shared" si="6"/>
        <v>1</v>
      </c>
      <c r="H1047" s="13">
        <f>'Orbit Info'!C1046*((C1047*$O$2)+(D1047*$O$3)+(E1047*$O$4)+(F1047*$O$5))</f>
        <v>15.628032</v>
      </c>
      <c r="I1047" s="13">
        <f t="shared" si="7"/>
        <v>8.62426</v>
      </c>
      <c r="J1047" s="18">
        <f t="shared" si="8"/>
        <v>0.1167295333</v>
      </c>
      <c r="K1047" s="18">
        <f t="shared" si="10"/>
        <v>83.49236213</v>
      </c>
      <c r="L1047" s="4"/>
      <c r="M1047" s="4"/>
      <c r="N1047" s="4"/>
      <c r="O1047" s="4"/>
      <c r="P1047" s="4"/>
      <c r="Q1047" s="4"/>
      <c r="R1047" s="4"/>
      <c r="S1047" s="4"/>
      <c r="T1047" s="4"/>
      <c r="U1047" s="4"/>
      <c r="V1047" s="4"/>
      <c r="W1047" s="4"/>
    </row>
    <row r="1048" ht="15.75" customHeight="1">
      <c r="A1048" s="13">
        <f t="shared" si="9"/>
        <v>1045</v>
      </c>
      <c r="B1048" s="18">
        <f>A1048/'Orbit Info'!$G$10</f>
        <v>11.04493853</v>
      </c>
      <c r="C1048" s="13">
        <f t="shared" si="2"/>
        <v>0</v>
      </c>
      <c r="D1048" s="13">
        <f t="shared" si="3"/>
        <v>1</v>
      </c>
      <c r="E1048" s="13">
        <f t="shared" si="4"/>
        <v>0</v>
      </c>
      <c r="F1048" s="13">
        <f t="shared" si="5"/>
        <v>0</v>
      </c>
      <c r="G1048" s="13">
        <f t="shared" si="6"/>
        <v>1</v>
      </c>
      <c r="H1048" s="13">
        <f>'Orbit Info'!C1047*((C1048*$O$2)+(D1048*$O$3)+(E1048*$O$4)+(F1048*$O$5))</f>
        <v>15.628032</v>
      </c>
      <c r="I1048" s="13">
        <f t="shared" si="7"/>
        <v>8.62426</v>
      </c>
      <c r="J1048" s="18">
        <f t="shared" si="8"/>
        <v>0.1167295333</v>
      </c>
      <c r="K1048" s="18">
        <f t="shared" si="10"/>
        <v>83.60909167</v>
      </c>
      <c r="L1048" s="4"/>
      <c r="M1048" s="4"/>
      <c r="N1048" s="4"/>
      <c r="O1048" s="4"/>
      <c r="P1048" s="4"/>
      <c r="Q1048" s="4"/>
      <c r="R1048" s="4"/>
      <c r="S1048" s="4"/>
      <c r="T1048" s="4"/>
      <c r="U1048" s="4"/>
      <c r="V1048" s="4"/>
      <c r="W1048" s="4"/>
    </row>
    <row r="1049" ht="15.75" customHeight="1">
      <c r="A1049" s="13">
        <f t="shared" si="9"/>
        <v>1046</v>
      </c>
      <c r="B1049" s="18">
        <f>A1049/'Orbit Info'!$G$10</f>
        <v>11.05550785</v>
      </c>
      <c r="C1049" s="13">
        <f t="shared" si="2"/>
        <v>0</v>
      </c>
      <c r="D1049" s="13">
        <f t="shared" si="3"/>
        <v>1</v>
      </c>
      <c r="E1049" s="13">
        <f t="shared" si="4"/>
        <v>0</v>
      </c>
      <c r="F1049" s="13">
        <f t="shared" si="5"/>
        <v>0</v>
      </c>
      <c r="G1049" s="13">
        <f t="shared" si="6"/>
        <v>1</v>
      </c>
      <c r="H1049" s="13">
        <f>'Orbit Info'!C1048*((C1049*$O$2)+(D1049*$O$3)+(E1049*$O$4)+(F1049*$O$5))</f>
        <v>15.628032</v>
      </c>
      <c r="I1049" s="13">
        <f t="shared" si="7"/>
        <v>8.62426</v>
      </c>
      <c r="J1049" s="18">
        <f t="shared" si="8"/>
        <v>0.1167295333</v>
      </c>
      <c r="K1049" s="18">
        <f t="shared" si="10"/>
        <v>83.7258212</v>
      </c>
      <c r="L1049" s="4"/>
      <c r="M1049" s="4"/>
      <c r="N1049" s="4"/>
      <c r="O1049" s="4"/>
      <c r="P1049" s="4"/>
      <c r="Q1049" s="4"/>
      <c r="R1049" s="4"/>
      <c r="S1049" s="4"/>
      <c r="T1049" s="4"/>
      <c r="U1049" s="4"/>
      <c r="V1049" s="4"/>
      <c r="W1049" s="4"/>
    </row>
    <row r="1050" ht="15.75" customHeight="1">
      <c r="A1050" s="13">
        <f t="shared" si="9"/>
        <v>1047</v>
      </c>
      <c r="B1050" s="18">
        <f>A1050/'Orbit Info'!$G$10</f>
        <v>11.06607717</v>
      </c>
      <c r="C1050" s="13">
        <f t="shared" si="2"/>
        <v>0</v>
      </c>
      <c r="D1050" s="13">
        <f t="shared" si="3"/>
        <v>1</v>
      </c>
      <c r="E1050" s="13">
        <f t="shared" si="4"/>
        <v>0</v>
      </c>
      <c r="F1050" s="13">
        <f t="shared" si="5"/>
        <v>0</v>
      </c>
      <c r="G1050" s="13">
        <f t="shared" si="6"/>
        <v>1</v>
      </c>
      <c r="H1050" s="13">
        <f>'Orbit Info'!C1049*((C1050*$O$2)+(D1050*$O$3)+(E1050*$O$4)+(F1050*$O$5))</f>
        <v>15.628032</v>
      </c>
      <c r="I1050" s="13">
        <f t="shared" si="7"/>
        <v>8.62426</v>
      </c>
      <c r="J1050" s="18">
        <f t="shared" si="8"/>
        <v>0.1167295333</v>
      </c>
      <c r="K1050" s="18">
        <f t="shared" si="10"/>
        <v>83.84255073</v>
      </c>
      <c r="L1050" s="4"/>
      <c r="M1050" s="4"/>
      <c r="N1050" s="4"/>
      <c r="O1050" s="4"/>
      <c r="P1050" s="4"/>
      <c r="Q1050" s="4"/>
      <c r="R1050" s="4"/>
      <c r="S1050" s="4"/>
      <c r="T1050" s="4"/>
      <c r="U1050" s="4"/>
      <c r="V1050" s="4"/>
      <c r="W1050" s="4"/>
    </row>
    <row r="1051" ht="15.75" customHeight="1">
      <c r="A1051" s="13">
        <f t="shared" si="9"/>
        <v>1048</v>
      </c>
      <c r="B1051" s="18">
        <f>A1051/'Orbit Info'!$G$10</f>
        <v>11.07664649</v>
      </c>
      <c r="C1051" s="13">
        <f t="shared" si="2"/>
        <v>0</v>
      </c>
      <c r="D1051" s="13">
        <f t="shared" si="3"/>
        <v>1</v>
      </c>
      <c r="E1051" s="13">
        <f t="shared" si="4"/>
        <v>0</v>
      </c>
      <c r="F1051" s="13">
        <f t="shared" si="5"/>
        <v>0</v>
      </c>
      <c r="G1051" s="13">
        <f t="shared" si="6"/>
        <v>1</v>
      </c>
      <c r="H1051" s="13">
        <f>'Orbit Info'!C1050*((C1051*$O$2)+(D1051*$O$3)+(E1051*$O$4)+(F1051*$O$5))</f>
        <v>15.628032</v>
      </c>
      <c r="I1051" s="13">
        <f t="shared" si="7"/>
        <v>8.62426</v>
      </c>
      <c r="J1051" s="18">
        <f t="shared" si="8"/>
        <v>0.1167295333</v>
      </c>
      <c r="K1051" s="18">
        <f t="shared" si="10"/>
        <v>83.95928027</v>
      </c>
      <c r="L1051" s="4"/>
      <c r="M1051" s="4"/>
      <c r="N1051" s="4"/>
      <c r="O1051" s="4"/>
      <c r="P1051" s="4"/>
      <c r="Q1051" s="4"/>
      <c r="R1051" s="4"/>
      <c r="S1051" s="4"/>
      <c r="T1051" s="4"/>
      <c r="U1051" s="4"/>
      <c r="V1051" s="4"/>
      <c r="W1051" s="4"/>
    </row>
    <row r="1052" ht="15.75" customHeight="1">
      <c r="A1052" s="13">
        <f t="shared" si="9"/>
        <v>1049</v>
      </c>
      <c r="B1052" s="18">
        <f>A1052/'Orbit Info'!$G$10</f>
        <v>11.08721581</v>
      </c>
      <c r="C1052" s="13">
        <f t="shared" si="2"/>
        <v>0</v>
      </c>
      <c r="D1052" s="13">
        <f t="shared" si="3"/>
        <v>1</v>
      </c>
      <c r="E1052" s="13">
        <f t="shared" si="4"/>
        <v>0</v>
      </c>
      <c r="F1052" s="13">
        <f t="shared" si="5"/>
        <v>0</v>
      </c>
      <c r="G1052" s="13">
        <f t="shared" si="6"/>
        <v>1</v>
      </c>
      <c r="H1052" s="13">
        <f>'Orbit Info'!C1051*((C1052*$O$2)+(D1052*$O$3)+(E1052*$O$4)+(F1052*$O$5))</f>
        <v>15.628032</v>
      </c>
      <c r="I1052" s="13">
        <f t="shared" si="7"/>
        <v>8.62426</v>
      </c>
      <c r="J1052" s="18">
        <f t="shared" si="8"/>
        <v>0.1167295333</v>
      </c>
      <c r="K1052" s="18">
        <f t="shared" si="10"/>
        <v>84.0760098</v>
      </c>
      <c r="L1052" s="4"/>
      <c r="M1052" s="4"/>
      <c r="N1052" s="4"/>
      <c r="O1052" s="4"/>
      <c r="P1052" s="4"/>
      <c r="Q1052" s="4"/>
      <c r="R1052" s="4"/>
      <c r="S1052" s="4"/>
      <c r="T1052" s="4"/>
      <c r="U1052" s="4"/>
      <c r="V1052" s="4"/>
      <c r="W1052" s="4"/>
    </row>
    <row r="1053" ht="15.75" customHeight="1">
      <c r="A1053" s="13">
        <f t="shared" si="9"/>
        <v>1050</v>
      </c>
      <c r="B1053" s="18">
        <f>A1053/'Orbit Info'!$G$10</f>
        <v>11.09778512</v>
      </c>
      <c r="C1053" s="13">
        <f t="shared" si="2"/>
        <v>0</v>
      </c>
      <c r="D1053" s="13">
        <f t="shared" si="3"/>
        <v>1</v>
      </c>
      <c r="E1053" s="13">
        <f t="shared" si="4"/>
        <v>0</v>
      </c>
      <c r="F1053" s="13">
        <f t="shared" si="5"/>
        <v>0</v>
      </c>
      <c r="G1053" s="13">
        <f t="shared" si="6"/>
        <v>1</v>
      </c>
      <c r="H1053" s="13">
        <f>'Orbit Info'!C1052*((C1053*$O$2)+(D1053*$O$3)+(E1053*$O$4)+(F1053*$O$5))</f>
        <v>15.628032</v>
      </c>
      <c r="I1053" s="13">
        <f t="shared" si="7"/>
        <v>8.62426</v>
      </c>
      <c r="J1053" s="18">
        <f t="shared" si="8"/>
        <v>0.1167295333</v>
      </c>
      <c r="K1053" s="18">
        <f t="shared" si="10"/>
        <v>84.19273933</v>
      </c>
      <c r="L1053" s="4"/>
      <c r="M1053" s="4"/>
      <c r="N1053" s="4"/>
      <c r="O1053" s="4"/>
      <c r="P1053" s="4"/>
      <c r="Q1053" s="4"/>
      <c r="R1053" s="4"/>
      <c r="S1053" s="4"/>
      <c r="T1053" s="4"/>
      <c r="U1053" s="4"/>
      <c r="V1053" s="4"/>
      <c r="W1053" s="4"/>
    </row>
    <row r="1054" ht="15.75" customHeight="1">
      <c r="A1054" s="13">
        <f t="shared" si="9"/>
        <v>1051</v>
      </c>
      <c r="B1054" s="18">
        <f>A1054/'Orbit Info'!$G$10</f>
        <v>11.10835444</v>
      </c>
      <c r="C1054" s="13">
        <f t="shared" si="2"/>
        <v>0</v>
      </c>
      <c r="D1054" s="13">
        <f t="shared" si="3"/>
        <v>1</v>
      </c>
      <c r="E1054" s="13">
        <f t="shared" si="4"/>
        <v>0</v>
      </c>
      <c r="F1054" s="13">
        <f t="shared" si="5"/>
        <v>0</v>
      </c>
      <c r="G1054" s="13">
        <f t="shared" si="6"/>
        <v>1</v>
      </c>
      <c r="H1054" s="13">
        <f>'Orbit Info'!C1053*((C1054*$O$2)+(D1054*$O$3)+(E1054*$O$4)+(F1054*$O$5))</f>
        <v>15.628032</v>
      </c>
      <c r="I1054" s="13">
        <f t="shared" si="7"/>
        <v>8.62426</v>
      </c>
      <c r="J1054" s="18">
        <f t="shared" si="8"/>
        <v>0.1167295333</v>
      </c>
      <c r="K1054" s="18">
        <f t="shared" si="10"/>
        <v>84.30946887</v>
      </c>
      <c r="L1054" s="4"/>
      <c r="M1054" s="4"/>
      <c r="N1054" s="4"/>
      <c r="O1054" s="4"/>
      <c r="P1054" s="4"/>
      <c r="Q1054" s="4"/>
      <c r="R1054" s="4"/>
      <c r="S1054" s="4"/>
      <c r="T1054" s="4"/>
      <c r="U1054" s="4"/>
      <c r="V1054" s="4"/>
      <c r="W1054" s="4"/>
    </row>
    <row r="1055" ht="15.75" customHeight="1">
      <c r="A1055" s="13">
        <f t="shared" si="9"/>
        <v>1052</v>
      </c>
      <c r="B1055" s="18">
        <f>A1055/'Orbit Info'!$G$10</f>
        <v>11.11892376</v>
      </c>
      <c r="C1055" s="13">
        <f t="shared" si="2"/>
        <v>0</v>
      </c>
      <c r="D1055" s="13">
        <f t="shared" si="3"/>
        <v>1</v>
      </c>
      <c r="E1055" s="13">
        <f t="shared" si="4"/>
        <v>0</v>
      </c>
      <c r="F1055" s="13">
        <f t="shared" si="5"/>
        <v>0</v>
      </c>
      <c r="G1055" s="13">
        <f t="shared" si="6"/>
        <v>1</v>
      </c>
      <c r="H1055" s="13">
        <f>'Orbit Info'!C1054*((C1055*$O$2)+(D1055*$O$3)+(E1055*$O$4)+(F1055*$O$5))</f>
        <v>15.628032</v>
      </c>
      <c r="I1055" s="13">
        <f t="shared" si="7"/>
        <v>8.62426</v>
      </c>
      <c r="J1055" s="18">
        <f t="shared" si="8"/>
        <v>0.1167295333</v>
      </c>
      <c r="K1055" s="18">
        <f t="shared" si="10"/>
        <v>84.4261984</v>
      </c>
      <c r="L1055" s="4"/>
      <c r="M1055" s="4"/>
      <c r="N1055" s="4"/>
      <c r="O1055" s="4"/>
      <c r="P1055" s="4"/>
      <c r="Q1055" s="4"/>
      <c r="R1055" s="4"/>
      <c r="S1055" s="4"/>
      <c r="T1055" s="4"/>
      <c r="U1055" s="4"/>
      <c r="V1055" s="4"/>
      <c r="W1055" s="4"/>
    </row>
    <row r="1056" ht="15.75" customHeight="1">
      <c r="A1056" s="13">
        <f t="shared" si="9"/>
        <v>1053</v>
      </c>
      <c r="B1056" s="18">
        <f>A1056/'Orbit Info'!$G$10</f>
        <v>11.12949308</v>
      </c>
      <c r="C1056" s="13">
        <f t="shared" si="2"/>
        <v>0</v>
      </c>
      <c r="D1056" s="13">
        <f t="shared" si="3"/>
        <v>1</v>
      </c>
      <c r="E1056" s="13">
        <f t="shared" si="4"/>
        <v>0</v>
      </c>
      <c r="F1056" s="13">
        <f t="shared" si="5"/>
        <v>0</v>
      </c>
      <c r="G1056" s="13">
        <f t="shared" si="6"/>
        <v>1</v>
      </c>
      <c r="H1056" s="13">
        <f>'Orbit Info'!C1055*((C1056*$O$2)+(D1056*$O$3)+(E1056*$O$4)+(F1056*$O$5))</f>
        <v>15.628032</v>
      </c>
      <c r="I1056" s="13">
        <f t="shared" si="7"/>
        <v>8.62426</v>
      </c>
      <c r="J1056" s="18">
        <f t="shared" si="8"/>
        <v>0.1167295333</v>
      </c>
      <c r="K1056" s="18">
        <f t="shared" si="10"/>
        <v>84.54292793</v>
      </c>
      <c r="L1056" s="4"/>
      <c r="M1056" s="4"/>
      <c r="N1056" s="4"/>
      <c r="O1056" s="4"/>
      <c r="P1056" s="4"/>
      <c r="Q1056" s="4"/>
      <c r="R1056" s="4"/>
      <c r="S1056" s="4"/>
      <c r="T1056" s="4"/>
      <c r="U1056" s="4"/>
      <c r="V1056" s="4"/>
      <c r="W1056" s="4"/>
    </row>
    <row r="1057" ht="15.75" customHeight="1">
      <c r="A1057" s="13">
        <f t="shared" si="9"/>
        <v>1054</v>
      </c>
      <c r="B1057" s="18">
        <f>A1057/'Orbit Info'!$G$10</f>
        <v>11.1400624</v>
      </c>
      <c r="C1057" s="13">
        <f t="shared" si="2"/>
        <v>0</v>
      </c>
      <c r="D1057" s="13">
        <f t="shared" si="3"/>
        <v>1</v>
      </c>
      <c r="E1057" s="13">
        <f t="shared" si="4"/>
        <v>0</v>
      </c>
      <c r="F1057" s="13">
        <f t="shared" si="5"/>
        <v>0</v>
      </c>
      <c r="G1057" s="13">
        <f t="shared" si="6"/>
        <v>1</v>
      </c>
      <c r="H1057" s="13">
        <f>'Orbit Info'!C1056*((C1057*$O$2)+(D1057*$O$3)+(E1057*$O$4)+(F1057*$O$5))</f>
        <v>15.628032</v>
      </c>
      <c r="I1057" s="13">
        <f t="shared" si="7"/>
        <v>8.62426</v>
      </c>
      <c r="J1057" s="18">
        <f t="shared" si="8"/>
        <v>0.1167295333</v>
      </c>
      <c r="K1057" s="18">
        <f t="shared" si="10"/>
        <v>84.65965747</v>
      </c>
      <c r="L1057" s="4"/>
      <c r="M1057" s="4"/>
      <c r="N1057" s="4"/>
      <c r="O1057" s="4"/>
      <c r="P1057" s="4"/>
      <c r="Q1057" s="4"/>
      <c r="R1057" s="4"/>
      <c r="S1057" s="4"/>
      <c r="T1057" s="4"/>
      <c r="U1057" s="4"/>
      <c r="V1057" s="4"/>
      <c r="W1057" s="4"/>
    </row>
    <row r="1058" ht="15.75" customHeight="1">
      <c r="A1058" s="13">
        <f t="shared" si="9"/>
        <v>1055</v>
      </c>
      <c r="B1058" s="18">
        <f>A1058/'Orbit Info'!$G$10</f>
        <v>11.15063172</v>
      </c>
      <c r="C1058" s="13">
        <f t="shared" si="2"/>
        <v>0</v>
      </c>
      <c r="D1058" s="13">
        <f t="shared" si="3"/>
        <v>1</v>
      </c>
      <c r="E1058" s="13">
        <f t="shared" si="4"/>
        <v>0</v>
      </c>
      <c r="F1058" s="13">
        <f t="shared" si="5"/>
        <v>0</v>
      </c>
      <c r="G1058" s="13">
        <f t="shared" si="6"/>
        <v>1</v>
      </c>
      <c r="H1058" s="13">
        <f>'Orbit Info'!C1057*((C1058*$O$2)+(D1058*$O$3)+(E1058*$O$4)+(F1058*$O$5))</f>
        <v>15.628032</v>
      </c>
      <c r="I1058" s="13">
        <f t="shared" si="7"/>
        <v>8.62426</v>
      </c>
      <c r="J1058" s="18">
        <f t="shared" si="8"/>
        <v>0.1167295333</v>
      </c>
      <c r="K1058" s="18">
        <f t="shared" si="10"/>
        <v>84.776387</v>
      </c>
      <c r="L1058" s="4"/>
      <c r="M1058" s="4"/>
      <c r="N1058" s="4"/>
      <c r="O1058" s="4"/>
      <c r="P1058" s="4"/>
      <c r="Q1058" s="4"/>
      <c r="R1058" s="4"/>
      <c r="S1058" s="4"/>
      <c r="T1058" s="4"/>
      <c r="U1058" s="4"/>
      <c r="V1058" s="4"/>
      <c r="W1058" s="4"/>
    </row>
    <row r="1059" ht="15.75" customHeight="1">
      <c r="A1059" s="13">
        <f t="shared" si="9"/>
        <v>1056</v>
      </c>
      <c r="B1059" s="18">
        <f>A1059/'Orbit Info'!$G$10</f>
        <v>11.16120104</v>
      </c>
      <c r="C1059" s="13">
        <f t="shared" si="2"/>
        <v>0</v>
      </c>
      <c r="D1059" s="13">
        <f t="shared" si="3"/>
        <v>1</v>
      </c>
      <c r="E1059" s="13">
        <f t="shared" si="4"/>
        <v>0</v>
      </c>
      <c r="F1059" s="13">
        <f t="shared" si="5"/>
        <v>0</v>
      </c>
      <c r="G1059" s="13">
        <f t="shared" si="6"/>
        <v>1</v>
      </c>
      <c r="H1059" s="13">
        <f>'Orbit Info'!C1058*((C1059*$O$2)+(D1059*$O$3)+(E1059*$O$4)+(F1059*$O$5))</f>
        <v>15.628032</v>
      </c>
      <c r="I1059" s="13">
        <f t="shared" si="7"/>
        <v>8.62426</v>
      </c>
      <c r="J1059" s="18">
        <f t="shared" si="8"/>
        <v>0.1167295333</v>
      </c>
      <c r="K1059" s="18">
        <f t="shared" si="10"/>
        <v>84.89311653</v>
      </c>
      <c r="L1059" s="4"/>
      <c r="M1059" s="4"/>
      <c r="N1059" s="4"/>
      <c r="O1059" s="4"/>
      <c r="P1059" s="4"/>
      <c r="Q1059" s="4"/>
      <c r="R1059" s="4"/>
      <c r="S1059" s="4"/>
      <c r="T1059" s="4"/>
      <c r="U1059" s="4"/>
      <c r="V1059" s="4"/>
      <c r="W1059" s="4"/>
    </row>
    <row r="1060" ht="15.75" customHeight="1">
      <c r="A1060" s="13">
        <f t="shared" si="9"/>
        <v>1057</v>
      </c>
      <c r="B1060" s="18">
        <f>A1060/'Orbit Info'!$G$10</f>
        <v>11.17177036</v>
      </c>
      <c r="C1060" s="13">
        <f t="shared" si="2"/>
        <v>0</v>
      </c>
      <c r="D1060" s="13">
        <f t="shared" si="3"/>
        <v>1</v>
      </c>
      <c r="E1060" s="13">
        <f t="shared" si="4"/>
        <v>0</v>
      </c>
      <c r="F1060" s="13">
        <f t="shared" si="5"/>
        <v>0</v>
      </c>
      <c r="G1060" s="13">
        <f t="shared" si="6"/>
        <v>1</v>
      </c>
      <c r="H1060" s="13">
        <f>'Orbit Info'!C1059*((C1060*$O$2)+(D1060*$O$3)+(E1060*$O$4)+(F1060*$O$5))</f>
        <v>15.628032</v>
      </c>
      <c r="I1060" s="13">
        <f t="shared" si="7"/>
        <v>8.62426</v>
      </c>
      <c r="J1060" s="18">
        <f t="shared" si="8"/>
        <v>0.1167295333</v>
      </c>
      <c r="K1060" s="18">
        <f t="shared" si="10"/>
        <v>85.00984607</v>
      </c>
      <c r="L1060" s="4"/>
      <c r="M1060" s="4"/>
      <c r="N1060" s="4"/>
      <c r="O1060" s="4"/>
      <c r="P1060" s="4"/>
      <c r="Q1060" s="4"/>
      <c r="R1060" s="4"/>
      <c r="S1060" s="4"/>
      <c r="T1060" s="4"/>
      <c r="U1060" s="4"/>
      <c r="V1060" s="4"/>
      <c r="W1060" s="4"/>
    </row>
    <row r="1061" ht="15.75" customHeight="1">
      <c r="A1061" s="13">
        <f t="shared" si="9"/>
        <v>1058</v>
      </c>
      <c r="B1061" s="18">
        <f>A1061/'Orbit Info'!$G$10</f>
        <v>11.18233968</v>
      </c>
      <c r="C1061" s="13">
        <f t="shared" si="2"/>
        <v>0</v>
      </c>
      <c r="D1061" s="13">
        <f t="shared" si="3"/>
        <v>1</v>
      </c>
      <c r="E1061" s="13">
        <f t="shared" si="4"/>
        <v>0</v>
      </c>
      <c r="F1061" s="13">
        <f t="shared" si="5"/>
        <v>0</v>
      </c>
      <c r="G1061" s="13">
        <f t="shared" si="6"/>
        <v>1</v>
      </c>
      <c r="H1061" s="13">
        <f>'Orbit Info'!C1060*((C1061*$O$2)+(D1061*$O$3)+(E1061*$O$4)+(F1061*$O$5))</f>
        <v>15.628032</v>
      </c>
      <c r="I1061" s="13">
        <f t="shared" si="7"/>
        <v>8.62426</v>
      </c>
      <c r="J1061" s="18">
        <f t="shared" si="8"/>
        <v>0.1167295333</v>
      </c>
      <c r="K1061" s="18">
        <f t="shared" si="10"/>
        <v>85.1265756</v>
      </c>
      <c r="L1061" s="4"/>
      <c r="M1061" s="4"/>
      <c r="N1061" s="4"/>
      <c r="O1061" s="4"/>
      <c r="P1061" s="4"/>
      <c r="Q1061" s="4"/>
      <c r="R1061" s="4"/>
      <c r="S1061" s="4"/>
      <c r="T1061" s="4"/>
      <c r="U1061" s="4"/>
      <c r="V1061" s="4"/>
      <c r="W1061" s="4"/>
    </row>
    <row r="1062" ht="15.75" customHeight="1">
      <c r="A1062" s="13">
        <f t="shared" si="9"/>
        <v>1059</v>
      </c>
      <c r="B1062" s="18">
        <f>A1062/'Orbit Info'!$G$10</f>
        <v>11.192909</v>
      </c>
      <c r="C1062" s="13">
        <f t="shared" si="2"/>
        <v>0</v>
      </c>
      <c r="D1062" s="13">
        <f t="shared" si="3"/>
        <v>1</v>
      </c>
      <c r="E1062" s="13">
        <f t="shared" si="4"/>
        <v>0</v>
      </c>
      <c r="F1062" s="13">
        <f t="shared" si="5"/>
        <v>0</v>
      </c>
      <c r="G1062" s="13">
        <f t="shared" si="6"/>
        <v>1</v>
      </c>
      <c r="H1062" s="13">
        <f>'Orbit Info'!C1061*((C1062*$O$2)+(D1062*$O$3)+(E1062*$O$4)+(F1062*$O$5))</f>
        <v>15.628032</v>
      </c>
      <c r="I1062" s="13">
        <f t="shared" si="7"/>
        <v>8.62426</v>
      </c>
      <c r="J1062" s="18">
        <f t="shared" si="8"/>
        <v>0.1167295333</v>
      </c>
      <c r="K1062" s="18">
        <f t="shared" si="10"/>
        <v>85.24330513</v>
      </c>
      <c r="L1062" s="4"/>
      <c r="M1062" s="4"/>
      <c r="N1062" s="4"/>
      <c r="O1062" s="4"/>
      <c r="P1062" s="4"/>
      <c r="Q1062" s="4"/>
      <c r="R1062" s="4"/>
      <c r="S1062" s="4"/>
      <c r="T1062" s="4"/>
      <c r="U1062" s="4"/>
      <c r="V1062" s="4"/>
      <c r="W1062" s="4"/>
    </row>
    <row r="1063" ht="15.75" customHeight="1">
      <c r="A1063" s="13">
        <f t="shared" si="9"/>
        <v>1060</v>
      </c>
      <c r="B1063" s="18">
        <f>A1063/'Orbit Info'!$G$10</f>
        <v>11.20347832</v>
      </c>
      <c r="C1063" s="13">
        <f t="shared" si="2"/>
        <v>0</v>
      </c>
      <c r="D1063" s="13">
        <f t="shared" si="3"/>
        <v>1</v>
      </c>
      <c r="E1063" s="13">
        <f t="shared" si="4"/>
        <v>0</v>
      </c>
      <c r="F1063" s="13">
        <f t="shared" si="5"/>
        <v>0</v>
      </c>
      <c r="G1063" s="13">
        <f t="shared" si="6"/>
        <v>1</v>
      </c>
      <c r="H1063" s="13">
        <f>'Orbit Info'!C1062*((C1063*$O$2)+(D1063*$O$3)+(E1063*$O$4)+(F1063*$O$5))</f>
        <v>15.628032</v>
      </c>
      <c r="I1063" s="13">
        <f t="shared" si="7"/>
        <v>8.62426</v>
      </c>
      <c r="J1063" s="18">
        <f t="shared" si="8"/>
        <v>0.1167295333</v>
      </c>
      <c r="K1063" s="18">
        <f t="shared" si="10"/>
        <v>85.36003467</v>
      </c>
      <c r="L1063" s="4"/>
      <c r="M1063" s="4"/>
      <c r="N1063" s="4"/>
      <c r="O1063" s="4"/>
      <c r="P1063" s="4"/>
      <c r="Q1063" s="4"/>
      <c r="R1063" s="4"/>
      <c r="S1063" s="4"/>
      <c r="T1063" s="4"/>
      <c r="U1063" s="4"/>
      <c r="V1063" s="4"/>
      <c r="W1063" s="4"/>
    </row>
    <row r="1064" ht="15.75" customHeight="1">
      <c r="A1064" s="13">
        <f t="shared" si="9"/>
        <v>1061</v>
      </c>
      <c r="B1064" s="18">
        <f>A1064/'Orbit Info'!$G$10</f>
        <v>11.21404764</v>
      </c>
      <c r="C1064" s="13">
        <f t="shared" si="2"/>
        <v>0</v>
      </c>
      <c r="D1064" s="13">
        <f t="shared" si="3"/>
        <v>1</v>
      </c>
      <c r="E1064" s="13">
        <f t="shared" si="4"/>
        <v>0</v>
      </c>
      <c r="F1064" s="13">
        <f t="shared" si="5"/>
        <v>0</v>
      </c>
      <c r="G1064" s="13">
        <f t="shared" si="6"/>
        <v>1</v>
      </c>
      <c r="H1064" s="13">
        <f>'Orbit Info'!C1063*((C1064*$O$2)+(D1064*$O$3)+(E1064*$O$4)+(F1064*$O$5))</f>
        <v>15.628032</v>
      </c>
      <c r="I1064" s="13">
        <f t="shared" si="7"/>
        <v>8.62426</v>
      </c>
      <c r="J1064" s="18">
        <f t="shared" si="8"/>
        <v>0.1167295333</v>
      </c>
      <c r="K1064" s="18">
        <f t="shared" si="10"/>
        <v>85.4767642</v>
      </c>
      <c r="L1064" s="4"/>
      <c r="M1064" s="4"/>
      <c r="N1064" s="4"/>
      <c r="O1064" s="4"/>
      <c r="P1064" s="4"/>
      <c r="Q1064" s="4"/>
      <c r="R1064" s="4"/>
      <c r="S1064" s="4"/>
      <c r="T1064" s="4"/>
      <c r="U1064" s="4"/>
      <c r="V1064" s="4"/>
      <c r="W1064" s="4"/>
    </row>
    <row r="1065" ht="15.75" customHeight="1">
      <c r="A1065" s="13">
        <f t="shared" si="9"/>
        <v>1062</v>
      </c>
      <c r="B1065" s="18">
        <f>A1065/'Orbit Info'!$G$10</f>
        <v>11.22461695</v>
      </c>
      <c r="C1065" s="13">
        <f t="shared" si="2"/>
        <v>0</v>
      </c>
      <c r="D1065" s="13">
        <f t="shared" si="3"/>
        <v>1</v>
      </c>
      <c r="E1065" s="13">
        <f t="shared" si="4"/>
        <v>0</v>
      </c>
      <c r="F1065" s="13">
        <f t="shared" si="5"/>
        <v>0</v>
      </c>
      <c r="G1065" s="13">
        <f t="shared" si="6"/>
        <v>1</v>
      </c>
      <c r="H1065" s="13">
        <f>'Orbit Info'!C1064*((C1065*$O$2)+(D1065*$O$3)+(E1065*$O$4)+(F1065*$O$5))</f>
        <v>15.628032</v>
      </c>
      <c r="I1065" s="13">
        <f t="shared" si="7"/>
        <v>8.62426</v>
      </c>
      <c r="J1065" s="18">
        <f t="shared" si="8"/>
        <v>0.1167295333</v>
      </c>
      <c r="K1065" s="18">
        <f t="shared" si="10"/>
        <v>85.59349373</v>
      </c>
      <c r="L1065" s="4"/>
      <c r="M1065" s="4"/>
      <c r="N1065" s="4"/>
      <c r="O1065" s="4"/>
      <c r="P1065" s="4"/>
      <c r="Q1065" s="4"/>
      <c r="R1065" s="4"/>
      <c r="S1065" s="4"/>
      <c r="T1065" s="4"/>
      <c r="U1065" s="4"/>
      <c r="V1065" s="4"/>
      <c r="W1065" s="4"/>
    </row>
    <row r="1066" ht="15.75" customHeight="1">
      <c r="A1066" s="13">
        <f t="shared" si="9"/>
        <v>1063</v>
      </c>
      <c r="B1066" s="18">
        <f>A1066/'Orbit Info'!$G$10</f>
        <v>11.23518627</v>
      </c>
      <c r="C1066" s="13">
        <f t="shared" si="2"/>
        <v>0</v>
      </c>
      <c r="D1066" s="13">
        <f t="shared" si="3"/>
        <v>1</v>
      </c>
      <c r="E1066" s="13">
        <f t="shared" si="4"/>
        <v>0</v>
      </c>
      <c r="F1066" s="13">
        <f t="shared" si="5"/>
        <v>0</v>
      </c>
      <c r="G1066" s="13">
        <f t="shared" si="6"/>
        <v>1</v>
      </c>
      <c r="H1066" s="13">
        <f>'Orbit Info'!C1065*((C1066*$O$2)+(D1066*$O$3)+(E1066*$O$4)+(F1066*$O$5))</f>
        <v>15.628032</v>
      </c>
      <c r="I1066" s="13">
        <f t="shared" si="7"/>
        <v>8.62426</v>
      </c>
      <c r="J1066" s="18">
        <f t="shared" si="8"/>
        <v>0.1167295333</v>
      </c>
      <c r="K1066" s="18">
        <f t="shared" si="10"/>
        <v>85.71022327</v>
      </c>
      <c r="L1066" s="4"/>
      <c r="M1066" s="4"/>
      <c r="N1066" s="4"/>
      <c r="O1066" s="4"/>
      <c r="P1066" s="4"/>
      <c r="Q1066" s="4"/>
      <c r="R1066" s="4"/>
      <c r="S1066" s="4"/>
      <c r="T1066" s="4"/>
      <c r="U1066" s="4"/>
      <c r="V1066" s="4"/>
      <c r="W1066" s="4"/>
    </row>
    <row r="1067" ht="15.75" customHeight="1">
      <c r="A1067" s="13">
        <f t="shared" si="9"/>
        <v>1064</v>
      </c>
      <c r="B1067" s="18">
        <f>A1067/'Orbit Info'!$G$10</f>
        <v>11.24575559</v>
      </c>
      <c r="C1067" s="13">
        <f t="shared" si="2"/>
        <v>0</v>
      </c>
      <c r="D1067" s="13">
        <f t="shared" si="3"/>
        <v>1</v>
      </c>
      <c r="E1067" s="13">
        <f t="shared" si="4"/>
        <v>0</v>
      </c>
      <c r="F1067" s="13">
        <f t="shared" si="5"/>
        <v>0</v>
      </c>
      <c r="G1067" s="13">
        <f t="shared" si="6"/>
        <v>1</v>
      </c>
      <c r="H1067" s="13">
        <f>'Orbit Info'!C1066*((C1067*$O$2)+(D1067*$O$3)+(E1067*$O$4)+(F1067*$O$5))</f>
        <v>15.628032</v>
      </c>
      <c r="I1067" s="13">
        <f t="shared" si="7"/>
        <v>8.62426</v>
      </c>
      <c r="J1067" s="18">
        <f t="shared" si="8"/>
        <v>0.1167295333</v>
      </c>
      <c r="K1067" s="18">
        <f t="shared" si="10"/>
        <v>85.8269528</v>
      </c>
      <c r="L1067" s="4"/>
      <c r="M1067" s="4"/>
      <c r="N1067" s="4"/>
      <c r="O1067" s="4"/>
      <c r="P1067" s="4"/>
      <c r="Q1067" s="4"/>
      <c r="R1067" s="4"/>
      <c r="S1067" s="4"/>
      <c r="T1067" s="4"/>
      <c r="U1067" s="4"/>
      <c r="V1067" s="4"/>
      <c r="W1067" s="4"/>
    </row>
    <row r="1068" ht="15.75" customHeight="1">
      <c r="A1068" s="13">
        <f t="shared" si="9"/>
        <v>1065</v>
      </c>
      <c r="B1068" s="18">
        <f>A1068/'Orbit Info'!$G$10</f>
        <v>11.25632491</v>
      </c>
      <c r="C1068" s="13">
        <f t="shared" si="2"/>
        <v>0</v>
      </c>
      <c r="D1068" s="13">
        <f t="shared" si="3"/>
        <v>1</v>
      </c>
      <c r="E1068" s="13">
        <f t="shared" si="4"/>
        <v>0</v>
      </c>
      <c r="F1068" s="13">
        <f t="shared" si="5"/>
        <v>0</v>
      </c>
      <c r="G1068" s="13">
        <f t="shared" si="6"/>
        <v>1</v>
      </c>
      <c r="H1068" s="13">
        <f>'Orbit Info'!C1067*((C1068*$O$2)+(D1068*$O$3)+(E1068*$O$4)+(F1068*$O$5))</f>
        <v>15.628032</v>
      </c>
      <c r="I1068" s="13">
        <f t="shared" si="7"/>
        <v>8.62426</v>
      </c>
      <c r="J1068" s="18">
        <f t="shared" si="8"/>
        <v>0.1167295333</v>
      </c>
      <c r="K1068" s="18">
        <f t="shared" si="10"/>
        <v>85.94368233</v>
      </c>
      <c r="L1068" s="4"/>
      <c r="M1068" s="4"/>
      <c r="N1068" s="4"/>
      <c r="O1068" s="4"/>
      <c r="P1068" s="4"/>
      <c r="Q1068" s="4"/>
      <c r="R1068" s="4"/>
      <c r="S1068" s="4"/>
      <c r="T1068" s="4"/>
      <c r="U1068" s="4"/>
      <c r="V1068" s="4"/>
      <c r="W1068" s="4"/>
    </row>
    <row r="1069" ht="15.75" customHeight="1">
      <c r="A1069" s="13">
        <f t="shared" si="9"/>
        <v>1066</v>
      </c>
      <c r="B1069" s="18">
        <f>A1069/'Orbit Info'!$G$10</f>
        <v>11.26689423</v>
      </c>
      <c r="C1069" s="13">
        <f t="shared" si="2"/>
        <v>0</v>
      </c>
      <c r="D1069" s="13">
        <f t="shared" si="3"/>
        <v>1</v>
      </c>
      <c r="E1069" s="13">
        <f t="shared" si="4"/>
        <v>0</v>
      </c>
      <c r="F1069" s="13">
        <f t="shared" si="5"/>
        <v>0</v>
      </c>
      <c r="G1069" s="13">
        <f t="shared" si="6"/>
        <v>1</v>
      </c>
      <c r="H1069" s="13">
        <f>'Orbit Info'!C1068*((C1069*$O$2)+(D1069*$O$3)+(E1069*$O$4)+(F1069*$O$5))</f>
        <v>15.628032</v>
      </c>
      <c r="I1069" s="13">
        <f t="shared" si="7"/>
        <v>8.62426</v>
      </c>
      <c r="J1069" s="18">
        <f t="shared" si="8"/>
        <v>0.1167295333</v>
      </c>
      <c r="K1069" s="18">
        <f t="shared" si="10"/>
        <v>86.06041187</v>
      </c>
      <c r="L1069" s="4"/>
      <c r="M1069" s="4"/>
      <c r="N1069" s="4"/>
      <c r="O1069" s="4"/>
      <c r="P1069" s="4"/>
      <c r="Q1069" s="4"/>
      <c r="R1069" s="4"/>
      <c r="S1069" s="4"/>
      <c r="T1069" s="4"/>
      <c r="U1069" s="4"/>
      <c r="V1069" s="4"/>
      <c r="W1069" s="4"/>
    </row>
    <row r="1070" ht="15.75" customHeight="1">
      <c r="A1070" s="13">
        <f t="shared" si="9"/>
        <v>1067</v>
      </c>
      <c r="B1070" s="18">
        <f>A1070/'Orbit Info'!$G$10</f>
        <v>11.27746355</v>
      </c>
      <c r="C1070" s="13">
        <f t="shared" si="2"/>
        <v>0</v>
      </c>
      <c r="D1070" s="13">
        <f t="shared" si="3"/>
        <v>1</v>
      </c>
      <c r="E1070" s="13">
        <f t="shared" si="4"/>
        <v>0</v>
      </c>
      <c r="F1070" s="13">
        <f t="shared" si="5"/>
        <v>0</v>
      </c>
      <c r="G1070" s="13">
        <f t="shared" si="6"/>
        <v>1</v>
      </c>
      <c r="H1070" s="13">
        <f>'Orbit Info'!C1069*((C1070*$O$2)+(D1070*$O$3)+(E1070*$O$4)+(F1070*$O$5))</f>
        <v>15.628032</v>
      </c>
      <c r="I1070" s="13">
        <f t="shared" si="7"/>
        <v>8.62426</v>
      </c>
      <c r="J1070" s="18">
        <f t="shared" si="8"/>
        <v>0.1167295333</v>
      </c>
      <c r="K1070" s="18">
        <f t="shared" si="10"/>
        <v>86.1771414</v>
      </c>
      <c r="L1070" s="4"/>
      <c r="M1070" s="4"/>
      <c r="N1070" s="4"/>
      <c r="O1070" s="4"/>
      <c r="P1070" s="4"/>
      <c r="Q1070" s="4"/>
      <c r="R1070" s="4"/>
      <c r="S1070" s="4"/>
      <c r="T1070" s="4"/>
      <c r="U1070" s="4"/>
      <c r="V1070" s="4"/>
      <c r="W1070" s="4"/>
    </row>
    <row r="1071" ht="15.75" customHeight="1">
      <c r="A1071" s="13">
        <f t="shared" si="9"/>
        <v>1068</v>
      </c>
      <c r="B1071" s="18">
        <f>A1071/'Orbit Info'!$G$10</f>
        <v>11.28803287</v>
      </c>
      <c r="C1071" s="13">
        <f t="shared" si="2"/>
        <v>0</v>
      </c>
      <c r="D1071" s="13">
        <f t="shared" si="3"/>
        <v>1</v>
      </c>
      <c r="E1071" s="13">
        <f t="shared" si="4"/>
        <v>0</v>
      </c>
      <c r="F1071" s="13">
        <f t="shared" si="5"/>
        <v>0</v>
      </c>
      <c r="G1071" s="13">
        <f t="shared" si="6"/>
        <v>1</v>
      </c>
      <c r="H1071" s="13">
        <f>'Orbit Info'!C1070*((C1071*$O$2)+(D1071*$O$3)+(E1071*$O$4)+(F1071*$O$5))</f>
        <v>15.628032</v>
      </c>
      <c r="I1071" s="13">
        <f t="shared" si="7"/>
        <v>8.62426</v>
      </c>
      <c r="J1071" s="18">
        <f t="shared" si="8"/>
        <v>0.1167295333</v>
      </c>
      <c r="K1071" s="18">
        <f t="shared" si="10"/>
        <v>86.29387093</v>
      </c>
      <c r="L1071" s="4"/>
      <c r="M1071" s="4"/>
      <c r="N1071" s="4"/>
      <c r="O1071" s="4"/>
      <c r="P1071" s="4"/>
      <c r="Q1071" s="4"/>
      <c r="R1071" s="4"/>
      <c r="S1071" s="4"/>
      <c r="T1071" s="4"/>
      <c r="U1071" s="4"/>
      <c r="V1071" s="4"/>
      <c r="W1071" s="4"/>
    </row>
    <row r="1072" ht="15.75" customHeight="1">
      <c r="A1072" s="13">
        <f t="shared" si="9"/>
        <v>1069</v>
      </c>
      <c r="B1072" s="18">
        <f>A1072/'Orbit Info'!$G$10</f>
        <v>11.29860219</v>
      </c>
      <c r="C1072" s="13">
        <f t="shared" si="2"/>
        <v>0</v>
      </c>
      <c r="D1072" s="13">
        <f t="shared" si="3"/>
        <v>1</v>
      </c>
      <c r="E1072" s="13">
        <f t="shared" si="4"/>
        <v>0</v>
      </c>
      <c r="F1072" s="13">
        <f t="shared" si="5"/>
        <v>0</v>
      </c>
      <c r="G1072" s="13">
        <f t="shared" si="6"/>
        <v>1</v>
      </c>
      <c r="H1072" s="13">
        <f>'Orbit Info'!C1071*((C1072*$O$2)+(D1072*$O$3)+(E1072*$O$4)+(F1072*$O$5))</f>
        <v>15.628032</v>
      </c>
      <c r="I1072" s="13">
        <f t="shared" si="7"/>
        <v>8.62426</v>
      </c>
      <c r="J1072" s="18">
        <f t="shared" si="8"/>
        <v>0.1167295333</v>
      </c>
      <c r="K1072" s="18">
        <f t="shared" si="10"/>
        <v>86.41060047</v>
      </c>
      <c r="L1072" s="4"/>
      <c r="M1072" s="4"/>
      <c r="N1072" s="4"/>
      <c r="O1072" s="4"/>
      <c r="P1072" s="4"/>
      <c r="Q1072" s="4"/>
      <c r="R1072" s="4"/>
      <c r="S1072" s="4"/>
      <c r="T1072" s="4"/>
      <c r="U1072" s="4"/>
      <c r="V1072" s="4"/>
      <c r="W1072" s="4"/>
    </row>
    <row r="1073" ht="15.75" customHeight="1">
      <c r="A1073" s="13">
        <f t="shared" si="9"/>
        <v>1070</v>
      </c>
      <c r="B1073" s="18">
        <f>A1073/'Orbit Info'!$G$10</f>
        <v>11.30917151</v>
      </c>
      <c r="C1073" s="13">
        <f t="shared" si="2"/>
        <v>0</v>
      </c>
      <c r="D1073" s="13">
        <f t="shared" si="3"/>
        <v>1</v>
      </c>
      <c r="E1073" s="13">
        <f t="shared" si="4"/>
        <v>0</v>
      </c>
      <c r="F1073" s="13">
        <f t="shared" si="5"/>
        <v>0</v>
      </c>
      <c r="G1073" s="13">
        <f t="shared" si="6"/>
        <v>1</v>
      </c>
      <c r="H1073" s="13">
        <f>'Orbit Info'!C1072*((C1073*$O$2)+(D1073*$O$3)+(E1073*$O$4)+(F1073*$O$5))</f>
        <v>15.628032</v>
      </c>
      <c r="I1073" s="13">
        <f t="shared" si="7"/>
        <v>8.62426</v>
      </c>
      <c r="J1073" s="18">
        <f t="shared" si="8"/>
        <v>0.1167295333</v>
      </c>
      <c r="K1073" s="18">
        <f t="shared" si="10"/>
        <v>86.52733</v>
      </c>
      <c r="L1073" s="4"/>
      <c r="M1073" s="4"/>
      <c r="N1073" s="4"/>
      <c r="O1073" s="4"/>
      <c r="P1073" s="4"/>
      <c r="Q1073" s="4"/>
      <c r="R1073" s="4"/>
      <c r="S1073" s="4"/>
      <c r="T1073" s="4"/>
      <c r="U1073" s="4"/>
      <c r="V1073" s="4"/>
      <c r="W1073" s="4"/>
    </row>
    <row r="1074" ht="15.75" customHeight="1">
      <c r="A1074" s="13">
        <f t="shared" si="9"/>
        <v>1071</v>
      </c>
      <c r="B1074" s="18">
        <f>A1074/'Orbit Info'!$G$10</f>
        <v>11.31974083</v>
      </c>
      <c r="C1074" s="13">
        <f t="shared" si="2"/>
        <v>0</v>
      </c>
      <c r="D1074" s="13">
        <f t="shared" si="3"/>
        <v>1</v>
      </c>
      <c r="E1074" s="13">
        <f t="shared" si="4"/>
        <v>0</v>
      </c>
      <c r="F1074" s="13">
        <f t="shared" si="5"/>
        <v>0</v>
      </c>
      <c r="G1074" s="13">
        <f t="shared" si="6"/>
        <v>1</v>
      </c>
      <c r="H1074" s="13">
        <f>'Orbit Info'!C1073*((C1074*$O$2)+(D1074*$O$3)+(E1074*$O$4)+(F1074*$O$5))</f>
        <v>15.628032</v>
      </c>
      <c r="I1074" s="13">
        <f t="shared" si="7"/>
        <v>8.62426</v>
      </c>
      <c r="J1074" s="18">
        <f t="shared" si="8"/>
        <v>0.1167295333</v>
      </c>
      <c r="K1074" s="18">
        <f t="shared" si="10"/>
        <v>86.64405953</v>
      </c>
      <c r="L1074" s="4"/>
      <c r="M1074" s="4"/>
      <c r="N1074" s="4"/>
      <c r="O1074" s="4"/>
      <c r="P1074" s="4"/>
      <c r="Q1074" s="4"/>
      <c r="R1074" s="4"/>
      <c r="S1074" s="4"/>
      <c r="T1074" s="4"/>
      <c r="U1074" s="4"/>
      <c r="V1074" s="4"/>
      <c r="W1074" s="4"/>
    </row>
    <row r="1075" ht="15.75" customHeight="1">
      <c r="A1075" s="13">
        <f t="shared" si="9"/>
        <v>1072</v>
      </c>
      <c r="B1075" s="18">
        <f>A1075/'Orbit Info'!$G$10</f>
        <v>11.33031015</v>
      </c>
      <c r="C1075" s="13">
        <f t="shared" si="2"/>
        <v>0</v>
      </c>
      <c r="D1075" s="13">
        <f t="shared" si="3"/>
        <v>1</v>
      </c>
      <c r="E1075" s="13">
        <f t="shared" si="4"/>
        <v>0</v>
      </c>
      <c r="F1075" s="13">
        <f t="shared" si="5"/>
        <v>0</v>
      </c>
      <c r="G1075" s="13">
        <f t="shared" si="6"/>
        <v>1</v>
      </c>
      <c r="H1075" s="13">
        <f>'Orbit Info'!C1074*((C1075*$O$2)+(D1075*$O$3)+(E1075*$O$4)+(F1075*$O$5))</f>
        <v>15.628032</v>
      </c>
      <c r="I1075" s="13">
        <f t="shared" si="7"/>
        <v>8.62426</v>
      </c>
      <c r="J1075" s="18">
        <f t="shared" si="8"/>
        <v>0.1167295333</v>
      </c>
      <c r="K1075" s="18">
        <f t="shared" si="10"/>
        <v>86.76078907</v>
      </c>
      <c r="L1075" s="4"/>
      <c r="M1075" s="4"/>
      <c r="N1075" s="4"/>
      <c r="O1075" s="4"/>
      <c r="P1075" s="4"/>
      <c r="Q1075" s="4"/>
      <c r="R1075" s="4"/>
      <c r="S1075" s="4"/>
      <c r="T1075" s="4"/>
      <c r="U1075" s="4"/>
      <c r="V1075" s="4"/>
      <c r="W1075" s="4"/>
    </row>
    <row r="1076" ht="15.75" customHeight="1">
      <c r="A1076" s="13">
        <f t="shared" si="9"/>
        <v>1073</v>
      </c>
      <c r="B1076" s="18">
        <f>A1076/'Orbit Info'!$G$10</f>
        <v>11.34087946</v>
      </c>
      <c r="C1076" s="13">
        <f t="shared" si="2"/>
        <v>0</v>
      </c>
      <c r="D1076" s="13">
        <f t="shared" si="3"/>
        <v>1</v>
      </c>
      <c r="E1076" s="13">
        <f t="shared" si="4"/>
        <v>0</v>
      </c>
      <c r="F1076" s="13">
        <f t="shared" si="5"/>
        <v>0</v>
      </c>
      <c r="G1076" s="13">
        <f t="shared" si="6"/>
        <v>1</v>
      </c>
      <c r="H1076" s="13">
        <f>'Orbit Info'!C1075*((C1076*$O$2)+(D1076*$O$3)+(E1076*$O$4)+(F1076*$O$5))</f>
        <v>15.628032</v>
      </c>
      <c r="I1076" s="13">
        <f t="shared" si="7"/>
        <v>8.62426</v>
      </c>
      <c r="J1076" s="18">
        <f t="shared" si="8"/>
        <v>0.1167295333</v>
      </c>
      <c r="K1076" s="18">
        <f t="shared" si="10"/>
        <v>86.8775186</v>
      </c>
      <c r="L1076" s="4"/>
      <c r="M1076" s="4"/>
      <c r="N1076" s="4"/>
      <c r="O1076" s="4"/>
      <c r="P1076" s="4"/>
      <c r="Q1076" s="4"/>
      <c r="R1076" s="4"/>
      <c r="S1076" s="4"/>
      <c r="T1076" s="4"/>
      <c r="U1076" s="4"/>
      <c r="V1076" s="4"/>
      <c r="W1076" s="4"/>
    </row>
    <row r="1077" ht="15.75" customHeight="1">
      <c r="A1077" s="13">
        <f t="shared" si="9"/>
        <v>1074</v>
      </c>
      <c r="B1077" s="18">
        <f>A1077/'Orbit Info'!$G$10</f>
        <v>11.35144878</v>
      </c>
      <c r="C1077" s="13">
        <f t="shared" si="2"/>
        <v>0</v>
      </c>
      <c r="D1077" s="13">
        <f t="shared" si="3"/>
        <v>1</v>
      </c>
      <c r="E1077" s="13">
        <f t="shared" si="4"/>
        <v>0</v>
      </c>
      <c r="F1077" s="13">
        <f t="shared" si="5"/>
        <v>0</v>
      </c>
      <c r="G1077" s="13">
        <f t="shared" si="6"/>
        <v>1</v>
      </c>
      <c r="H1077" s="13">
        <f>'Orbit Info'!C1076*((C1077*$O$2)+(D1077*$O$3)+(E1077*$O$4)+(F1077*$O$5))</f>
        <v>15.628032</v>
      </c>
      <c r="I1077" s="13">
        <f t="shared" si="7"/>
        <v>8.62426</v>
      </c>
      <c r="J1077" s="18">
        <f t="shared" si="8"/>
        <v>0.1167295333</v>
      </c>
      <c r="K1077" s="18">
        <f t="shared" si="10"/>
        <v>86.99424813</v>
      </c>
      <c r="L1077" s="4"/>
      <c r="M1077" s="4"/>
      <c r="N1077" s="4"/>
      <c r="O1077" s="4"/>
      <c r="P1077" s="4"/>
      <c r="Q1077" s="4"/>
      <c r="R1077" s="4"/>
      <c r="S1077" s="4"/>
      <c r="T1077" s="4"/>
      <c r="U1077" s="4"/>
      <c r="V1077" s="4"/>
      <c r="W1077" s="4"/>
    </row>
    <row r="1078" ht="15.75" customHeight="1">
      <c r="A1078" s="13">
        <f t="shared" si="9"/>
        <v>1075</v>
      </c>
      <c r="B1078" s="18">
        <f>A1078/'Orbit Info'!$G$10</f>
        <v>11.3620181</v>
      </c>
      <c r="C1078" s="13">
        <f t="shared" si="2"/>
        <v>0</v>
      </c>
      <c r="D1078" s="13">
        <f t="shared" si="3"/>
        <v>1</v>
      </c>
      <c r="E1078" s="13">
        <f t="shared" si="4"/>
        <v>0</v>
      </c>
      <c r="F1078" s="13">
        <f t="shared" si="5"/>
        <v>0</v>
      </c>
      <c r="G1078" s="13">
        <f t="shared" si="6"/>
        <v>1</v>
      </c>
      <c r="H1078" s="13">
        <f>'Orbit Info'!C1077*((C1078*$O$2)+(D1078*$O$3)+(E1078*$O$4)+(F1078*$O$5))</f>
        <v>15.628032</v>
      </c>
      <c r="I1078" s="13">
        <f t="shared" si="7"/>
        <v>8.62426</v>
      </c>
      <c r="J1078" s="18">
        <f t="shared" si="8"/>
        <v>0.1167295333</v>
      </c>
      <c r="K1078" s="18">
        <f t="shared" si="10"/>
        <v>87.11097767</v>
      </c>
      <c r="L1078" s="4"/>
      <c r="M1078" s="4"/>
      <c r="N1078" s="4"/>
      <c r="O1078" s="4"/>
      <c r="P1078" s="4"/>
      <c r="Q1078" s="4"/>
      <c r="R1078" s="4"/>
      <c r="S1078" s="4"/>
      <c r="T1078" s="4"/>
      <c r="U1078" s="4"/>
      <c r="V1078" s="4"/>
      <c r="W1078" s="4"/>
    </row>
    <row r="1079" ht="15.75" customHeight="1">
      <c r="A1079" s="13">
        <f t="shared" si="9"/>
        <v>1076</v>
      </c>
      <c r="B1079" s="18">
        <f>A1079/'Orbit Info'!$G$10</f>
        <v>11.37258742</v>
      </c>
      <c r="C1079" s="13">
        <f t="shared" si="2"/>
        <v>0</v>
      </c>
      <c r="D1079" s="13">
        <f t="shared" si="3"/>
        <v>1</v>
      </c>
      <c r="E1079" s="13">
        <f t="shared" si="4"/>
        <v>0</v>
      </c>
      <c r="F1079" s="13">
        <f t="shared" si="5"/>
        <v>0</v>
      </c>
      <c r="G1079" s="13">
        <f t="shared" si="6"/>
        <v>1</v>
      </c>
      <c r="H1079" s="13">
        <f>'Orbit Info'!C1078*((C1079*$O$2)+(D1079*$O$3)+(E1079*$O$4)+(F1079*$O$5))</f>
        <v>15.628032</v>
      </c>
      <c r="I1079" s="13">
        <f t="shared" si="7"/>
        <v>8.62426</v>
      </c>
      <c r="J1079" s="18">
        <f t="shared" si="8"/>
        <v>0.1167295333</v>
      </c>
      <c r="K1079" s="18">
        <f t="shared" si="10"/>
        <v>87.2277072</v>
      </c>
      <c r="L1079" s="4"/>
      <c r="M1079" s="4"/>
      <c r="N1079" s="4"/>
      <c r="O1079" s="4"/>
      <c r="P1079" s="4"/>
      <c r="Q1079" s="4"/>
      <c r="R1079" s="4"/>
      <c r="S1079" s="4"/>
      <c r="T1079" s="4"/>
      <c r="U1079" s="4"/>
      <c r="V1079" s="4"/>
      <c r="W1079" s="4"/>
    </row>
    <row r="1080" ht="15.75" customHeight="1">
      <c r="A1080" s="13">
        <f t="shared" si="9"/>
        <v>1077</v>
      </c>
      <c r="B1080" s="18">
        <f>A1080/'Orbit Info'!$G$10</f>
        <v>11.38315674</v>
      </c>
      <c r="C1080" s="13">
        <f t="shared" si="2"/>
        <v>0</v>
      </c>
      <c r="D1080" s="13">
        <f t="shared" si="3"/>
        <v>1</v>
      </c>
      <c r="E1080" s="13">
        <f t="shared" si="4"/>
        <v>0</v>
      </c>
      <c r="F1080" s="13">
        <f t="shared" si="5"/>
        <v>0</v>
      </c>
      <c r="G1080" s="13">
        <f t="shared" si="6"/>
        <v>1</v>
      </c>
      <c r="H1080" s="13">
        <f>'Orbit Info'!C1079*((C1080*$O$2)+(D1080*$O$3)+(E1080*$O$4)+(F1080*$O$5))</f>
        <v>15.628032</v>
      </c>
      <c r="I1080" s="13">
        <f t="shared" si="7"/>
        <v>8.62426</v>
      </c>
      <c r="J1080" s="18">
        <f t="shared" si="8"/>
        <v>0.1167295333</v>
      </c>
      <c r="K1080" s="18">
        <f t="shared" si="10"/>
        <v>87.34443673</v>
      </c>
      <c r="L1080" s="4"/>
      <c r="M1080" s="4"/>
      <c r="N1080" s="4"/>
      <c r="O1080" s="4"/>
      <c r="P1080" s="4"/>
      <c r="Q1080" s="4"/>
      <c r="R1080" s="4"/>
      <c r="S1080" s="4"/>
      <c r="T1080" s="4"/>
      <c r="U1080" s="4"/>
      <c r="V1080" s="4"/>
      <c r="W1080" s="4"/>
    </row>
    <row r="1081" ht="15.75" customHeight="1">
      <c r="A1081" s="13">
        <f t="shared" si="9"/>
        <v>1078</v>
      </c>
      <c r="B1081" s="18">
        <f>A1081/'Orbit Info'!$G$10</f>
        <v>11.39372606</v>
      </c>
      <c r="C1081" s="13">
        <f t="shared" si="2"/>
        <v>0</v>
      </c>
      <c r="D1081" s="13">
        <f t="shared" si="3"/>
        <v>1</v>
      </c>
      <c r="E1081" s="13">
        <f t="shared" si="4"/>
        <v>0</v>
      </c>
      <c r="F1081" s="13">
        <f t="shared" si="5"/>
        <v>0</v>
      </c>
      <c r="G1081" s="13">
        <f t="shared" si="6"/>
        <v>1</v>
      </c>
      <c r="H1081" s="13">
        <f>'Orbit Info'!C1080*((C1081*$O$2)+(D1081*$O$3)+(E1081*$O$4)+(F1081*$O$5))</f>
        <v>15.628032</v>
      </c>
      <c r="I1081" s="13">
        <f t="shared" si="7"/>
        <v>8.62426</v>
      </c>
      <c r="J1081" s="18">
        <f t="shared" si="8"/>
        <v>0.1167295333</v>
      </c>
      <c r="K1081" s="18">
        <f t="shared" si="10"/>
        <v>87.46116627</v>
      </c>
      <c r="L1081" s="4"/>
      <c r="M1081" s="4"/>
      <c r="N1081" s="4"/>
      <c r="O1081" s="4"/>
      <c r="P1081" s="4"/>
      <c r="Q1081" s="4"/>
      <c r="R1081" s="4"/>
      <c r="S1081" s="4"/>
      <c r="T1081" s="4"/>
      <c r="U1081" s="4"/>
      <c r="V1081" s="4"/>
      <c r="W1081" s="4"/>
    </row>
    <row r="1082" ht="15.75" customHeight="1">
      <c r="A1082" s="13">
        <f t="shared" si="9"/>
        <v>1079</v>
      </c>
      <c r="B1082" s="18">
        <f>A1082/'Orbit Info'!$G$10</f>
        <v>11.40429538</v>
      </c>
      <c r="C1082" s="13">
        <f t="shared" si="2"/>
        <v>0</v>
      </c>
      <c r="D1082" s="13">
        <f t="shared" si="3"/>
        <v>1</v>
      </c>
      <c r="E1082" s="13">
        <f t="shared" si="4"/>
        <v>0</v>
      </c>
      <c r="F1082" s="13">
        <f t="shared" si="5"/>
        <v>0</v>
      </c>
      <c r="G1082" s="13">
        <f t="shared" si="6"/>
        <v>1</v>
      </c>
      <c r="H1082" s="13">
        <f>'Orbit Info'!C1081*((C1082*$O$2)+(D1082*$O$3)+(E1082*$O$4)+(F1082*$O$5))</f>
        <v>15.628032</v>
      </c>
      <c r="I1082" s="13">
        <f t="shared" si="7"/>
        <v>8.62426</v>
      </c>
      <c r="J1082" s="18">
        <f t="shared" si="8"/>
        <v>0.1167295333</v>
      </c>
      <c r="K1082" s="18">
        <f t="shared" si="10"/>
        <v>87.5778958</v>
      </c>
      <c r="L1082" s="4"/>
      <c r="M1082" s="4"/>
      <c r="N1082" s="4"/>
      <c r="O1082" s="4"/>
      <c r="P1082" s="4"/>
      <c r="Q1082" s="4"/>
      <c r="R1082" s="4"/>
      <c r="S1082" s="4"/>
      <c r="T1082" s="4"/>
      <c r="U1082" s="4"/>
      <c r="V1082" s="4"/>
      <c r="W1082" s="4"/>
    </row>
    <row r="1083" ht="15.75" customHeight="1">
      <c r="A1083" s="13">
        <f t="shared" si="9"/>
        <v>1080</v>
      </c>
      <c r="B1083" s="18">
        <f>A1083/'Orbit Info'!$G$10</f>
        <v>11.4148647</v>
      </c>
      <c r="C1083" s="13">
        <f t="shared" si="2"/>
        <v>0</v>
      </c>
      <c r="D1083" s="13">
        <f t="shared" si="3"/>
        <v>1</v>
      </c>
      <c r="E1083" s="13">
        <f t="shared" si="4"/>
        <v>0</v>
      </c>
      <c r="F1083" s="13">
        <f t="shared" si="5"/>
        <v>0</v>
      </c>
      <c r="G1083" s="13">
        <f t="shared" si="6"/>
        <v>1</v>
      </c>
      <c r="H1083" s="13">
        <f>'Orbit Info'!C1082*((C1083*$O$2)+(D1083*$O$3)+(E1083*$O$4)+(F1083*$O$5))</f>
        <v>15.628032</v>
      </c>
      <c r="I1083" s="13">
        <f t="shared" si="7"/>
        <v>8.62426</v>
      </c>
      <c r="J1083" s="18">
        <f t="shared" si="8"/>
        <v>0.1167295333</v>
      </c>
      <c r="K1083" s="18">
        <f t="shared" si="10"/>
        <v>87.69462533</v>
      </c>
      <c r="L1083" s="4"/>
      <c r="M1083" s="4"/>
      <c r="N1083" s="4"/>
      <c r="O1083" s="4"/>
      <c r="P1083" s="4"/>
      <c r="Q1083" s="4"/>
      <c r="R1083" s="4"/>
      <c r="S1083" s="4"/>
      <c r="T1083" s="4"/>
      <c r="U1083" s="4"/>
      <c r="V1083" s="4"/>
      <c r="W1083" s="4"/>
    </row>
    <row r="1084" ht="15.75" customHeight="1">
      <c r="A1084" s="13">
        <f t="shared" si="9"/>
        <v>1081</v>
      </c>
      <c r="B1084" s="18">
        <f>A1084/'Orbit Info'!$G$10</f>
        <v>11.42543402</v>
      </c>
      <c r="C1084" s="13">
        <f t="shared" si="2"/>
        <v>0</v>
      </c>
      <c r="D1084" s="13">
        <f t="shared" si="3"/>
        <v>1</v>
      </c>
      <c r="E1084" s="13">
        <f t="shared" si="4"/>
        <v>0</v>
      </c>
      <c r="F1084" s="13">
        <f t="shared" si="5"/>
        <v>0</v>
      </c>
      <c r="G1084" s="13">
        <f t="shared" si="6"/>
        <v>1</v>
      </c>
      <c r="H1084" s="13">
        <f>'Orbit Info'!C1083*((C1084*$O$2)+(D1084*$O$3)+(E1084*$O$4)+(F1084*$O$5))</f>
        <v>15.628032</v>
      </c>
      <c r="I1084" s="13">
        <f t="shared" si="7"/>
        <v>8.62426</v>
      </c>
      <c r="J1084" s="18">
        <f t="shared" si="8"/>
        <v>0.1167295333</v>
      </c>
      <c r="K1084" s="18">
        <f t="shared" si="10"/>
        <v>87.81135487</v>
      </c>
      <c r="L1084" s="4"/>
      <c r="M1084" s="4"/>
      <c r="N1084" s="4"/>
      <c r="O1084" s="4"/>
      <c r="P1084" s="4"/>
      <c r="Q1084" s="4"/>
      <c r="R1084" s="4"/>
      <c r="S1084" s="4"/>
      <c r="T1084" s="4"/>
      <c r="U1084" s="4"/>
      <c r="V1084" s="4"/>
      <c r="W1084" s="4"/>
    </row>
    <row r="1085" ht="15.75" customHeight="1">
      <c r="A1085" s="13">
        <f t="shared" si="9"/>
        <v>1082</v>
      </c>
      <c r="B1085" s="18">
        <f>A1085/'Orbit Info'!$G$10</f>
        <v>11.43600334</v>
      </c>
      <c r="C1085" s="13">
        <f t="shared" si="2"/>
        <v>0</v>
      </c>
      <c r="D1085" s="13">
        <f t="shared" si="3"/>
        <v>1</v>
      </c>
      <c r="E1085" s="13">
        <f t="shared" si="4"/>
        <v>0</v>
      </c>
      <c r="F1085" s="13">
        <f t="shared" si="5"/>
        <v>0</v>
      </c>
      <c r="G1085" s="13">
        <f t="shared" si="6"/>
        <v>1</v>
      </c>
      <c r="H1085" s="13">
        <f>'Orbit Info'!C1084*((C1085*$O$2)+(D1085*$O$3)+(E1085*$O$4)+(F1085*$O$5))</f>
        <v>15.628032</v>
      </c>
      <c r="I1085" s="13">
        <f t="shared" si="7"/>
        <v>8.62426</v>
      </c>
      <c r="J1085" s="18">
        <f t="shared" si="8"/>
        <v>0.1167295333</v>
      </c>
      <c r="K1085" s="18">
        <f t="shared" si="10"/>
        <v>87.9280844</v>
      </c>
      <c r="L1085" s="4"/>
      <c r="M1085" s="4"/>
      <c r="N1085" s="4"/>
      <c r="O1085" s="4"/>
      <c r="P1085" s="4"/>
      <c r="Q1085" s="4"/>
      <c r="R1085" s="4"/>
      <c r="S1085" s="4"/>
      <c r="T1085" s="4"/>
      <c r="U1085" s="4"/>
      <c r="V1085" s="4"/>
      <c r="W1085" s="4"/>
    </row>
    <row r="1086" ht="15.75" customHeight="1">
      <c r="A1086" s="13">
        <f t="shared" si="9"/>
        <v>1083</v>
      </c>
      <c r="B1086" s="18">
        <f>A1086/'Orbit Info'!$G$10</f>
        <v>11.44657266</v>
      </c>
      <c r="C1086" s="13">
        <f t="shared" si="2"/>
        <v>0</v>
      </c>
      <c r="D1086" s="13">
        <f t="shared" si="3"/>
        <v>1</v>
      </c>
      <c r="E1086" s="13">
        <f t="shared" si="4"/>
        <v>0</v>
      </c>
      <c r="F1086" s="13">
        <f t="shared" si="5"/>
        <v>0</v>
      </c>
      <c r="G1086" s="13">
        <f t="shared" si="6"/>
        <v>1</v>
      </c>
      <c r="H1086" s="13">
        <f>'Orbit Info'!C1085*((C1086*$O$2)+(D1086*$O$3)+(E1086*$O$4)+(F1086*$O$5))</f>
        <v>15.628032</v>
      </c>
      <c r="I1086" s="13">
        <f t="shared" si="7"/>
        <v>8.62426</v>
      </c>
      <c r="J1086" s="18">
        <f t="shared" si="8"/>
        <v>0.1167295333</v>
      </c>
      <c r="K1086" s="18">
        <f t="shared" si="10"/>
        <v>88.04481393</v>
      </c>
      <c r="L1086" s="4"/>
      <c r="M1086" s="4"/>
      <c r="N1086" s="4"/>
      <c r="O1086" s="4"/>
      <c r="P1086" s="4"/>
      <c r="Q1086" s="4"/>
      <c r="R1086" s="4"/>
      <c r="S1086" s="4"/>
      <c r="T1086" s="4"/>
      <c r="U1086" s="4"/>
      <c r="V1086" s="4"/>
      <c r="W1086" s="4"/>
    </row>
    <row r="1087" ht="15.75" customHeight="1">
      <c r="A1087" s="13">
        <f t="shared" si="9"/>
        <v>1084</v>
      </c>
      <c r="B1087" s="18">
        <f>A1087/'Orbit Info'!$G$10</f>
        <v>11.45714198</v>
      </c>
      <c r="C1087" s="13">
        <f t="shared" si="2"/>
        <v>0</v>
      </c>
      <c r="D1087" s="13">
        <f t="shared" si="3"/>
        <v>1</v>
      </c>
      <c r="E1087" s="13">
        <f t="shared" si="4"/>
        <v>0</v>
      </c>
      <c r="F1087" s="13">
        <f t="shared" si="5"/>
        <v>0</v>
      </c>
      <c r="G1087" s="13">
        <f t="shared" si="6"/>
        <v>1</v>
      </c>
      <c r="H1087" s="13">
        <f>'Orbit Info'!C1086*((C1087*$O$2)+(D1087*$O$3)+(E1087*$O$4)+(F1087*$O$5))</f>
        <v>15.628032</v>
      </c>
      <c r="I1087" s="13">
        <f t="shared" si="7"/>
        <v>8.62426</v>
      </c>
      <c r="J1087" s="18">
        <f t="shared" si="8"/>
        <v>0.1167295333</v>
      </c>
      <c r="K1087" s="18">
        <f t="shared" si="10"/>
        <v>88.16154347</v>
      </c>
      <c r="L1087" s="4"/>
      <c r="M1087" s="4"/>
      <c r="N1087" s="4"/>
      <c r="O1087" s="4"/>
      <c r="P1087" s="4"/>
      <c r="Q1087" s="4"/>
      <c r="R1087" s="4"/>
      <c r="S1087" s="4"/>
      <c r="T1087" s="4"/>
      <c r="U1087" s="4"/>
      <c r="V1087" s="4"/>
      <c r="W1087" s="4"/>
    </row>
    <row r="1088" ht="15.75" customHeight="1">
      <c r="A1088" s="13">
        <f t="shared" si="9"/>
        <v>1085</v>
      </c>
      <c r="B1088" s="18">
        <f>A1088/'Orbit Info'!$G$10</f>
        <v>11.46771129</v>
      </c>
      <c r="C1088" s="13">
        <f t="shared" si="2"/>
        <v>0</v>
      </c>
      <c r="D1088" s="13">
        <f t="shared" si="3"/>
        <v>1</v>
      </c>
      <c r="E1088" s="13">
        <f t="shared" si="4"/>
        <v>0</v>
      </c>
      <c r="F1088" s="13">
        <f t="shared" si="5"/>
        <v>0</v>
      </c>
      <c r="G1088" s="13">
        <f t="shared" si="6"/>
        <v>1</v>
      </c>
      <c r="H1088" s="13">
        <f>'Orbit Info'!C1087*((C1088*$O$2)+(D1088*$O$3)+(E1088*$O$4)+(F1088*$O$5))</f>
        <v>15.628032</v>
      </c>
      <c r="I1088" s="13">
        <f t="shared" si="7"/>
        <v>8.62426</v>
      </c>
      <c r="J1088" s="18">
        <f t="shared" si="8"/>
        <v>0.1167295333</v>
      </c>
      <c r="K1088" s="18">
        <f t="shared" si="10"/>
        <v>88.2</v>
      </c>
      <c r="L1088" s="4"/>
      <c r="M1088" s="4"/>
      <c r="N1088" s="4"/>
      <c r="O1088" s="4"/>
      <c r="P1088" s="4"/>
      <c r="Q1088" s="4"/>
      <c r="R1088" s="4"/>
      <c r="S1088" s="4"/>
      <c r="T1088" s="4"/>
      <c r="U1088" s="4"/>
      <c r="V1088" s="4"/>
      <c r="W1088" s="4"/>
    </row>
    <row r="1089" ht="15.75" customHeight="1">
      <c r="A1089" s="13">
        <f t="shared" si="9"/>
        <v>1086</v>
      </c>
      <c r="B1089" s="18">
        <f>A1089/'Orbit Info'!$G$10</f>
        <v>11.47828061</v>
      </c>
      <c r="C1089" s="13">
        <f t="shared" si="2"/>
        <v>0</v>
      </c>
      <c r="D1089" s="13">
        <f t="shared" si="3"/>
        <v>1</v>
      </c>
      <c r="E1089" s="13">
        <f t="shared" si="4"/>
        <v>0</v>
      </c>
      <c r="F1089" s="13">
        <f t="shared" si="5"/>
        <v>0</v>
      </c>
      <c r="G1089" s="13">
        <f t="shared" si="6"/>
        <v>1</v>
      </c>
      <c r="H1089" s="13">
        <f>'Orbit Info'!C1088*((C1089*$O$2)+(D1089*$O$3)+(E1089*$O$4)+(F1089*$O$5))</f>
        <v>15.628032</v>
      </c>
      <c r="I1089" s="13">
        <f t="shared" si="7"/>
        <v>8.62426</v>
      </c>
      <c r="J1089" s="18">
        <f t="shared" si="8"/>
        <v>0.1167295333</v>
      </c>
      <c r="K1089" s="18">
        <f t="shared" si="10"/>
        <v>88.2</v>
      </c>
      <c r="L1089" s="4"/>
      <c r="M1089" s="4"/>
      <c r="N1089" s="4"/>
      <c r="O1089" s="4"/>
      <c r="P1089" s="4"/>
      <c r="Q1089" s="4"/>
      <c r="R1089" s="4"/>
      <c r="S1089" s="4"/>
      <c r="T1089" s="4"/>
      <c r="U1089" s="4"/>
      <c r="V1089" s="4"/>
      <c r="W1089" s="4"/>
    </row>
    <row r="1090" ht="15.75" customHeight="1">
      <c r="A1090" s="13">
        <f t="shared" si="9"/>
        <v>1087</v>
      </c>
      <c r="B1090" s="18">
        <f>A1090/'Orbit Info'!$G$10</f>
        <v>11.48884993</v>
      </c>
      <c r="C1090" s="13">
        <f t="shared" si="2"/>
        <v>0</v>
      </c>
      <c r="D1090" s="13">
        <f t="shared" si="3"/>
        <v>1</v>
      </c>
      <c r="E1090" s="13">
        <f t="shared" si="4"/>
        <v>0</v>
      </c>
      <c r="F1090" s="13">
        <f t="shared" si="5"/>
        <v>0</v>
      </c>
      <c r="G1090" s="13">
        <f t="shared" si="6"/>
        <v>1</v>
      </c>
      <c r="H1090" s="13">
        <f>'Orbit Info'!C1089*((C1090*$O$2)+(D1090*$O$3)+(E1090*$O$4)+(F1090*$O$5))</f>
        <v>15.628032</v>
      </c>
      <c r="I1090" s="13">
        <f t="shared" si="7"/>
        <v>8.62426</v>
      </c>
      <c r="J1090" s="18">
        <f t="shared" si="8"/>
        <v>0.1167295333</v>
      </c>
      <c r="K1090" s="18">
        <f t="shared" si="10"/>
        <v>88.2</v>
      </c>
      <c r="L1090" s="4"/>
      <c r="M1090" s="4"/>
      <c r="N1090" s="4"/>
      <c r="O1090" s="4"/>
      <c r="P1090" s="4"/>
      <c r="Q1090" s="4"/>
      <c r="R1090" s="4"/>
      <c r="S1090" s="4"/>
      <c r="T1090" s="4"/>
      <c r="U1090" s="4"/>
      <c r="V1090" s="4"/>
      <c r="W1090" s="4"/>
    </row>
    <row r="1091" ht="15.75" customHeight="1">
      <c r="A1091" s="13">
        <f t="shared" si="9"/>
        <v>1088</v>
      </c>
      <c r="B1091" s="18">
        <f>A1091/'Orbit Info'!$G$10</f>
        <v>11.49941925</v>
      </c>
      <c r="C1091" s="13">
        <f t="shared" si="2"/>
        <v>0</v>
      </c>
      <c r="D1091" s="13">
        <f t="shared" si="3"/>
        <v>1</v>
      </c>
      <c r="E1091" s="13">
        <f t="shared" si="4"/>
        <v>0</v>
      </c>
      <c r="F1091" s="13">
        <f t="shared" si="5"/>
        <v>0</v>
      </c>
      <c r="G1091" s="13">
        <f t="shared" si="6"/>
        <v>1</v>
      </c>
      <c r="H1091" s="13">
        <f>'Orbit Info'!C1090*((C1091*$O$2)+(D1091*$O$3)+(E1091*$O$4)+(F1091*$O$5))</f>
        <v>15.628032</v>
      </c>
      <c r="I1091" s="13">
        <f t="shared" si="7"/>
        <v>8.62426</v>
      </c>
      <c r="J1091" s="18">
        <f t="shared" si="8"/>
        <v>0.1167295333</v>
      </c>
      <c r="K1091" s="18">
        <f t="shared" si="10"/>
        <v>88.2</v>
      </c>
      <c r="L1091" s="4"/>
      <c r="M1091" s="4"/>
      <c r="N1091" s="4"/>
      <c r="O1091" s="4"/>
      <c r="P1091" s="4"/>
      <c r="Q1091" s="4"/>
      <c r="R1091" s="4"/>
      <c r="S1091" s="4"/>
      <c r="T1091" s="4"/>
      <c r="U1091" s="4"/>
      <c r="V1091" s="4"/>
      <c r="W1091" s="4"/>
    </row>
    <row r="1092" ht="15.75" customHeight="1">
      <c r="A1092" s="13">
        <f t="shared" si="9"/>
        <v>1089</v>
      </c>
      <c r="B1092" s="18">
        <f>A1092/'Orbit Info'!$G$10</f>
        <v>11.50998857</v>
      </c>
      <c r="C1092" s="13">
        <f t="shared" si="2"/>
        <v>0</v>
      </c>
      <c r="D1092" s="13">
        <f t="shared" si="3"/>
        <v>1</v>
      </c>
      <c r="E1092" s="13">
        <f t="shared" si="4"/>
        <v>0</v>
      </c>
      <c r="F1092" s="13">
        <f t="shared" si="5"/>
        <v>0</v>
      </c>
      <c r="G1092" s="13">
        <f t="shared" si="6"/>
        <v>1</v>
      </c>
      <c r="H1092" s="13">
        <f>'Orbit Info'!C1091*((C1092*$O$2)+(D1092*$O$3)+(E1092*$O$4)+(F1092*$O$5))</f>
        <v>15.628032</v>
      </c>
      <c r="I1092" s="13">
        <f t="shared" si="7"/>
        <v>8.62426</v>
      </c>
      <c r="J1092" s="18">
        <f t="shared" si="8"/>
        <v>0.1167295333</v>
      </c>
      <c r="K1092" s="18">
        <f t="shared" si="10"/>
        <v>88.2</v>
      </c>
      <c r="L1092" s="4"/>
      <c r="M1092" s="4"/>
      <c r="N1092" s="4"/>
      <c r="O1092" s="4"/>
      <c r="P1092" s="4"/>
      <c r="Q1092" s="4"/>
      <c r="R1092" s="4"/>
      <c r="S1092" s="4"/>
      <c r="T1092" s="4"/>
      <c r="U1092" s="4"/>
      <c r="V1092" s="4"/>
      <c r="W1092" s="4"/>
    </row>
    <row r="1093" ht="15.75" customHeight="1">
      <c r="A1093" s="13">
        <f t="shared" si="9"/>
        <v>1090</v>
      </c>
      <c r="B1093" s="18">
        <f>A1093/'Orbit Info'!$G$10</f>
        <v>11.52055789</v>
      </c>
      <c r="C1093" s="13">
        <f t="shared" si="2"/>
        <v>0</v>
      </c>
      <c r="D1093" s="13">
        <f t="shared" si="3"/>
        <v>1</v>
      </c>
      <c r="E1093" s="13">
        <f t="shared" si="4"/>
        <v>0</v>
      </c>
      <c r="F1093" s="13">
        <f t="shared" si="5"/>
        <v>0</v>
      </c>
      <c r="G1093" s="13">
        <f t="shared" si="6"/>
        <v>1</v>
      </c>
      <c r="H1093" s="13">
        <f>'Orbit Info'!C1092*((C1093*$O$2)+(D1093*$O$3)+(E1093*$O$4)+(F1093*$O$5))</f>
        <v>15.628032</v>
      </c>
      <c r="I1093" s="13">
        <f t="shared" si="7"/>
        <v>8.62426</v>
      </c>
      <c r="J1093" s="18">
        <f t="shared" si="8"/>
        <v>0.1167295333</v>
      </c>
      <c r="K1093" s="18">
        <f t="shared" si="10"/>
        <v>88.2</v>
      </c>
      <c r="L1093" s="4"/>
      <c r="M1093" s="4"/>
      <c r="N1093" s="4"/>
      <c r="O1093" s="4"/>
      <c r="P1093" s="4"/>
      <c r="Q1093" s="4"/>
      <c r="R1093" s="4"/>
      <c r="S1093" s="4"/>
      <c r="T1093" s="4"/>
      <c r="U1093" s="4"/>
      <c r="V1093" s="4"/>
      <c r="W1093" s="4"/>
    </row>
    <row r="1094" ht="15.75" customHeight="1">
      <c r="A1094" s="13">
        <f t="shared" si="9"/>
        <v>1091</v>
      </c>
      <c r="B1094" s="18">
        <f>A1094/'Orbit Info'!$G$10</f>
        <v>11.53112721</v>
      </c>
      <c r="C1094" s="13">
        <f t="shared" si="2"/>
        <v>0</v>
      </c>
      <c r="D1094" s="13">
        <f t="shared" si="3"/>
        <v>1</v>
      </c>
      <c r="E1094" s="13">
        <f t="shared" si="4"/>
        <v>0</v>
      </c>
      <c r="F1094" s="13">
        <f t="shared" si="5"/>
        <v>0</v>
      </c>
      <c r="G1094" s="13">
        <f t="shared" si="6"/>
        <v>1</v>
      </c>
      <c r="H1094" s="13">
        <f>'Orbit Info'!C1093*((C1094*$O$2)+(D1094*$O$3)+(E1094*$O$4)+(F1094*$O$5))</f>
        <v>15.628032</v>
      </c>
      <c r="I1094" s="13">
        <f t="shared" si="7"/>
        <v>8.62426</v>
      </c>
      <c r="J1094" s="18">
        <f t="shared" si="8"/>
        <v>0.1167295333</v>
      </c>
      <c r="K1094" s="18">
        <f t="shared" si="10"/>
        <v>88.2</v>
      </c>
      <c r="L1094" s="4"/>
      <c r="M1094" s="4"/>
      <c r="N1094" s="4"/>
      <c r="O1094" s="4"/>
      <c r="P1094" s="4"/>
      <c r="Q1094" s="4"/>
      <c r="R1094" s="4"/>
      <c r="S1094" s="4"/>
      <c r="T1094" s="4"/>
      <c r="U1094" s="4"/>
      <c r="V1094" s="4"/>
      <c r="W1094" s="4"/>
    </row>
    <row r="1095" ht="15.75" customHeight="1">
      <c r="A1095" s="13">
        <f t="shared" si="9"/>
        <v>1092</v>
      </c>
      <c r="B1095" s="18">
        <f>A1095/'Orbit Info'!$G$10</f>
        <v>11.54169653</v>
      </c>
      <c r="C1095" s="13">
        <f t="shared" si="2"/>
        <v>0</v>
      </c>
      <c r="D1095" s="13">
        <f t="shared" si="3"/>
        <v>1</v>
      </c>
      <c r="E1095" s="13">
        <f t="shared" si="4"/>
        <v>0</v>
      </c>
      <c r="F1095" s="13">
        <f t="shared" si="5"/>
        <v>0</v>
      </c>
      <c r="G1095" s="13">
        <f t="shared" si="6"/>
        <v>1</v>
      </c>
      <c r="H1095" s="13">
        <f>'Orbit Info'!C1094*((C1095*$O$2)+(D1095*$O$3)+(E1095*$O$4)+(F1095*$O$5))</f>
        <v>15.628032</v>
      </c>
      <c r="I1095" s="13">
        <f t="shared" si="7"/>
        <v>8.62426</v>
      </c>
      <c r="J1095" s="18">
        <f t="shared" si="8"/>
        <v>0.1167295333</v>
      </c>
      <c r="K1095" s="18">
        <f t="shared" si="10"/>
        <v>88.2</v>
      </c>
      <c r="L1095" s="4"/>
      <c r="M1095" s="4"/>
      <c r="N1095" s="4"/>
      <c r="O1095" s="4"/>
      <c r="P1095" s="4"/>
      <c r="Q1095" s="4"/>
      <c r="R1095" s="4"/>
      <c r="S1095" s="4"/>
      <c r="T1095" s="4"/>
      <c r="U1095" s="4"/>
      <c r="V1095" s="4"/>
      <c r="W1095" s="4"/>
    </row>
    <row r="1096" ht="15.75" customHeight="1">
      <c r="A1096" s="13">
        <f t="shared" si="9"/>
        <v>1093</v>
      </c>
      <c r="B1096" s="18">
        <f>A1096/'Orbit Info'!$G$10</f>
        <v>11.55226585</v>
      </c>
      <c r="C1096" s="13">
        <f t="shared" si="2"/>
        <v>0</v>
      </c>
      <c r="D1096" s="13">
        <f t="shared" si="3"/>
        <v>1</v>
      </c>
      <c r="E1096" s="13">
        <f t="shared" si="4"/>
        <v>0</v>
      </c>
      <c r="F1096" s="13">
        <f t="shared" si="5"/>
        <v>0</v>
      </c>
      <c r="G1096" s="13">
        <f t="shared" si="6"/>
        <v>1</v>
      </c>
      <c r="H1096" s="13">
        <f>'Orbit Info'!C1095*((C1096*$O$2)+(D1096*$O$3)+(E1096*$O$4)+(F1096*$O$5))</f>
        <v>15.628032</v>
      </c>
      <c r="I1096" s="13">
        <f t="shared" si="7"/>
        <v>8.62426</v>
      </c>
      <c r="J1096" s="18">
        <f t="shared" si="8"/>
        <v>0.1167295333</v>
      </c>
      <c r="K1096" s="18">
        <f t="shared" si="10"/>
        <v>88.2</v>
      </c>
      <c r="L1096" s="4"/>
      <c r="M1096" s="4"/>
      <c r="N1096" s="4"/>
      <c r="O1096" s="4"/>
      <c r="P1096" s="4"/>
      <c r="Q1096" s="4"/>
      <c r="R1096" s="4"/>
      <c r="S1096" s="4"/>
      <c r="T1096" s="4"/>
      <c r="U1096" s="4"/>
      <c r="V1096" s="4"/>
      <c r="W1096" s="4"/>
    </row>
    <row r="1097" ht="15.75" customHeight="1">
      <c r="A1097" s="13">
        <f t="shared" si="9"/>
        <v>1094</v>
      </c>
      <c r="B1097" s="18">
        <f>A1097/'Orbit Info'!$G$10</f>
        <v>11.56283517</v>
      </c>
      <c r="C1097" s="13">
        <f t="shared" si="2"/>
        <v>0</v>
      </c>
      <c r="D1097" s="13">
        <f t="shared" si="3"/>
        <v>1</v>
      </c>
      <c r="E1097" s="13">
        <f t="shared" si="4"/>
        <v>0</v>
      </c>
      <c r="F1097" s="13">
        <f t="shared" si="5"/>
        <v>0</v>
      </c>
      <c r="G1097" s="13">
        <f t="shared" si="6"/>
        <v>1</v>
      </c>
      <c r="H1097" s="13">
        <f>'Orbit Info'!C1096*((C1097*$O$2)+(D1097*$O$3)+(E1097*$O$4)+(F1097*$O$5))</f>
        <v>15.628032</v>
      </c>
      <c r="I1097" s="13">
        <f t="shared" si="7"/>
        <v>8.62426</v>
      </c>
      <c r="J1097" s="18">
        <f t="shared" si="8"/>
        <v>0.1167295333</v>
      </c>
      <c r="K1097" s="18">
        <f t="shared" si="10"/>
        <v>88.2</v>
      </c>
      <c r="L1097" s="4"/>
      <c r="M1097" s="4"/>
      <c r="N1097" s="4"/>
      <c r="O1097" s="4"/>
      <c r="P1097" s="4"/>
      <c r="Q1097" s="4"/>
      <c r="R1097" s="4"/>
      <c r="S1097" s="4"/>
      <c r="T1097" s="4"/>
      <c r="U1097" s="4"/>
      <c r="V1097" s="4"/>
      <c r="W1097" s="4"/>
    </row>
    <row r="1098" ht="15.75" customHeight="1">
      <c r="A1098" s="13">
        <f t="shared" si="9"/>
        <v>1095</v>
      </c>
      <c r="B1098" s="18">
        <f>A1098/'Orbit Info'!$G$10</f>
        <v>11.57340449</v>
      </c>
      <c r="C1098" s="13">
        <f t="shared" si="2"/>
        <v>0</v>
      </c>
      <c r="D1098" s="13">
        <f t="shared" si="3"/>
        <v>1</v>
      </c>
      <c r="E1098" s="13">
        <f t="shared" si="4"/>
        <v>0</v>
      </c>
      <c r="F1098" s="13">
        <f t="shared" si="5"/>
        <v>0</v>
      </c>
      <c r="G1098" s="13">
        <f t="shared" si="6"/>
        <v>1</v>
      </c>
      <c r="H1098" s="13">
        <f>'Orbit Info'!C1097*((C1098*$O$2)+(D1098*$O$3)+(E1098*$O$4)+(F1098*$O$5))</f>
        <v>15.628032</v>
      </c>
      <c r="I1098" s="13">
        <f t="shared" si="7"/>
        <v>8.62426</v>
      </c>
      <c r="J1098" s="18">
        <f t="shared" si="8"/>
        <v>0.1167295333</v>
      </c>
      <c r="K1098" s="18">
        <f t="shared" si="10"/>
        <v>88.2</v>
      </c>
      <c r="L1098" s="4"/>
      <c r="M1098" s="4"/>
      <c r="N1098" s="4"/>
      <c r="O1098" s="4"/>
      <c r="P1098" s="4"/>
      <c r="Q1098" s="4"/>
      <c r="R1098" s="4"/>
      <c r="S1098" s="4"/>
      <c r="T1098" s="4"/>
      <c r="U1098" s="4"/>
      <c r="V1098" s="4"/>
      <c r="W1098" s="4"/>
    </row>
    <row r="1099" ht="15.75" customHeight="1">
      <c r="A1099" s="13">
        <f t="shared" si="9"/>
        <v>1096</v>
      </c>
      <c r="B1099" s="18">
        <f>A1099/'Orbit Info'!$G$10</f>
        <v>11.58397381</v>
      </c>
      <c r="C1099" s="13">
        <f t="shared" si="2"/>
        <v>0</v>
      </c>
      <c r="D1099" s="13">
        <f t="shared" si="3"/>
        <v>1</v>
      </c>
      <c r="E1099" s="13">
        <f t="shared" si="4"/>
        <v>0</v>
      </c>
      <c r="F1099" s="13">
        <f t="shared" si="5"/>
        <v>0</v>
      </c>
      <c r="G1099" s="13">
        <f t="shared" si="6"/>
        <v>1</v>
      </c>
      <c r="H1099" s="13">
        <f>'Orbit Info'!C1098*((C1099*$O$2)+(D1099*$O$3)+(E1099*$O$4)+(F1099*$O$5))</f>
        <v>15.628032</v>
      </c>
      <c r="I1099" s="13">
        <f t="shared" si="7"/>
        <v>8.62426</v>
      </c>
      <c r="J1099" s="18">
        <f t="shared" si="8"/>
        <v>0.1167295333</v>
      </c>
      <c r="K1099" s="18">
        <f t="shared" si="10"/>
        <v>88.2</v>
      </c>
      <c r="L1099" s="4"/>
      <c r="M1099" s="4"/>
      <c r="N1099" s="4"/>
      <c r="O1099" s="4"/>
      <c r="P1099" s="4"/>
      <c r="Q1099" s="4"/>
      <c r="R1099" s="4"/>
      <c r="S1099" s="4"/>
      <c r="T1099" s="4"/>
      <c r="U1099" s="4"/>
      <c r="V1099" s="4"/>
      <c r="W1099" s="4"/>
    </row>
    <row r="1100" ht="15.75" customHeight="1">
      <c r="A1100" s="13">
        <f t="shared" si="9"/>
        <v>1097</v>
      </c>
      <c r="B1100" s="18">
        <f>A1100/'Orbit Info'!$G$10</f>
        <v>11.59454312</v>
      </c>
      <c r="C1100" s="13">
        <f t="shared" si="2"/>
        <v>0</v>
      </c>
      <c r="D1100" s="13">
        <f t="shared" si="3"/>
        <v>1</v>
      </c>
      <c r="E1100" s="13">
        <f t="shared" si="4"/>
        <v>0</v>
      </c>
      <c r="F1100" s="13">
        <f t="shared" si="5"/>
        <v>0</v>
      </c>
      <c r="G1100" s="13">
        <f t="shared" si="6"/>
        <v>1</v>
      </c>
      <c r="H1100" s="13">
        <f>'Orbit Info'!C1099*((C1100*$O$2)+(D1100*$O$3)+(E1100*$O$4)+(F1100*$O$5))</f>
        <v>15.628032</v>
      </c>
      <c r="I1100" s="13">
        <f t="shared" si="7"/>
        <v>8.62426</v>
      </c>
      <c r="J1100" s="18">
        <f t="shared" si="8"/>
        <v>0.1167295333</v>
      </c>
      <c r="K1100" s="18">
        <f t="shared" si="10"/>
        <v>88.2</v>
      </c>
      <c r="L1100" s="4"/>
      <c r="M1100" s="4"/>
      <c r="N1100" s="4"/>
      <c r="O1100" s="4"/>
      <c r="P1100" s="4"/>
      <c r="Q1100" s="4"/>
      <c r="R1100" s="4"/>
      <c r="S1100" s="4"/>
      <c r="T1100" s="4"/>
      <c r="U1100" s="4"/>
      <c r="V1100" s="4"/>
      <c r="W1100" s="4"/>
    </row>
    <row r="1101" ht="15.75" customHeight="1">
      <c r="A1101" s="13">
        <f t="shared" si="9"/>
        <v>1098</v>
      </c>
      <c r="B1101" s="18">
        <f>A1101/'Orbit Info'!$G$10</f>
        <v>11.60511244</v>
      </c>
      <c r="C1101" s="13">
        <f t="shared" si="2"/>
        <v>0</v>
      </c>
      <c r="D1101" s="13">
        <f t="shared" si="3"/>
        <v>1</v>
      </c>
      <c r="E1101" s="13">
        <f t="shared" si="4"/>
        <v>0</v>
      </c>
      <c r="F1101" s="13">
        <f t="shared" si="5"/>
        <v>0</v>
      </c>
      <c r="G1101" s="13">
        <f t="shared" si="6"/>
        <v>1</v>
      </c>
      <c r="H1101" s="13">
        <f>'Orbit Info'!C1100*((C1101*$O$2)+(D1101*$O$3)+(E1101*$O$4)+(F1101*$O$5))</f>
        <v>15.628032</v>
      </c>
      <c r="I1101" s="13">
        <f t="shared" si="7"/>
        <v>8.62426</v>
      </c>
      <c r="J1101" s="18">
        <f t="shared" si="8"/>
        <v>0.1167295333</v>
      </c>
      <c r="K1101" s="18">
        <f t="shared" si="10"/>
        <v>88.2</v>
      </c>
      <c r="L1101" s="4"/>
      <c r="M1101" s="4"/>
      <c r="N1101" s="4"/>
      <c r="O1101" s="4"/>
      <c r="P1101" s="4"/>
      <c r="Q1101" s="4"/>
      <c r="R1101" s="4"/>
      <c r="S1101" s="4"/>
      <c r="T1101" s="4"/>
      <c r="U1101" s="4"/>
      <c r="V1101" s="4"/>
      <c r="W1101" s="4"/>
    </row>
    <row r="1102" ht="15.75" customHeight="1">
      <c r="A1102" s="13">
        <f t="shared" si="9"/>
        <v>1099</v>
      </c>
      <c r="B1102" s="18">
        <f>A1102/'Orbit Info'!$G$10</f>
        <v>11.61568176</v>
      </c>
      <c r="C1102" s="13">
        <f t="shared" si="2"/>
        <v>0</v>
      </c>
      <c r="D1102" s="13">
        <f t="shared" si="3"/>
        <v>1</v>
      </c>
      <c r="E1102" s="13">
        <f t="shared" si="4"/>
        <v>0</v>
      </c>
      <c r="F1102" s="13">
        <f t="shared" si="5"/>
        <v>0</v>
      </c>
      <c r="G1102" s="13">
        <f t="shared" si="6"/>
        <v>1</v>
      </c>
      <c r="H1102" s="13">
        <f>'Orbit Info'!C1101*((C1102*$O$2)+(D1102*$O$3)+(E1102*$O$4)+(F1102*$O$5))</f>
        <v>15.628032</v>
      </c>
      <c r="I1102" s="13">
        <f t="shared" si="7"/>
        <v>8.62426</v>
      </c>
      <c r="J1102" s="18">
        <f t="shared" si="8"/>
        <v>0.1167295333</v>
      </c>
      <c r="K1102" s="18">
        <f t="shared" si="10"/>
        <v>88.2</v>
      </c>
      <c r="L1102" s="4"/>
      <c r="M1102" s="4"/>
      <c r="N1102" s="4"/>
      <c r="O1102" s="4"/>
      <c r="P1102" s="4"/>
      <c r="Q1102" s="4"/>
      <c r="R1102" s="4"/>
      <c r="S1102" s="4"/>
      <c r="T1102" s="4"/>
      <c r="U1102" s="4"/>
      <c r="V1102" s="4"/>
      <c r="W1102" s="4"/>
    </row>
    <row r="1103" ht="15.75" customHeight="1">
      <c r="A1103" s="13">
        <f t="shared" si="9"/>
        <v>1100</v>
      </c>
      <c r="B1103" s="18">
        <f>A1103/'Orbit Info'!$G$10</f>
        <v>11.62625108</v>
      </c>
      <c r="C1103" s="13">
        <f t="shared" si="2"/>
        <v>0</v>
      </c>
      <c r="D1103" s="13">
        <f t="shared" si="3"/>
        <v>1</v>
      </c>
      <c r="E1103" s="13">
        <f t="shared" si="4"/>
        <v>0</v>
      </c>
      <c r="F1103" s="13">
        <f t="shared" si="5"/>
        <v>0</v>
      </c>
      <c r="G1103" s="13">
        <f t="shared" si="6"/>
        <v>1</v>
      </c>
      <c r="H1103" s="13">
        <f>'Orbit Info'!C1102*((C1103*$O$2)+(D1103*$O$3)+(E1103*$O$4)+(F1103*$O$5))</f>
        <v>0</v>
      </c>
      <c r="I1103" s="13">
        <f t="shared" si="7"/>
        <v>8.62426</v>
      </c>
      <c r="J1103" s="18">
        <f t="shared" si="8"/>
        <v>-0.1437376667</v>
      </c>
      <c r="K1103" s="18">
        <f t="shared" si="10"/>
        <v>88.05626233</v>
      </c>
      <c r="L1103" s="4"/>
      <c r="M1103" s="4"/>
      <c r="N1103" s="4"/>
      <c r="O1103" s="4"/>
      <c r="P1103" s="4"/>
      <c r="Q1103" s="4"/>
      <c r="R1103" s="4"/>
      <c r="S1103" s="4"/>
      <c r="T1103" s="4"/>
      <c r="U1103" s="4"/>
      <c r="V1103" s="4"/>
      <c r="W1103" s="4"/>
    </row>
    <row r="1104" ht="15.75" customHeight="1">
      <c r="A1104" s="13">
        <f t="shared" si="9"/>
        <v>1101</v>
      </c>
      <c r="B1104" s="18">
        <f>A1104/'Orbit Info'!$G$10</f>
        <v>11.6368204</v>
      </c>
      <c r="C1104" s="13">
        <f t="shared" si="2"/>
        <v>0</v>
      </c>
      <c r="D1104" s="13">
        <f t="shared" si="3"/>
        <v>1</v>
      </c>
      <c r="E1104" s="13">
        <f t="shared" si="4"/>
        <v>0</v>
      </c>
      <c r="F1104" s="13">
        <f t="shared" si="5"/>
        <v>0</v>
      </c>
      <c r="G1104" s="13">
        <f t="shared" si="6"/>
        <v>1</v>
      </c>
      <c r="H1104" s="13">
        <f>'Orbit Info'!C1103*((C1104*$O$2)+(D1104*$O$3)+(E1104*$O$4)+(F1104*$O$5))</f>
        <v>0</v>
      </c>
      <c r="I1104" s="13">
        <f t="shared" si="7"/>
        <v>8.62426</v>
      </c>
      <c r="J1104" s="18">
        <f t="shared" si="8"/>
        <v>-0.1437376667</v>
      </c>
      <c r="K1104" s="18">
        <f t="shared" si="10"/>
        <v>87.91252467</v>
      </c>
      <c r="L1104" s="4"/>
      <c r="M1104" s="4"/>
      <c r="N1104" s="4"/>
      <c r="O1104" s="4"/>
      <c r="P1104" s="4"/>
      <c r="Q1104" s="4"/>
      <c r="R1104" s="4"/>
      <c r="S1104" s="4"/>
      <c r="T1104" s="4"/>
      <c r="U1104" s="4"/>
      <c r="V1104" s="4"/>
      <c r="W1104" s="4"/>
    </row>
    <row r="1105" ht="15.75" customHeight="1">
      <c r="A1105" s="13">
        <f t="shared" si="9"/>
        <v>1102</v>
      </c>
      <c r="B1105" s="18">
        <f>A1105/'Orbit Info'!$G$10</f>
        <v>11.64738972</v>
      </c>
      <c r="C1105" s="13">
        <f t="shared" si="2"/>
        <v>0</v>
      </c>
      <c r="D1105" s="13">
        <f t="shared" si="3"/>
        <v>1</v>
      </c>
      <c r="E1105" s="13">
        <f t="shared" si="4"/>
        <v>0</v>
      </c>
      <c r="F1105" s="13">
        <f t="shared" si="5"/>
        <v>0</v>
      </c>
      <c r="G1105" s="13">
        <f t="shared" si="6"/>
        <v>1</v>
      </c>
      <c r="H1105" s="13">
        <f>'Orbit Info'!C1104*((C1105*$O$2)+(D1105*$O$3)+(E1105*$O$4)+(F1105*$O$5))</f>
        <v>0</v>
      </c>
      <c r="I1105" s="13">
        <f t="shared" si="7"/>
        <v>8.62426</v>
      </c>
      <c r="J1105" s="18">
        <f t="shared" si="8"/>
        <v>-0.1437376667</v>
      </c>
      <c r="K1105" s="18">
        <f t="shared" si="10"/>
        <v>87.768787</v>
      </c>
      <c r="L1105" s="4"/>
      <c r="M1105" s="4"/>
      <c r="N1105" s="4"/>
      <c r="O1105" s="4"/>
      <c r="P1105" s="4"/>
      <c r="Q1105" s="4"/>
      <c r="R1105" s="4"/>
      <c r="S1105" s="4"/>
      <c r="T1105" s="4"/>
      <c r="U1105" s="4"/>
      <c r="V1105" s="4"/>
      <c r="W1105" s="4"/>
    </row>
    <row r="1106" ht="15.75" customHeight="1">
      <c r="A1106" s="13">
        <f t="shared" si="9"/>
        <v>1103</v>
      </c>
      <c r="B1106" s="18">
        <f>A1106/'Orbit Info'!$G$10</f>
        <v>11.65795904</v>
      </c>
      <c r="C1106" s="13">
        <f t="shared" si="2"/>
        <v>0</v>
      </c>
      <c r="D1106" s="13">
        <f t="shared" si="3"/>
        <v>1</v>
      </c>
      <c r="E1106" s="13">
        <f t="shared" si="4"/>
        <v>0</v>
      </c>
      <c r="F1106" s="13">
        <f t="shared" si="5"/>
        <v>0</v>
      </c>
      <c r="G1106" s="13">
        <f t="shared" si="6"/>
        <v>1</v>
      </c>
      <c r="H1106" s="13">
        <f>'Orbit Info'!C1105*((C1106*$O$2)+(D1106*$O$3)+(E1106*$O$4)+(F1106*$O$5))</f>
        <v>0</v>
      </c>
      <c r="I1106" s="13">
        <f t="shared" si="7"/>
        <v>8.62426</v>
      </c>
      <c r="J1106" s="18">
        <f t="shared" si="8"/>
        <v>-0.1437376667</v>
      </c>
      <c r="K1106" s="18">
        <f t="shared" si="10"/>
        <v>87.62504933</v>
      </c>
      <c r="L1106" s="4"/>
      <c r="M1106" s="4"/>
      <c r="N1106" s="4"/>
      <c r="O1106" s="4"/>
      <c r="P1106" s="4"/>
      <c r="Q1106" s="4"/>
      <c r="R1106" s="4"/>
      <c r="S1106" s="4"/>
      <c r="T1106" s="4"/>
      <c r="U1106" s="4"/>
      <c r="V1106" s="4"/>
      <c r="W1106" s="4"/>
    </row>
    <row r="1107" ht="15.75" customHeight="1">
      <c r="A1107" s="13">
        <f t="shared" si="9"/>
        <v>1104</v>
      </c>
      <c r="B1107" s="18">
        <f>A1107/'Orbit Info'!$G$10</f>
        <v>11.66852836</v>
      </c>
      <c r="C1107" s="13">
        <f t="shared" si="2"/>
        <v>0</v>
      </c>
      <c r="D1107" s="13">
        <f t="shared" si="3"/>
        <v>1</v>
      </c>
      <c r="E1107" s="13">
        <f t="shared" si="4"/>
        <v>0</v>
      </c>
      <c r="F1107" s="13">
        <f t="shared" si="5"/>
        <v>0</v>
      </c>
      <c r="G1107" s="13">
        <f t="shared" si="6"/>
        <v>1</v>
      </c>
      <c r="H1107" s="13">
        <f>'Orbit Info'!C1106*((C1107*$O$2)+(D1107*$O$3)+(E1107*$O$4)+(F1107*$O$5))</f>
        <v>0</v>
      </c>
      <c r="I1107" s="13">
        <f t="shared" si="7"/>
        <v>8.62426</v>
      </c>
      <c r="J1107" s="18">
        <f t="shared" si="8"/>
        <v>-0.1437376667</v>
      </c>
      <c r="K1107" s="18">
        <f t="shared" si="10"/>
        <v>87.48131167</v>
      </c>
      <c r="L1107" s="4"/>
      <c r="M1107" s="4"/>
      <c r="N1107" s="4"/>
      <c r="O1107" s="4"/>
      <c r="P1107" s="4"/>
      <c r="Q1107" s="4"/>
      <c r="R1107" s="4"/>
      <c r="S1107" s="4"/>
      <c r="T1107" s="4"/>
      <c r="U1107" s="4"/>
      <c r="V1107" s="4"/>
      <c r="W1107" s="4"/>
    </row>
    <row r="1108" ht="15.75" customHeight="1">
      <c r="A1108" s="13">
        <f t="shared" si="9"/>
        <v>1105</v>
      </c>
      <c r="B1108" s="18">
        <f>A1108/'Orbit Info'!$G$10</f>
        <v>11.67909768</v>
      </c>
      <c r="C1108" s="13">
        <f t="shared" si="2"/>
        <v>0</v>
      </c>
      <c r="D1108" s="13">
        <f t="shared" si="3"/>
        <v>1</v>
      </c>
      <c r="E1108" s="13">
        <f t="shared" si="4"/>
        <v>0</v>
      </c>
      <c r="F1108" s="13">
        <f t="shared" si="5"/>
        <v>0</v>
      </c>
      <c r="G1108" s="13">
        <f t="shared" si="6"/>
        <v>1</v>
      </c>
      <c r="H1108" s="13">
        <f>'Orbit Info'!C1107*((C1108*$O$2)+(D1108*$O$3)+(E1108*$O$4)+(F1108*$O$5))</f>
        <v>0</v>
      </c>
      <c r="I1108" s="13">
        <f t="shared" si="7"/>
        <v>8.62426</v>
      </c>
      <c r="J1108" s="18">
        <f t="shared" si="8"/>
        <v>-0.1437376667</v>
      </c>
      <c r="K1108" s="18">
        <f t="shared" si="10"/>
        <v>87.337574</v>
      </c>
      <c r="L1108" s="4"/>
      <c r="M1108" s="4"/>
      <c r="N1108" s="4"/>
      <c r="O1108" s="4"/>
      <c r="P1108" s="4"/>
      <c r="Q1108" s="4"/>
      <c r="R1108" s="4"/>
      <c r="S1108" s="4"/>
      <c r="T1108" s="4"/>
      <c r="U1108" s="4"/>
      <c r="V1108" s="4"/>
      <c r="W1108" s="4"/>
    </row>
    <row r="1109" ht="15.75" customHeight="1">
      <c r="A1109" s="13">
        <f t="shared" si="9"/>
        <v>1106</v>
      </c>
      <c r="B1109" s="18">
        <f>A1109/'Orbit Info'!$G$10</f>
        <v>11.689667</v>
      </c>
      <c r="C1109" s="13">
        <f t="shared" si="2"/>
        <v>0</v>
      </c>
      <c r="D1109" s="13">
        <f t="shared" si="3"/>
        <v>1</v>
      </c>
      <c r="E1109" s="13">
        <f t="shared" si="4"/>
        <v>0</v>
      </c>
      <c r="F1109" s="13">
        <f t="shared" si="5"/>
        <v>0</v>
      </c>
      <c r="G1109" s="13">
        <f t="shared" si="6"/>
        <v>1</v>
      </c>
      <c r="H1109" s="13">
        <f>'Orbit Info'!C1108*((C1109*$O$2)+(D1109*$O$3)+(E1109*$O$4)+(F1109*$O$5))</f>
        <v>0</v>
      </c>
      <c r="I1109" s="13">
        <f t="shared" si="7"/>
        <v>8.62426</v>
      </c>
      <c r="J1109" s="18">
        <f t="shared" si="8"/>
        <v>-0.1437376667</v>
      </c>
      <c r="K1109" s="18">
        <f t="shared" si="10"/>
        <v>87.19383633</v>
      </c>
      <c r="L1109" s="4"/>
      <c r="M1109" s="4"/>
      <c r="N1109" s="4"/>
      <c r="O1109" s="4"/>
      <c r="P1109" s="4"/>
      <c r="Q1109" s="4"/>
      <c r="R1109" s="4"/>
      <c r="S1109" s="4"/>
      <c r="T1109" s="4"/>
      <c r="U1109" s="4"/>
      <c r="V1109" s="4"/>
      <c r="W1109" s="4"/>
    </row>
    <row r="1110" ht="15.75" customHeight="1">
      <c r="A1110" s="13">
        <f t="shared" si="9"/>
        <v>1107</v>
      </c>
      <c r="B1110" s="18">
        <f>A1110/'Orbit Info'!$G$10</f>
        <v>11.70023632</v>
      </c>
      <c r="C1110" s="13">
        <f t="shared" si="2"/>
        <v>0</v>
      </c>
      <c r="D1110" s="13">
        <f t="shared" si="3"/>
        <v>1</v>
      </c>
      <c r="E1110" s="13">
        <f t="shared" si="4"/>
        <v>0</v>
      </c>
      <c r="F1110" s="13">
        <f t="shared" si="5"/>
        <v>0</v>
      </c>
      <c r="G1110" s="13">
        <f t="shared" si="6"/>
        <v>1</v>
      </c>
      <c r="H1110" s="13">
        <f>'Orbit Info'!C1109*((C1110*$O$2)+(D1110*$O$3)+(E1110*$O$4)+(F1110*$O$5))</f>
        <v>0</v>
      </c>
      <c r="I1110" s="13">
        <f t="shared" si="7"/>
        <v>8.62426</v>
      </c>
      <c r="J1110" s="18">
        <f t="shared" si="8"/>
        <v>-0.1437376667</v>
      </c>
      <c r="K1110" s="18">
        <f t="shared" si="10"/>
        <v>87.05009867</v>
      </c>
      <c r="L1110" s="4"/>
      <c r="M1110" s="4"/>
      <c r="N1110" s="4"/>
      <c r="O1110" s="4"/>
      <c r="P1110" s="4"/>
      <c r="Q1110" s="4"/>
      <c r="R1110" s="4"/>
      <c r="S1110" s="4"/>
      <c r="T1110" s="4"/>
      <c r="U1110" s="4"/>
      <c r="V1110" s="4"/>
      <c r="W1110" s="4"/>
    </row>
    <row r="1111" ht="15.75" customHeight="1">
      <c r="A1111" s="13">
        <f t="shared" si="9"/>
        <v>1108</v>
      </c>
      <c r="B1111" s="18">
        <f>A1111/'Orbit Info'!$G$10</f>
        <v>11.71080564</v>
      </c>
      <c r="C1111" s="13">
        <f t="shared" si="2"/>
        <v>0</v>
      </c>
      <c r="D1111" s="13">
        <f t="shared" si="3"/>
        <v>1</v>
      </c>
      <c r="E1111" s="13">
        <f t="shared" si="4"/>
        <v>0</v>
      </c>
      <c r="F1111" s="13">
        <f t="shared" si="5"/>
        <v>0</v>
      </c>
      <c r="G1111" s="13">
        <f t="shared" si="6"/>
        <v>1</v>
      </c>
      <c r="H1111" s="13">
        <f>'Orbit Info'!C1110*((C1111*$O$2)+(D1111*$O$3)+(E1111*$O$4)+(F1111*$O$5))</f>
        <v>0</v>
      </c>
      <c r="I1111" s="13">
        <f t="shared" si="7"/>
        <v>8.62426</v>
      </c>
      <c r="J1111" s="18">
        <f t="shared" si="8"/>
        <v>-0.1437376667</v>
      </c>
      <c r="K1111" s="18">
        <f t="shared" si="10"/>
        <v>86.906361</v>
      </c>
      <c r="L1111" s="4"/>
      <c r="M1111" s="4"/>
      <c r="N1111" s="4"/>
      <c r="O1111" s="4"/>
      <c r="P1111" s="4"/>
      <c r="Q1111" s="4"/>
      <c r="R1111" s="4"/>
      <c r="S1111" s="4"/>
      <c r="T1111" s="4"/>
      <c r="U1111" s="4"/>
      <c r="V1111" s="4"/>
      <c r="W1111" s="4"/>
    </row>
    <row r="1112" ht="15.75" customHeight="1">
      <c r="A1112" s="13">
        <f t="shared" si="9"/>
        <v>1109</v>
      </c>
      <c r="B1112" s="18">
        <f>A1112/'Orbit Info'!$G$10</f>
        <v>11.72137495</v>
      </c>
      <c r="C1112" s="13">
        <f t="shared" si="2"/>
        <v>0</v>
      </c>
      <c r="D1112" s="13">
        <f t="shared" si="3"/>
        <v>1</v>
      </c>
      <c r="E1112" s="13">
        <f t="shared" si="4"/>
        <v>0</v>
      </c>
      <c r="F1112" s="13">
        <f t="shared" si="5"/>
        <v>0</v>
      </c>
      <c r="G1112" s="13">
        <f t="shared" si="6"/>
        <v>1</v>
      </c>
      <c r="H1112" s="13">
        <f>'Orbit Info'!C1111*((C1112*$O$2)+(D1112*$O$3)+(E1112*$O$4)+(F1112*$O$5))</f>
        <v>0</v>
      </c>
      <c r="I1112" s="13">
        <f t="shared" si="7"/>
        <v>8.62426</v>
      </c>
      <c r="J1112" s="18">
        <f t="shared" si="8"/>
        <v>-0.1437376667</v>
      </c>
      <c r="K1112" s="18">
        <f t="shared" si="10"/>
        <v>86.76262333</v>
      </c>
      <c r="L1112" s="4"/>
      <c r="M1112" s="4"/>
      <c r="N1112" s="4"/>
      <c r="O1112" s="4"/>
      <c r="P1112" s="4"/>
      <c r="Q1112" s="4"/>
      <c r="R1112" s="4"/>
      <c r="S1112" s="4"/>
      <c r="T1112" s="4"/>
      <c r="U1112" s="4"/>
      <c r="V1112" s="4"/>
      <c r="W1112" s="4"/>
    </row>
    <row r="1113" ht="15.75" customHeight="1">
      <c r="A1113" s="13">
        <f t="shared" si="9"/>
        <v>1110</v>
      </c>
      <c r="B1113" s="18">
        <f>A1113/'Orbit Info'!$G$10</f>
        <v>11.73194427</v>
      </c>
      <c r="C1113" s="13">
        <f t="shared" si="2"/>
        <v>0</v>
      </c>
      <c r="D1113" s="13">
        <f t="shared" si="3"/>
        <v>1</v>
      </c>
      <c r="E1113" s="13">
        <f t="shared" si="4"/>
        <v>0</v>
      </c>
      <c r="F1113" s="13">
        <f t="shared" si="5"/>
        <v>0</v>
      </c>
      <c r="G1113" s="13">
        <f t="shared" si="6"/>
        <v>1</v>
      </c>
      <c r="H1113" s="13">
        <f>'Orbit Info'!C1112*((C1113*$O$2)+(D1113*$O$3)+(E1113*$O$4)+(F1113*$O$5))</f>
        <v>0</v>
      </c>
      <c r="I1113" s="13">
        <f t="shared" si="7"/>
        <v>8.62426</v>
      </c>
      <c r="J1113" s="18">
        <f t="shared" si="8"/>
        <v>-0.1437376667</v>
      </c>
      <c r="K1113" s="18">
        <f t="shared" si="10"/>
        <v>86.61888567</v>
      </c>
      <c r="L1113" s="4"/>
      <c r="M1113" s="4"/>
      <c r="N1113" s="4"/>
      <c r="O1113" s="4"/>
      <c r="P1113" s="4"/>
      <c r="Q1113" s="4"/>
      <c r="R1113" s="4"/>
      <c r="S1113" s="4"/>
      <c r="T1113" s="4"/>
      <c r="U1113" s="4"/>
      <c r="V1113" s="4"/>
      <c r="W1113" s="4"/>
    </row>
    <row r="1114" ht="15.75" customHeight="1">
      <c r="A1114" s="13">
        <f t="shared" si="9"/>
        <v>1111</v>
      </c>
      <c r="B1114" s="18">
        <f>A1114/'Orbit Info'!$G$10</f>
        <v>11.74251359</v>
      </c>
      <c r="C1114" s="13">
        <f t="shared" si="2"/>
        <v>0</v>
      </c>
      <c r="D1114" s="13">
        <f t="shared" si="3"/>
        <v>1</v>
      </c>
      <c r="E1114" s="13">
        <f t="shared" si="4"/>
        <v>0</v>
      </c>
      <c r="F1114" s="13">
        <f t="shared" si="5"/>
        <v>0</v>
      </c>
      <c r="G1114" s="13">
        <f t="shared" si="6"/>
        <v>1</v>
      </c>
      <c r="H1114" s="13">
        <f>'Orbit Info'!C1113*((C1114*$O$2)+(D1114*$O$3)+(E1114*$O$4)+(F1114*$O$5))</f>
        <v>0</v>
      </c>
      <c r="I1114" s="13">
        <f t="shared" si="7"/>
        <v>8.62426</v>
      </c>
      <c r="J1114" s="18">
        <f t="shared" si="8"/>
        <v>-0.1437376667</v>
      </c>
      <c r="K1114" s="18">
        <f t="shared" si="10"/>
        <v>86.475148</v>
      </c>
      <c r="L1114" s="4"/>
      <c r="M1114" s="4"/>
      <c r="N1114" s="4"/>
      <c r="O1114" s="4"/>
      <c r="P1114" s="4"/>
      <c r="Q1114" s="4"/>
      <c r="R1114" s="4"/>
      <c r="S1114" s="4"/>
      <c r="T1114" s="4"/>
      <c r="U1114" s="4"/>
      <c r="V1114" s="4"/>
      <c r="W1114" s="4"/>
    </row>
    <row r="1115" ht="15.75" customHeight="1">
      <c r="A1115" s="13">
        <f t="shared" si="9"/>
        <v>1112</v>
      </c>
      <c r="B1115" s="18">
        <f>A1115/'Orbit Info'!$G$10</f>
        <v>11.75308291</v>
      </c>
      <c r="C1115" s="13">
        <f t="shared" si="2"/>
        <v>0</v>
      </c>
      <c r="D1115" s="13">
        <f t="shared" si="3"/>
        <v>1</v>
      </c>
      <c r="E1115" s="13">
        <f t="shared" si="4"/>
        <v>0</v>
      </c>
      <c r="F1115" s="13">
        <f t="shared" si="5"/>
        <v>0</v>
      </c>
      <c r="G1115" s="13">
        <f t="shared" si="6"/>
        <v>1</v>
      </c>
      <c r="H1115" s="13">
        <f>'Orbit Info'!C1114*((C1115*$O$2)+(D1115*$O$3)+(E1115*$O$4)+(F1115*$O$5))</f>
        <v>0</v>
      </c>
      <c r="I1115" s="13">
        <f t="shared" si="7"/>
        <v>8.62426</v>
      </c>
      <c r="J1115" s="18">
        <f t="shared" si="8"/>
        <v>-0.1437376667</v>
      </c>
      <c r="K1115" s="18">
        <f t="shared" si="10"/>
        <v>86.33141033</v>
      </c>
      <c r="L1115" s="4"/>
      <c r="M1115" s="4"/>
      <c r="N1115" s="4"/>
      <c r="O1115" s="4"/>
      <c r="P1115" s="4"/>
      <c r="Q1115" s="4"/>
      <c r="R1115" s="4"/>
      <c r="S1115" s="4"/>
      <c r="T1115" s="4"/>
      <c r="U1115" s="4"/>
      <c r="V1115" s="4"/>
      <c r="W1115" s="4"/>
    </row>
    <row r="1116" ht="15.75" customHeight="1">
      <c r="A1116" s="13">
        <f t="shared" si="9"/>
        <v>1113</v>
      </c>
      <c r="B1116" s="18">
        <f>A1116/'Orbit Info'!$G$10</f>
        <v>11.76365223</v>
      </c>
      <c r="C1116" s="13">
        <f t="shared" si="2"/>
        <v>0</v>
      </c>
      <c r="D1116" s="13">
        <f t="shared" si="3"/>
        <v>1</v>
      </c>
      <c r="E1116" s="13">
        <f t="shared" si="4"/>
        <v>0</v>
      </c>
      <c r="F1116" s="13">
        <f t="shared" si="5"/>
        <v>0</v>
      </c>
      <c r="G1116" s="13">
        <f t="shared" si="6"/>
        <v>1</v>
      </c>
      <c r="H1116" s="13">
        <f>'Orbit Info'!C1115*((C1116*$O$2)+(D1116*$O$3)+(E1116*$O$4)+(F1116*$O$5))</f>
        <v>0</v>
      </c>
      <c r="I1116" s="13">
        <f t="shared" si="7"/>
        <v>8.62426</v>
      </c>
      <c r="J1116" s="18">
        <f t="shared" si="8"/>
        <v>-0.1437376667</v>
      </c>
      <c r="K1116" s="18">
        <f t="shared" si="10"/>
        <v>86.18767267</v>
      </c>
      <c r="L1116" s="4"/>
      <c r="M1116" s="4"/>
      <c r="N1116" s="4"/>
      <c r="O1116" s="4"/>
      <c r="P1116" s="4"/>
      <c r="Q1116" s="4"/>
      <c r="R1116" s="4"/>
      <c r="S1116" s="4"/>
      <c r="T1116" s="4"/>
      <c r="U1116" s="4"/>
      <c r="V1116" s="4"/>
      <c r="W1116" s="4"/>
    </row>
    <row r="1117" ht="15.75" customHeight="1">
      <c r="A1117" s="13">
        <f t="shared" si="9"/>
        <v>1114</v>
      </c>
      <c r="B1117" s="18">
        <f>A1117/'Orbit Info'!$G$10</f>
        <v>11.77422155</v>
      </c>
      <c r="C1117" s="13">
        <f t="shared" si="2"/>
        <v>0</v>
      </c>
      <c r="D1117" s="13">
        <f t="shared" si="3"/>
        <v>1</v>
      </c>
      <c r="E1117" s="13">
        <f t="shared" si="4"/>
        <v>0</v>
      </c>
      <c r="F1117" s="13">
        <f t="shared" si="5"/>
        <v>0</v>
      </c>
      <c r="G1117" s="13">
        <f t="shared" si="6"/>
        <v>1</v>
      </c>
      <c r="H1117" s="13">
        <f>'Orbit Info'!C1116*((C1117*$O$2)+(D1117*$O$3)+(E1117*$O$4)+(F1117*$O$5))</f>
        <v>0</v>
      </c>
      <c r="I1117" s="13">
        <f t="shared" si="7"/>
        <v>8.62426</v>
      </c>
      <c r="J1117" s="18">
        <f t="shared" si="8"/>
        <v>-0.1437376667</v>
      </c>
      <c r="K1117" s="18">
        <f t="shared" si="10"/>
        <v>86.043935</v>
      </c>
      <c r="L1117" s="4"/>
      <c r="M1117" s="4"/>
      <c r="N1117" s="4"/>
      <c r="O1117" s="4"/>
      <c r="P1117" s="4"/>
      <c r="Q1117" s="4"/>
      <c r="R1117" s="4"/>
      <c r="S1117" s="4"/>
      <c r="T1117" s="4"/>
      <c r="U1117" s="4"/>
      <c r="V1117" s="4"/>
      <c r="W1117" s="4"/>
    </row>
    <row r="1118" ht="15.75" customHeight="1">
      <c r="A1118" s="13">
        <f t="shared" si="9"/>
        <v>1115</v>
      </c>
      <c r="B1118" s="18">
        <f>A1118/'Orbit Info'!$G$10</f>
        <v>11.78479087</v>
      </c>
      <c r="C1118" s="13">
        <f t="shared" si="2"/>
        <v>0</v>
      </c>
      <c r="D1118" s="13">
        <f t="shared" si="3"/>
        <v>1</v>
      </c>
      <c r="E1118" s="13">
        <f t="shared" si="4"/>
        <v>0</v>
      </c>
      <c r="F1118" s="13">
        <f t="shared" si="5"/>
        <v>0</v>
      </c>
      <c r="G1118" s="13">
        <f t="shared" si="6"/>
        <v>1</v>
      </c>
      <c r="H1118" s="13">
        <f>'Orbit Info'!C1117*((C1118*$O$2)+(D1118*$O$3)+(E1118*$O$4)+(F1118*$O$5))</f>
        <v>0</v>
      </c>
      <c r="I1118" s="13">
        <f t="shared" si="7"/>
        <v>8.62426</v>
      </c>
      <c r="J1118" s="18">
        <f t="shared" si="8"/>
        <v>-0.1437376667</v>
      </c>
      <c r="K1118" s="18">
        <f t="shared" si="10"/>
        <v>85.90019733</v>
      </c>
      <c r="L1118" s="4"/>
      <c r="M1118" s="4"/>
      <c r="N1118" s="4"/>
      <c r="O1118" s="4"/>
      <c r="P1118" s="4"/>
      <c r="Q1118" s="4"/>
      <c r="R1118" s="4"/>
      <c r="S1118" s="4"/>
      <c r="T1118" s="4"/>
      <c r="U1118" s="4"/>
      <c r="V1118" s="4"/>
      <c r="W1118" s="4"/>
    </row>
    <row r="1119" ht="15.75" customHeight="1">
      <c r="A1119" s="13">
        <f t="shared" si="9"/>
        <v>1116</v>
      </c>
      <c r="B1119" s="18">
        <f>A1119/'Orbit Info'!$G$10</f>
        <v>11.79536019</v>
      </c>
      <c r="C1119" s="13">
        <f t="shared" si="2"/>
        <v>0</v>
      </c>
      <c r="D1119" s="13">
        <f t="shared" si="3"/>
        <v>1</v>
      </c>
      <c r="E1119" s="13">
        <f t="shared" si="4"/>
        <v>0</v>
      </c>
      <c r="F1119" s="13">
        <f t="shared" si="5"/>
        <v>0</v>
      </c>
      <c r="G1119" s="13">
        <f t="shared" si="6"/>
        <v>1</v>
      </c>
      <c r="H1119" s="13">
        <f>'Orbit Info'!C1118*((C1119*$O$2)+(D1119*$O$3)+(E1119*$O$4)+(F1119*$O$5))</f>
        <v>0</v>
      </c>
      <c r="I1119" s="13">
        <f t="shared" si="7"/>
        <v>8.62426</v>
      </c>
      <c r="J1119" s="18">
        <f t="shared" si="8"/>
        <v>-0.1437376667</v>
      </c>
      <c r="K1119" s="18">
        <f t="shared" si="10"/>
        <v>85.75645967</v>
      </c>
      <c r="L1119" s="4"/>
      <c r="M1119" s="4"/>
      <c r="N1119" s="4"/>
      <c r="O1119" s="4"/>
      <c r="P1119" s="4"/>
      <c r="Q1119" s="4"/>
      <c r="R1119" s="4"/>
      <c r="S1119" s="4"/>
      <c r="T1119" s="4"/>
      <c r="U1119" s="4"/>
      <c r="V1119" s="4"/>
      <c r="W1119" s="4"/>
    </row>
    <row r="1120" ht="15.75" customHeight="1">
      <c r="A1120" s="13">
        <f t="shared" si="9"/>
        <v>1117</v>
      </c>
      <c r="B1120" s="18">
        <f>A1120/'Orbit Info'!$G$10</f>
        <v>11.80592951</v>
      </c>
      <c r="C1120" s="13">
        <f t="shared" si="2"/>
        <v>0</v>
      </c>
      <c r="D1120" s="13">
        <f t="shared" si="3"/>
        <v>1</v>
      </c>
      <c r="E1120" s="13">
        <f t="shared" si="4"/>
        <v>0</v>
      </c>
      <c r="F1120" s="13">
        <f t="shared" si="5"/>
        <v>0</v>
      </c>
      <c r="G1120" s="13">
        <f t="shared" si="6"/>
        <v>1</v>
      </c>
      <c r="H1120" s="13">
        <f>'Orbit Info'!C1119*((C1120*$O$2)+(D1120*$O$3)+(E1120*$O$4)+(F1120*$O$5))</f>
        <v>0</v>
      </c>
      <c r="I1120" s="13">
        <f t="shared" si="7"/>
        <v>8.62426</v>
      </c>
      <c r="J1120" s="18">
        <f t="shared" si="8"/>
        <v>-0.1437376667</v>
      </c>
      <c r="K1120" s="18">
        <f t="shared" si="10"/>
        <v>85.612722</v>
      </c>
      <c r="L1120" s="4"/>
      <c r="M1120" s="4"/>
      <c r="N1120" s="4"/>
      <c r="O1120" s="4"/>
      <c r="P1120" s="4"/>
      <c r="Q1120" s="4"/>
      <c r="R1120" s="4"/>
      <c r="S1120" s="4"/>
      <c r="T1120" s="4"/>
      <c r="U1120" s="4"/>
      <c r="V1120" s="4"/>
      <c r="W1120" s="4"/>
    </row>
    <row r="1121" ht="15.75" customHeight="1">
      <c r="A1121" s="13">
        <f t="shared" si="9"/>
        <v>1118</v>
      </c>
      <c r="B1121" s="18">
        <f>A1121/'Orbit Info'!$G$10</f>
        <v>11.81649883</v>
      </c>
      <c r="C1121" s="13">
        <f t="shared" si="2"/>
        <v>0</v>
      </c>
      <c r="D1121" s="13">
        <f t="shared" si="3"/>
        <v>1</v>
      </c>
      <c r="E1121" s="13">
        <f t="shared" si="4"/>
        <v>0</v>
      </c>
      <c r="F1121" s="13">
        <f t="shared" si="5"/>
        <v>0</v>
      </c>
      <c r="G1121" s="13">
        <f t="shared" si="6"/>
        <v>1</v>
      </c>
      <c r="H1121" s="13">
        <f>'Orbit Info'!C1120*((C1121*$O$2)+(D1121*$O$3)+(E1121*$O$4)+(F1121*$O$5))</f>
        <v>0</v>
      </c>
      <c r="I1121" s="13">
        <f t="shared" si="7"/>
        <v>8.62426</v>
      </c>
      <c r="J1121" s="18">
        <f t="shared" si="8"/>
        <v>-0.1437376667</v>
      </c>
      <c r="K1121" s="18">
        <f t="shared" si="10"/>
        <v>85.46898433</v>
      </c>
      <c r="L1121" s="4"/>
      <c r="M1121" s="4"/>
      <c r="N1121" s="4"/>
      <c r="O1121" s="4"/>
      <c r="P1121" s="4"/>
      <c r="Q1121" s="4"/>
      <c r="R1121" s="4"/>
      <c r="S1121" s="4"/>
      <c r="T1121" s="4"/>
      <c r="U1121" s="4"/>
      <c r="V1121" s="4"/>
      <c r="W1121" s="4"/>
    </row>
    <row r="1122" ht="15.75" customHeight="1">
      <c r="A1122" s="13">
        <f t="shared" si="9"/>
        <v>1119</v>
      </c>
      <c r="B1122" s="18">
        <f>A1122/'Orbit Info'!$G$10</f>
        <v>11.82706815</v>
      </c>
      <c r="C1122" s="13">
        <f t="shared" si="2"/>
        <v>0</v>
      </c>
      <c r="D1122" s="13">
        <f t="shared" si="3"/>
        <v>1</v>
      </c>
      <c r="E1122" s="13">
        <f t="shared" si="4"/>
        <v>0</v>
      </c>
      <c r="F1122" s="13">
        <f t="shared" si="5"/>
        <v>0</v>
      </c>
      <c r="G1122" s="13">
        <f t="shared" si="6"/>
        <v>1</v>
      </c>
      <c r="H1122" s="13">
        <f>'Orbit Info'!C1121*((C1122*$O$2)+(D1122*$O$3)+(E1122*$O$4)+(F1122*$O$5))</f>
        <v>0</v>
      </c>
      <c r="I1122" s="13">
        <f t="shared" si="7"/>
        <v>8.62426</v>
      </c>
      <c r="J1122" s="18">
        <f t="shared" si="8"/>
        <v>-0.1437376667</v>
      </c>
      <c r="K1122" s="18">
        <f t="shared" si="10"/>
        <v>85.32524667</v>
      </c>
      <c r="L1122" s="4"/>
      <c r="M1122" s="4"/>
      <c r="N1122" s="4"/>
      <c r="O1122" s="4"/>
      <c r="P1122" s="4"/>
      <c r="Q1122" s="4"/>
      <c r="R1122" s="4"/>
      <c r="S1122" s="4"/>
      <c r="T1122" s="4"/>
      <c r="U1122" s="4"/>
      <c r="V1122" s="4"/>
      <c r="W1122" s="4"/>
    </row>
    <row r="1123" ht="15.75" customHeight="1">
      <c r="A1123" s="13">
        <f t="shared" si="9"/>
        <v>1120</v>
      </c>
      <c r="B1123" s="18">
        <f>A1123/'Orbit Info'!$G$10</f>
        <v>11.83763747</v>
      </c>
      <c r="C1123" s="13">
        <f t="shared" si="2"/>
        <v>0</v>
      </c>
      <c r="D1123" s="13">
        <f t="shared" si="3"/>
        <v>1</v>
      </c>
      <c r="E1123" s="13">
        <f t="shared" si="4"/>
        <v>0</v>
      </c>
      <c r="F1123" s="13">
        <f t="shared" si="5"/>
        <v>0</v>
      </c>
      <c r="G1123" s="13">
        <f t="shared" si="6"/>
        <v>1</v>
      </c>
      <c r="H1123" s="13">
        <f>'Orbit Info'!C1122*((C1123*$O$2)+(D1123*$O$3)+(E1123*$O$4)+(F1123*$O$5))</f>
        <v>0</v>
      </c>
      <c r="I1123" s="13">
        <f t="shared" si="7"/>
        <v>8.62426</v>
      </c>
      <c r="J1123" s="18">
        <f t="shared" si="8"/>
        <v>-0.1437376667</v>
      </c>
      <c r="K1123" s="18">
        <f t="shared" si="10"/>
        <v>85.181509</v>
      </c>
      <c r="L1123" s="4"/>
      <c r="M1123" s="4"/>
      <c r="N1123" s="4"/>
      <c r="O1123" s="4"/>
      <c r="P1123" s="4"/>
      <c r="Q1123" s="4"/>
      <c r="R1123" s="4"/>
      <c r="S1123" s="4"/>
      <c r="T1123" s="4"/>
      <c r="U1123" s="4"/>
      <c r="V1123" s="4"/>
      <c r="W1123" s="4"/>
    </row>
    <row r="1124" ht="15.75" customHeight="1">
      <c r="A1124" s="13">
        <f t="shared" si="9"/>
        <v>1121</v>
      </c>
      <c r="B1124" s="18">
        <f>A1124/'Orbit Info'!$G$10</f>
        <v>11.84820678</v>
      </c>
      <c r="C1124" s="13">
        <f t="shared" si="2"/>
        <v>0</v>
      </c>
      <c r="D1124" s="13">
        <f t="shared" si="3"/>
        <v>1</v>
      </c>
      <c r="E1124" s="13">
        <f t="shared" si="4"/>
        <v>0</v>
      </c>
      <c r="F1124" s="13">
        <f t="shared" si="5"/>
        <v>0</v>
      </c>
      <c r="G1124" s="13">
        <f t="shared" si="6"/>
        <v>1</v>
      </c>
      <c r="H1124" s="13">
        <f>'Orbit Info'!C1123*((C1124*$O$2)+(D1124*$O$3)+(E1124*$O$4)+(F1124*$O$5))</f>
        <v>0</v>
      </c>
      <c r="I1124" s="13">
        <f t="shared" si="7"/>
        <v>8.62426</v>
      </c>
      <c r="J1124" s="18">
        <f t="shared" si="8"/>
        <v>-0.1437376667</v>
      </c>
      <c r="K1124" s="18">
        <f t="shared" si="10"/>
        <v>85.03777133</v>
      </c>
      <c r="L1124" s="4"/>
      <c r="M1124" s="4"/>
      <c r="N1124" s="4"/>
      <c r="O1124" s="4"/>
      <c r="P1124" s="4"/>
      <c r="Q1124" s="4"/>
      <c r="R1124" s="4"/>
      <c r="S1124" s="4"/>
      <c r="T1124" s="4"/>
      <c r="U1124" s="4"/>
      <c r="V1124" s="4"/>
      <c r="W1124" s="4"/>
    </row>
    <row r="1125" ht="15.75" customHeight="1">
      <c r="A1125" s="13">
        <f t="shared" si="9"/>
        <v>1122</v>
      </c>
      <c r="B1125" s="18">
        <f>A1125/'Orbit Info'!$G$10</f>
        <v>11.8587761</v>
      </c>
      <c r="C1125" s="13">
        <f t="shared" si="2"/>
        <v>0</v>
      </c>
      <c r="D1125" s="13">
        <f t="shared" si="3"/>
        <v>1</v>
      </c>
      <c r="E1125" s="13">
        <f t="shared" si="4"/>
        <v>0</v>
      </c>
      <c r="F1125" s="13">
        <f t="shared" si="5"/>
        <v>0</v>
      </c>
      <c r="G1125" s="13">
        <f t="shared" si="6"/>
        <v>1</v>
      </c>
      <c r="H1125" s="13">
        <f>'Orbit Info'!C1124*((C1125*$O$2)+(D1125*$O$3)+(E1125*$O$4)+(F1125*$O$5))</f>
        <v>0</v>
      </c>
      <c r="I1125" s="13">
        <f t="shared" si="7"/>
        <v>8.62426</v>
      </c>
      <c r="J1125" s="18">
        <f t="shared" si="8"/>
        <v>-0.1437376667</v>
      </c>
      <c r="K1125" s="18">
        <f t="shared" si="10"/>
        <v>84.89403367</v>
      </c>
      <c r="L1125" s="4"/>
      <c r="M1125" s="4"/>
      <c r="N1125" s="4"/>
      <c r="O1125" s="4"/>
      <c r="P1125" s="4"/>
      <c r="Q1125" s="4"/>
      <c r="R1125" s="4"/>
      <c r="S1125" s="4"/>
      <c r="T1125" s="4"/>
      <c r="U1125" s="4"/>
      <c r="V1125" s="4"/>
      <c r="W1125" s="4"/>
    </row>
    <row r="1126" ht="15.75" customHeight="1">
      <c r="A1126" s="13">
        <f t="shared" si="9"/>
        <v>1123</v>
      </c>
      <c r="B1126" s="18">
        <f>A1126/'Orbit Info'!$G$10</f>
        <v>11.86934542</v>
      </c>
      <c r="C1126" s="13">
        <f t="shared" si="2"/>
        <v>0</v>
      </c>
      <c r="D1126" s="13">
        <f t="shared" si="3"/>
        <v>1</v>
      </c>
      <c r="E1126" s="13">
        <f t="shared" si="4"/>
        <v>0</v>
      </c>
      <c r="F1126" s="13">
        <f t="shared" si="5"/>
        <v>0</v>
      </c>
      <c r="G1126" s="13">
        <f t="shared" si="6"/>
        <v>1</v>
      </c>
      <c r="H1126" s="13">
        <f>'Orbit Info'!C1125*((C1126*$O$2)+(D1126*$O$3)+(E1126*$O$4)+(F1126*$O$5))</f>
        <v>0</v>
      </c>
      <c r="I1126" s="13">
        <f t="shared" si="7"/>
        <v>8.62426</v>
      </c>
      <c r="J1126" s="18">
        <f t="shared" si="8"/>
        <v>-0.1437376667</v>
      </c>
      <c r="K1126" s="18">
        <f t="shared" si="10"/>
        <v>84.750296</v>
      </c>
      <c r="L1126" s="4"/>
      <c r="M1126" s="4"/>
      <c r="N1126" s="4"/>
      <c r="O1126" s="4"/>
      <c r="P1126" s="4"/>
      <c r="Q1126" s="4"/>
      <c r="R1126" s="4"/>
      <c r="S1126" s="4"/>
      <c r="T1126" s="4"/>
      <c r="U1126" s="4"/>
      <c r="V1126" s="4"/>
      <c r="W1126" s="4"/>
    </row>
    <row r="1127" ht="15.75" customHeight="1">
      <c r="A1127" s="13">
        <f t="shared" si="9"/>
        <v>1124</v>
      </c>
      <c r="B1127" s="18">
        <f>A1127/'Orbit Info'!$G$10</f>
        <v>11.87991474</v>
      </c>
      <c r="C1127" s="13">
        <f t="shared" si="2"/>
        <v>0</v>
      </c>
      <c r="D1127" s="13">
        <f t="shared" si="3"/>
        <v>1</v>
      </c>
      <c r="E1127" s="13">
        <f t="shared" si="4"/>
        <v>0</v>
      </c>
      <c r="F1127" s="13">
        <f t="shared" si="5"/>
        <v>0</v>
      </c>
      <c r="G1127" s="13">
        <f t="shared" si="6"/>
        <v>1</v>
      </c>
      <c r="H1127" s="13">
        <f>'Orbit Info'!C1126*((C1127*$O$2)+(D1127*$O$3)+(E1127*$O$4)+(F1127*$O$5))</f>
        <v>0</v>
      </c>
      <c r="I1127" s="13">
        <f t="shared" si="7"/>
        <v>8.62426</v>
      </c>
      <c r="J1127" s="18">
        <f t="shared" si="8"/>
        <v>-0.1437376667</v>
      </c>
      <c r="K1127" s="18">
        <f t="shared" si="10"/>
        <v>84.60655833</v>
      </c>
      <c r="L1127" s="4"/>
      <c r="M1127" s="4"/>
      <c r="N1127" s="4"/>
      <c r="O1127" s="4"/>
      <c r="P1127" s="4"/>
      <c r="Q1127" s="4"/>
      <c r="R1127" s="4"/>
      <c r="S1127" s="4"/>
      <c r="T1127" s="4"/>
      <c r="U1127" s="4"/>
      <c r="V1127" s="4"/>
      <c r="W1127" s="4"/>
    </row>
    <row r="1128" ht="15.75" customHeight="1">
      <c r="A1128" s="13">
        <f t="shared" si="9"/>
        <v>1125</v>
      </c>
      <c r="B1128" s="18">
        <f>A1128/'Orbit Info'!$G$10</f>
        <v>11.89048406</v>
      </c>
      <c r="C1128" s="13">
        <f t="shared" si="2"/>
        <v>0</v>
      </c>
      <c r="D1128" s="13">
        <f t="shared" si="3"/>
        <v>1</v>
      </c>
      <c r="E1128" s="13">
        <f t="shared" si="4"/>
        <v>0</v>
      </c>
      <c r="F1128" s="13">
        <f t="shared" si="5"/>
        <v>0</v>
      </c>
      <c r="G1128" s="13">
        <f t="shared" si="6"/>
        <v>1</v>
      </c>
      <c r="H1128" s="13">
        <f>'Orbit Info'!C1127*((C1128*$O$2)+(D1128*$O$3)+(E1128*$O$4)+(F1128*$O$5))</f>
        <v>0</v>
      </c>
      <c r="I1128" s="13">
        <f t="shared" si="7"/>
        <v>8.62426</v>
      </c>
      <c r="J1128" s="18">
        <f t="shared" si="8"/>
        <v>-0.1437376667</v>
      </c>
      <c r="K1128" s="18">
        <f t="shared" si="10"/>
        <v>84.46282067</v>
      </c>
      <c r="L1128" s="4"/>
      <c r="M1128" s="4"/>
      <c r="N1128" s="4"/>
      <c r="O1128" s="4"/>
      <c r="P1128" s="4"/>
      <c r="Q1128" s="4"/>
      <c r="R1128" s="4"/>
      <c r="S1128" s="4"/>
      <c r="T1128" s="4"/>
      <c r="U1128" s="4"/>
      <c r="V1128" s="4"/>
      <c r="W1128" s="4"/>
    </row>
    <row r="1129" ht="15.75" customHeight="1">
      <c r="A1129" s="13">
        <f t="shared" si="9"/>
        <v>1126</v>
      </c>
      <c r="B1129" s="18">
        <f>A1129/'Orbit Info'!$G$10</f>
        <v>11.90105338</v>
      </c>
      <c r="C1129" s="13">
        <f t="shared" si="2"/>
        <v>0</v>
      </c>
      <c r="D1129" s="13">
        <f t="shared" si="3"/>
        <v>1</v>
      </c>
      <c r="E1129" s="13">
        <f t="shared" si="4"/>
        <v>0</v>
      </c>
      <c r="F1129" s="13">
        <f t="shared" si="5"/>
        <v>0</v>
      </c>
      <c r="G1129" s="13">
        <f t="shared" si="6"/>
        <v>1</v>
      </c>
      <c r="H1129" s="13">
        <f>'Orbit Info'!C1128*((C1129*$O$2)+(D1129*$O$3)+(E1129*$O$4)+(F1129*$O$5))</f>
        <v>0</v>
      </c>
      <c r="I1129" s="13">
        <f t="shared" si="7"/>
        <v>8.62426</v>
      </c>
      <c r="J1129" s="18">
        <f t="shared" si="8"/>
        <v>-0.1437376667</v>
      </c>
      <c r="K1129" s="18">
        <f t="shared" si="10"/>
        <v>84.319083</v>
      </c>
      <c r="L1129" s="4"/>
      <c r="M1129" s="4"/>
      <c r="N1129" s="4"/>
      <c r="O1129" s="4"/>
      <c r="P1129" s="4"/>
      <c r="Q1129" s="4"/>
      <c r="R1129" s="4"/>
      <c r="S1129" s="4"/>
      <c r="T1129" s="4"/>
      <c r="U1129" s="4"/>
      <c r="V1129" s="4"/>
      <c r="W1129" s="4"/>
    </row>
    <row r="1130" ht="15.75" customHeight="1">
      <c r="A1130" s="13">
        <f t="shared" si="9"/>
        <v>1127</v>
      </c>
      <c r="B1130" s="18">
        <f>A1130/'Orbit Info'!$G$10</f>
        <v>11.9116227</v>
      </c>
      <c r="C1130" s="13">
        <f t="shared" si="2"/>
        <v>0</v>
      </c>
      <c r="D1130" s="13">
        <f t="shared" si="3"/>
        <v>1</v>
      </c>
      <c r="E1130" s="13">
        <f t="shared" si="4"/>
        <v>0</v>
      </c>
      <c r="F1130" s="13">
        <f t="shared" si="5"/>
        <v>0</v>
      </c>
      <c r="G1130" s="13">
        <f t="shared" si="6"/>
        <v>1</v>
      </c>
      <c r="H1130" s="13">
        <f>'Orbit Info'!C1129*((C1130*$O$2)+(D1130*$O$3)+(E1130*$O$4)+(F1130*$O$5))</f>
        <v>0</v>
      </c>
      <c r="I1130" s="13">
        <f t="shared" si="7"/>
        <v>8.62426</v>
      </c>
      <c r="J1130" s="18">
        <f t="shared" si="8"/>
        <v>-0.1437376667</v>
      </c>
      <c r="K1130" s="18">
        <f t="shared" si="10"/>
        <v>84.17534533</v>
      </c>
      <c r="L1130" s="4"/>
      <c r="M1130" s="4"/>
      <c r="N1130" s="4"/>
      <c r="O1130" s="4"/>
      <c r="P1130" s="4"/>
      <c r="Q1130" s="4"/>
      <c r="R1130" s="4"/>
      <c r="S1130" s="4"/>
      <c r="T1130" s="4"/>
      <c r="U1130" s="4"/>
      <c r="V1130" s="4"/>
      <c r="W1130" s="4"/>
    </row>
    <row r="1131" ht="15.75" customHeight="1">
      <c r="A1131" s="13">
        <f t="shared" si="9"/>
        <v>1128</v>
      </c>
      <c r="B1131" s="18">
        <f>A1131/'Orbit Info'!$G$10</f>
        <v>11.92219202</v>
      </c>
      <c r="C1131" s="13">
        <f t="shared" si="2"/>
        <v>0</v>
      </c>
      <c r="D1131" s="13">
        <f t="shared" si="3"/>
        <v>1</v>
      </c>
      <c r="E1131" s="13">
        <f t="shared" si="4"/>
        <v>0</v>
      </c>
      <c r="F1131" s="13">
        <f t="shared" si="5"/>
        <v>0</v>
      </c>
      <c r="G1131" s="13">
        <f t="shared" si="6"/>
        <v>1</v>
      </c>
      <c r="H1131" s="13">
        <f>'Orbit Info'!C1130*((C1131*$O$2)+(D1131*$O$3)+(E1131*$O$4)+(F1131*$O$5))</f>
        <v>0</v>
      </c>
      <c r="I1131" s="13">
        <f t="shared" si="7"/>
        <v>8.62426</v>
      </c>
      <c r="J1131" s="18">
        <f t="shared" si="8"/>
        <v>-0.1437376667</v>
      </c>
      <c r="K1131" s="18">
        <f t="shared" si="10"/>
        <v>84.03160767</v>
      </c>
      <c r="L1131" s="4"/>
      <c r="M1131" s="4"/>
      <c r="N1131" s="4"/>
      <c r="O1131" s="4"/>
      <c r="P1131" s="4"/>
      <c r="Q1131" s="4"/>
      <c r="R1131" s="4"/>
      <c r="S1131" s="4"/>
      <c r="T1131" s="4"/>
      <c r="U1131" s="4"/>
      <c r="V1131" s="4"/>
      <c r="W1131" s="4"/>
    </row>
    <row r="1132" ht="15.75" customHeight="1">
      <c r="A1132" s="13">
        <f t="shared" si="9"/>
        <v>1129</v>
      </c>
      <c r="B1132" s="18">
        <f>A1132/'Orbit Info'!$G$10</f>
        <v>11.93276134</v>
      </c>
      <c r="C1132" s="13">
        <f t="shared" si="2"/>
        <v>0</v>
      </c>
      <c r="D1132" s="13">
        <f t="shared" si="3"/>
        <v>1</v>
      </c>
      <c r="E1132" s="13">
        <f t="shared" si="4"/>
        <v>0</v>
      </c>
      <c r="F1132" s="13">
        <f t="shared" si="5"/>
        <v>0</v>
      </c>
      <c r="G1132" s="13">
        <f t="shared" si="6"/>
        <v>1</v>
      </c>
      <c r="H1132" s="13">
        <f>'Orbit Info'!C1131*((C1132*$O$2)+(D1132*$O$3)+(E1132*$O$4)+(F1132*$O$5))</f>
        <v>0</v>
      </c>
      <c r="I1132" s="13">
        <f t="shared" si="7"/>
        <v>8.62426</v>
      </c>
      <c r="J1132" s="18">
        <f t="shared" si="8"/>
        <v>-0.1437376667</v>
      </c>
      <c r="K1132" s="18">
        <f t="shared" si="10"/>
        <v>83.88787</v>
      </c>
      <c r="L1132" s="4"/>
      <c r="M1132" s="4"/>
      <c r="N1132" s="4"/>
      <c r="O1132" s="4"/>
      <c r="P1132" s="4"/>
      <c r="Q1132" s="4"/>
      <c r="R1132" s="4"/>
      <c r="S1132" s="4"/>
      <c r="T1132" s="4"/>
      <c r="U1132" s="4"/>
      <c r="V1132" s="4"/>
      <c r="W1132" s="4"/>
    </row>
    <row r="1133" ht="15.75" customHeight="1">
      <c r="A1133" s="13">
        <f t="shared" si="9"/>
        <v>1130</v>
      </c>
      <c r="B1133" s="18">
        <f>A1133/'Orbit Info'!$G$10</f>
        <v>11.94333066</v>
      </c>
      <c r="C1133" s="13">
        <f t="shared" si="2"/>
        <v>0</v>
      </c>
      <c r="D1133" s="13">
        <f t="shared" si="3"/>
        <v>1</v>
      </c>
      <c r="E1133" s="13">
        <f t="shared" si="4"/>
        <v>0</v>
      </c>
      <c r="F1133" s="13">
        <f t="shared" si="5"/>
        <v>0</v>
      </c>
      <c r="G1133" s="13">
        <f t="shared" si="6"/>
        <v>1</v>
      </c>
      <c r="H1133" s="13">
        <f>'Orbit Info'!C1132*((C1133*$O$2)+(D1133*$O$3)+(E1133*$O$4)+(F1133*$O$5))</f>
        <v>0</v>
      </c>
      <c r="I1133" s="13">
        <f t="shared" si="7"/>
        <v>8.62426</v>
      </c>
      <c r="J1133" s="18">
        <f t="shared" si="8"/>
        <v>-0.1437376667</v>
      </c>
      <c r="K1133" s="18">
        <f t="shared" si="10"/>
        <v>83.74413233</v>
      </c>
      <c r="L1133" s="4"/>
      <c r="M1133" s="4"/>
      <c r="N1133" s="4"/>
      <c r="O1133" s="4"/>
      <c r="P1133" s="4"/>
      <c r="Q1133" s="4"/>
      <c r="R1133" s="4"/>
      <c r="S1133" s="4"/>
      <c r="T1133" s="4"/>
      <c r="U1133" s="4"/>
      <c r="V1133" s="4"/>
      <c r="W1133" s="4"/>
    </row>
    <row r="1134" ht="15.75" customHeight="1">
      <c r="A1134" s="13">
        <f t="shared" si="9"/>
        <v>1131</v>
      </c>
      <c r="B1134" s="18">
        <f>A1134/'Orbit Info'!$G$10</f>
        <v>11.95389998</v>
      </c>
      <c r="C1134" s="13">
        <f t="shared" si="2"/>
        <v>0</v>
      </c>
      <c r="D1134" s="13">
        <f t="shared" si="3"/>
        <v>1</v>
      </c>
      <c r="E1134" s="13">
        <f t="shared" si="4"/>
        <v>0</v>
      </c>
      <c r="F1134" s="13">
        <f t="shared" si="5"/>
        <v>0</v>
      </c>
      <c r="G1134" s="13">
        <f t="shared" si="6"/>
        <v>1</v>
      </c>
      <c r="H1134" s="13">
        <f>'Orbit Info'!C1133*((C1134*$O$2)+(D1134*$O$3)+(E1134*$O$4)+(F1134*$O$5))</f>
        <v>0</v>
      </c>
      <c r="I1134" s="13">
        <f t="shared" si="7"/>
        <v>8.62426</v>
      </c>
      <c r="J1134" s="18">
        <f t="shared" si="8"/>
        <v>-0.1437376667</v>
      </c>
      <c r="K1134" s="18">
        <f t="shared" si="10"/>
        <v>83.60039467</v>
      </c>
      <c r="L1134" s="4"/>
      <c r="M1134" s="4"/>
      <c r="N1134" s="4"/>
      <c r="O1134" s="4"/>
      <c r="P1134" s="4"/>
      <c r="Q1134" s="4"/>
      <c r="R1134" s="4"/>
      <c r="S1134" s="4"/>
      <c r="T1134" s="4"/>
      <c r="U1134" s="4"/>
      <c r="V1134" s="4"/>
      <c r="W1134" s="4"/>
    </row>
    <row r="1135" ht="15.75" customHeight="1">
      <c r="A1135" s="13">
        <f t="shared" si="9"/>
        <v>1132</v>
      </c>
      <c r="B1135" s="18">
        <f>A1135/'Orbit Info'!$G$10</f>
        <v>11.9644693</v>
      </c>
      <c r="C1135" s="13">
        <f t="shared" si="2"/>
        <v>0</v>
      </c>
      <c r="D1135" s="13">
        <f t="shared" si="3"/>
        <v>1</v>
      </c>
      <c r="E1135" s="13">
        <f t="shared" si="4"/>
        <v>0</v>
      </c>
      <c r="F1135" s="13">
        <f t="shared" si="5"/>
        <v>0</v>
      </c>
      <c r="G1135" s="13">
        <f t="shared" si="6"/>
        <v>1</v>
      </c>
      <c r="H1135" s="13">
        <f>'Orbit Info'!C1134*((C1135*$O$2)+(D1135*$O$3)+(E1135*$O$4)+(F1135*$O$5))</f>
        <v>0</v>
      </c>
      <c r="I1135" s="13">
        <f t="shared" si="7"/>
        <v>8.62426</v>
      </c>
      <c r="J1135" s="18">
        <f t="shared" si="8"/>
        <v>-0.1437376667</v>
      </c>
      <c r="K1135" s="18">
        <f t="shared" si="10"/>
        <v>83.456657</v>
      </c>
      <c r="L1135" s="4"/>
      <c r="M1135" s="4"/>
      <c r="N1135" s="4"/>
      <c r="O1135" s="4"/>
      <c r="P1135" s="4"/>
      <c r="Q1135" s="4"/>
      <c r="R1135" s="4"/>
      <c r="S1135" s="4"/>
      <c r="T1135" s="4"/>
      <c r="U1135" s="4"/>
      <c r="V1135" s="4"/>
      <c r="W1135" s="4"/>
    </row>
    <row r="1136" ht="15.75" customHeight="1">
      <c r="A1136" s="13">
        <f t="shared" si="9"/>
        <v>1133</v>
      </c>
      <c r="B1136" s="18">
        <f>A1136/'Orbit Info'!$G$10</f>
        <v>11.97503861</v>
      </c>
      <c r="C1136" s="13">
        <f t="shared" si="2"/>
        <v>0</v>
      </c>
      <c r="D1136" s="13">
        <f t="shared" si="3"/>
        <v>1</v>
      </c>
      <c r="E1136" s="13">
        <f t="shared" si="4"/>
        <v>0</v>
      </c>
      <c r="F1136" s="13">
        <f t="shared" si="5"/>
        <v>0</v>
      </c>
      <c r="G1136" s="13">
        <f t="shared" si="6"/>
        <v>1</v>
      </c>
      <c r="H1136" s="13">
        <f>'Orbit Info'!C1135*((C1136*$O$2)+(D1136*$O$3)+(E1136*$O$4)+(F1136*$O$5))</f>
        <v>0</v>
      </c>
      <c r="I1136" s="13">
        <f t="shared" si="7"/>
        <v>8.62426</v>
      </c>
      <c r="J1136" s="18">
        <f t="shared" si="8"/>
        <v>-0.1437376667</v>
      </c>
      <c r="K1136" s="18">
        <f t="shared" si="10"/>
        <v>83.31291933</v>
      </c>
      <c r="L1136" s="4"/>
      <c r="M1136" s="4"/>
      <c r="N1136" s="4"/>
      <c r="O1136" s="4"/>
      <c r="P1136" s="4"/>
      <c r="Q1136" s="4"/>
      <c r="R1136" s="4"/>
      <c r="S1136" s="4"/>
      <c r="T1136" s="4"/>
      <c r="U1136" s="4"/>
      <c r="V1136" s="4"/>
      <c r="W1136" s="4"/>
    </row>
    <row r="1137" ht="15.75" customHeight="1">
      <c r="A1137" s="13">
        <f t="shared" si="9"/>
        <v>1134</v>
      </c>
      <c r="B1137" s="18">
        <f>A1137/'Orbit Info'!$G$10</f>
        <v>11.98560793</v>
      </c>
      <c r="C1137" s="13">
        <f t="shared" si="2"/>
        <v>0</v>
      </c>
      <c r="D1137" s="13">
        <f t="shared" si="3"/>
        <v>1</v>
      </c>
      <c r="E1137" s="13">
        <f t="shared" si="4"/>
        <v>0</v>
      </c>
      <c r="F1137" s="13">
        <f t="shared" si="5"/>
        <v>0</v>
      </c>
      <c r="G1137" s="13">
        <f t="shared" si="6"/>
        <v>1</v>
      </c>
      <c r="H1137" s="13">
        <f>'Orbit Info'!C1136*((C1137*$O$2)+(D1137*$O$3)+(E1137*$O$4)+(F1137*$O$5))</f>
        <v>0</v>
      </c>
      <c r="I1137" s="13">
        <f t="shared" si="7"/>
        <v>8.62426</v>
      </c>
      <c r="J1137" s="18">
        <f t="shared" si="8"/>
        <v>-0.1437376667</v>
      </c>
      <c r="K1137" s="18">
        <f t="shared" si="10"/>
        <v>83.16918167</v>
      </c>
      <c r="L1137" s="4"/>
      <c r="M1137" s="4"/>
      <c r="N1137" s="4"/>
      <c r="O1137" s="4"/>
      <c r="P1137" s="4"/>
      <c r="Q1137" s="4"/>
      <c r="R1137" s="4"/>
      <c r="S1137" s="4"/>
      <c r="T1137" s="4"/>
      <c r="U1137" s="4"/>
      <c r="V1137" s="4"/>
      <c r="W1137" s="4"/>
    </row>
    <row r="1138" ht="15.75" customHeight="1">
      <c r="A1138" s="13">
        <f t="shared" si="9"/>
        <v>1135</v>
      </c>
      <c r="B1138" s="18">
        <f>A1138/'Orbit Info'!$G$10</f>
        <v>11.99617725</v>
      </c>
      <c r="C1138" s="13">
        <f t="shared" si="2"/>
        <v>0</v>
      </c>
      <c r="D1138" s="13">
        <f t="shared" si="3"/>
        <v>1</v>
      </c>
      <c r="E1138" s="13">
        <f t="shared" si="4"/>
        <v>0</v>
      </c>
      <c r="F1138" s="13">
        <f t="shared" si="5"/>
        <v>0</v>
      </c>
      <c r="G1138" s="13">
        <f t="shared" si="6"/>
        <v>1</v>
      </c>
      <c r="H1138" s="13">
        <f>'Orbit Info'!C1137*((C1138*$O$2)+(D1138*$O$3)+(E1138*$O$4)+(F1138*$O$5))</f>
        <v>0</v>
      </c>
      <c r="I1138" s="13">
        <f t="shared" si="7"/>
        <v>8.62426</v>
      </c>
      <c r="J1138" s="18">
        <f t="shared" si="8"/>
        <v>-0.1437376667</v>
      </c>
      <c r="K1138" s="18">
        <f t="shared" si="10"/>
        <v>83.025444</v>
      </c>
      <c r="L1138" s="4"/>
      <c r="M1138" s="4"/>
      <c r="N1138" s="4"/>
      <c r="O1138" s="4"/>
      <c r="P1138" s="4"/>
      <c r="Q1138" s="4"/>
      <c r="R1138" s="4"/>
      <c r="S1138" s="4"/>
      <c r="T1138" s="4"/>
      <c r="U1138" s="4"/>
      <c r="V1138" s="4"/>
      <c r="W1138" s="4"/>
    </row>
    <row r="1139" ht="15.75" customHeight="1">
      <c r="A1139" s="13">
        <f t="shared" si="9"/>
        <v>1136</v>
      </c>
      <c r="B1139" s="18">
        <f>A1139/'Orbit Info'!$G$10</f>
        <v>12.00674657</v>
      </c>
      <c r="C1139" s="13">
        <f t="shared" si="2"/>
        <v>0</v>
      </c>
      <c r="D1139" s="13">
        <f t="shared" si="3"/>
        <v>1</v>
      </c>
      <c r="E1139" s="13">
        <f t="shared" si="4"/>
        <v>0</v>
      </c>
      <c r="F1139" s="13">
        <f t="shared" si="5"/>
        <v>0</v>
      </c>
      <c r="G1139" s="13">
        <f t="shared" si="6"/>
        <v>1</v>
      </c>
      <c r="H1139" s="13">
        <f>'Orbit Info'!C1138*((C1139*$O$2)+(D1139*$O$3)+(E1139*$O$4)+(F1139*$O$5))</f>
        <v>15.628032</v>
      </c>
      <c r="I1139" s="13">
        <f t="shared" si="7"/>
        <v>8.62426</v>
      </c>
      <c r="J1139" s="18">
        <f t="shared" si="8"/>
        <v>0.1167295333</v>
      </c>
      <c r="K1139" s="18">
        <f t="shared" si="10"/>
        <v>83.14217353</v>
      </c>
      <c r="L1139" s="4"/>
      <c r="M1139" s="4"/>
      <c r="N1139" s="4"/>
      <c r="O1139" s="4"/>
      <c r="P1139" s="4"/>
      <c r="Q1139" s="4"/>
      <c r="R1139" s="4"/>
      <c r="S1139" s="4"/>
      <c r="T1139" s="4"/>
      <c r="U1139" s="4"/>
      <c r="V1139" s="4"/>
      <c r="W1139" s="4"/>
    </row>
    <row r="1140" ht="15.75" customHeight="1">
      <c r="A1140" s="13">
        <f t="shared" si="9"/>
        <v>1137</v>
      </c>
      <c r="B1140" s="18">
        <f>A1140/'Orbit Info'!$G$10</f>
        <v>12.01731589</v>
      </c>
      <c r="C1140" s="13">
        <f t="shared" si="2"/>
        <v>0</v>
      </c>
      <c r="D1140" s="13">
        <f t="shared" si="3"/>
        <v>1</v>
      </c>
      <c r="E1140" s="13">
        <f t="shared" si="4"/>
        <v>0</v>
      </c>
      <c r="F1140" s="13">
        <f t="shared" si="5"/>
        <v>0</v>
      </c>
      <c r="G1140" s="13">
        <f t="shared" si="6"/>
        <v>1</v>
      </c>
      <c r="H1140" s="13">
        <f>'Orbit Info'!C1139*((C1140*$O$2)+(D1140*$O$3)+(E1140*$O$4)+(F1140*$O$5))</f>
        <v>15.628032</v>
      </c>
      <c r="I1140" s="13">
        <f t="shared" si="7"/>
        <v>8.62426</v>
      </c>
      <c r="J1140" s="18">
        <f t="shared" si="8"/>
        <v>0.1167295333</v>
      </c>
      <c r="K1140" s="18">
        <f t="shared" si="10"/>
        <v>83.25890307</v>
      </c>
      <c r="L1140" s="4"/>
      <c r="M1140" s="4"/>
      <c r="N1140" s="4"/>
      <c r="O1140" s="4"/>
      <c r="P1140" s="4"/>
      <c r="Q1140" s="4"/>
      <c r="R1140" s="4"/>
      <c r="S1140" s="4"/>
      <c r="T1140" s="4"/>
      <c r="U1140" s="4"/>
      <c r="V1140" s="4"/>
      <c r="W1140" s="4"/>
    </row>
    <row r="1141" ht="15.75" customHeight="1">
      <c r="A1141" s="13">
        <f t="shared" si="9"/>
        <v>1138</v>
      </c>
      <c r="B1141" s="18">
        <f>A1141/'Orbit Info'!$G$10</f>
        <v>12.02788521</v>
      </c>
      <c r="C1141" s="13">
        <f t="shared" si="2"/>
        <v>0</v>
      </c>
      <c r="D1141" s="13">
        <f t="shared" si="3"/>
        <v>1</v>
      </c>
      <c r="E1141" s="13">
        <f t="shared" si="4"/>
        <v>0</v>
      </c>
      <c r="F1141" s="13">
        <f t="shared" si="5"/>
        <v>0</v>
      </c>
      <c r="G1141" s="13">
        <f t="shared" si="6"/>
        <v>1</v>
      </c>
      <c r="H1141" s="13">
        <f>'Orbit Info'!C1140*((C1141*$O$2)+(D1141*$O$3)+(E1141*$O$4)+(F1141*$O$5))</f>
        <v>15.628032</v>
      </c>
      <c r="I1141" s="13">
        <f t="shared" si="7"/>
        <v>8.62426</v>
      </c>
      <c r="J1141" s="18">
        <f t="shared" si="8"/>
        <v>0.1167295333</v>
      </c>
      <c r="K1141" s="18">
        <f t="shared" si="10"/>
        <v>83.3756326</v>
      </c>
      <c r="L1141" s="4"/>
      <c r="M1141" s="4"/>
      <c r="N1141" s="4"/>
      <c r="O1141" s="4"/>
      <c r="P1141" s="4"/>
      <c r="Q1141" s="4"/>
      <c r="R1141" s="4"/>
      <c r="S1141" s="4"/>
      <c r="T1141" s="4"/>
      <c r="U1141" s="4"/>
      <c r="V1141" s="4"/>
      <c r="W1141" s="4"/>
    </row>
    <row r="1142" ht="15.75" customHeight="1">
      <c r="A1142" s="13">
        <f t="shared" si="9"/>
        <v>1139</v>
      </c>
      <c r="B1142" s="18">
        <f>A1142/'Orbit Info'!$G$10</f>
        <v>12.03845453</v>
      </c>
      <c r="C1142" s="13">
        <f t="shared" si="2"/>
        <v>0</v>
      </c>
      <c r="D1142" s="13">
        <f t="shared" si="3"/>
        <v>1</v>
      </c>
      <c r="E1142" s="13">
        <f t="shared" si="4"/>
        <v>0</v>
      </c>
      <c r="F1142" s="13">
        <f t="shared" si="5"/>
        <v>0</v>
      </c>
      <c r="G1142" s="13">
        <f t="shared" si="6"/>
        <v>1</v>
      </c>
      <c r="H1142" s="13">
        <f>'Orbit Info'!C1141*((C1142*$O$2)+(D1142*$O$3)+(E1142*$O$4)+(F1142*$O$5))</f>
        <v>15.628032</v>
      </c>
      <c r="I1142" s="13">
        <f t="shared" si="7"/>
        <v>8.62426</v>
      </c>
      <c r="J1142" s="18">
        <f t="shared" si="8"/>
        <v>0.1167295333</v>
      </c>
      <c r="K1142" s="18">
        <f t="shared" si="10"/>
        <v>83.49236213</v>
      </c>
      <c r="L1142" s="4"/>
      <c r="M1142" s="4"/>
      <c r="N1142" s="4"/>
      <c r="O1142" s="4"/>
      <c r="P1142" s="4"/>
      <c r="Q1142" s="4"/>
      <c r="R1142" s="4"/>
      <c r="S1142" s="4"/>
      <c r="T1142" s="4"/>
      <c r="U1142" s="4"/>
      <c r="V1142" s="4"/>
      <c r="W1142" s="4"/>
    </row>
    <row r="1143" ht="15.75" customHeight="1">
      <c r="A1143" s="13">
        <f t="shared" si="9"/>
        <v>1140</v>
      </c>
      <c r="B1143" s="18">
        <f>A1143/'Orbit Info'!$G$10</f>
        <v>12.04902385</v>
      </c>
      <c r="C1143" s="13">
        <f t="shared" si="2"/>
        <v>0</v>
      </c>
      <c r="D1143" s="13">
        <f t="shared" si="3"/>
        <v>1</v>
      </c>
      <c r="E1143" s="13">
        <f t="shared" si="4"/>
        <v>0</v>
      </c>
      <c r="F1143" s="13">
        <f t="shared" si="5"/>
        <v>0</v>
      </c>
      <c r="G1143" s="13">
        <f t="shared" si="6"/>
        <v>1</v>
      </c>
      <c r="H1143" s="13">
        <f>'Orbit Info'!C1142*((C1143*$O$2)+(D1143*$O$3)+(E1143*$O$4)+(F1143*$O$5))</f>
        <v>15.628032</v>
      </c>
      <c r="I1143" s="13">
        <f t="shared" si="7"/>
        <v>8.62426</v>
      </c>
      <c r="J1143" s="18">
        <f t="shared" si="8"/>
        <v>0.1167295333</v>
      </c>
      <c r="K1143" s="18">
        <f t="shared" si="10"/>
        <v>83.60909167</v>
      </c>
      <c r="L1143" s="4"/>
      <c r="M1143" s="4"/>
      <c r="N1143" s="4"/>
      <c r="O1143" s="4"/>
      <c r="P1143" s="4"/>
      <c r="Q1143" s="4"/>
      <c r="R1143" s="4"/>
      <c r="S1143" s="4"/>
      <c r="T1143" s="4"/>
      <c r="U1143" s="4"/>
      <c r="V1143" s="4"/>
      <c r="W1143" s="4"/>
    </row>
    <row r="1144" ht="15.75" customHeight="1">
      <c r="A1144" s="13">
        <f t="shared" si="9"/>
        <v>1141</v>
      </c>
      <c r="B1144" s="18">
        <f>A1144/'Orbit Info'!$G$10</f>
        <v>12.05959317</v>
      </c>
      <c r="C1144" s="13">
        <f t="shared" si="2"/>
        <v>0</v>
      </c>
      <c r="D1144" s="13">
        <f t="shared" si="3"/>
        <v>1</v>
      </c>
      <c r="E1144" s="13">
        <f t="shared" si="4"/>
        <v>0</v>
      </c>
      <c r="F1144" s="13">
        <f t="shared" si="5"/>
        <v>0</v>
      </c>
      <c r="G1144" s="13">
        <f t="shared" si="6"/>
        <v>1</v>
      </c>
      <c r="H1144" s="13">
        <f>'Orbit Info'!C1143*((C1144*$O$2)+(D1144*$O$3)+(E1144*$O$4)+(F1144*$O$5))</f>
        <v>15.628032</v>
      </c>
      <c r="I1144" s="13">
        <f t="shared" si="7"/>
        <v>8.62426</v>
      </c>
      <c r="J1144" s="18">
        <f t="shared" si="8"/>
        <v>0.1167295333</v>
      </c>
      <c r="K1144" s="18">
        <f t="shared" si="10"/>
        <v>83.7258212</v>
      </c>
      <c r="L1144" s="4"/>
      <c r="M1144" s="4"/>
      <c r="N1144" s="4"/>
      <c r="O1144" s="4"/>
      <c r="P1144" s="4"/>
      <c r="Q1144" s="4"/>
      <c r="R1144" s="4"/>
      <c r="S1144" s="4"/>
      <c r="T1144" s="4"/>
      <c r="U1144" s="4"/>
      <c r="V1144" s="4"/>
      <c r="W1144" s="4"/>
    </row>
    <row r="1145" ht="15.75" customHeight="1">
      <c r="A1145" s="13">
        <f t="shared" si="9"/>
        <v>1142</v>
      </c>
      <c r="B1145" s="18">
        <f>A1145/'Orbit Info'!$G$10</f>
        <v>12.07016249</v>
      </c>
      <c r="C1145" s="13">
        <f t="shared" si="2"/>
        <v>0</v>
      </c>
      <c r="D1145" s="13">
        <f t="shared" si="3"/>
        <v>1</v>
      </c>
      <c r="E1145" s="13">
        <f t="shared" si="4"/>
        <v>0</v>
      </c>
      <c r="F1145" s="13">
        <f t="shared" si="5"/>
        <v>0</v>
      </c>
      <c r="G1145" s="13">
        <f t="shared" si="6"/>
        <v>1</v>
      </c>
      <c r="H1145" s="13">
        <f>'Orbit Info'!C1144*((C1145*$O$2)+(D1145*$O$3)+(E1145*$O$4)+(F1145*$O$5))</f>
        <v>15.628032</v>
      </c>
      <c r="I1145" s="13">
        <f t="shared" si="7"/>
        <v>8.62426</v>
      </c>
      <c r="J1145" s="18">
        <f t="shared" si="8"/>
        <v>0.1167295333</v>
      </c>
      <c r="K1145" s="18">
        <f t="shared" si="10"/>
        <v>83.84255073</v>
      </c>
      <c r="L1145" s="4"/>
      <c r="M1145" s="4"/>
      <c r="N1145" s="4"/>
      <c r="O1145" s="4"/>
      <c r="P1145" s="4"/>
      <c r="Q1145" s="4"/>
      <c r="R1145" s="4"/>
      <c r="S1145" s="4"/>
      <c r="T1145" s="4"/>
      <c r="U1145" s="4"/>
      <c r="V1145" s="4"/>
      <c r="W1145" s="4"/>
    </row>
    <row r="1146" ht="15.75" customHeight="1">
      <c r="A1146" s="13">
        <f t="shared" si="9"/>
        <v>1143</v>
      </c>
      <c r="B1146" s="18">
        <f>A1146/'Orbit Info'!$G$10</f>
        <v>12.08073181</v>
      </c>
      <c r="C1146" s="13">
        <f t="shared" si="2"/>
        <v>0</v>
      </c>
      <c r="D1146" s="13">
        <f t="shared" si="3"/>
        <v>1</v>
      </c>
      <c r="E1146" s="13">
        <f t="shared" si="4"/>
        <v>0</v>
      </c>
      <c r="F1146" s="13">
        <f t="shared" si="5"/>
        <v>0</v>
      </c>
      <c r="G1146" s="13">
        <f t="shared" si="6"/>
        <v>1</v>
      </c>
      <c r="H1146" s="13">
        <f>'Orbit Info'!C1145*((C1146*$O$2)+(D1146*$O$3)+(E1146*$O$4)+(F1146*$O$5))</f>
        <v>15.628032</v>
      </c>
      <c r="I1146" s="13">
        <f t="shared" si="7"/>
        <v>8.62426</v>
      </c>
      <c r="J1146" s="18">
        <f t="shared" si="8"/>
        <v>0.1167295333</v>
      </c>
      <c r="K1146" s="18">
        <f t="shared" si="10"/>
        <v>83.95928027</v>
      </c>
      <c r="L1146" s="4"/>
      <c r="M1146" s="4"/>
      <c r="N1146" s="4"/>
      <c r="O1146" s="4"/>
      <c r="P1146" s="4"/>
      <c r="Q1146" s="4"/>
      <c r="R1146" s="4"/>
      <c r="S1146" s="4"/>
      <c r="T1146" s="4"/>
      <c r="U1146" s="4"/>
      <c r="V1146" s="4"/>
      <c r="W1146" s="4"/>
    </row>
    <row r="1147" ht="15.75" customHeight="1">
      <c r="A1147" s="13">
        <f t="shared" si="9"/>
        <v>1144</v>
      </c>
      <c r="B1147" s="18">
        <f>A1147/'Orbit Info'!$G$10</f>
        <v>12.09130113</v>
      </c>
      <c r="C1147" s="13">
        <f t="shared" si="2"/>
        <v>0</v>
      </c>
      <c r="D1147" s="13">
        <f t="shared" si="3"/>
        <v>1</v>
      </c>
      <c r="E1147" s="13">
        <f t="shared" si="4"/>
        <v>0</v>
      </c>
      <c r="F1147" s="13">
        <f t="shared" si="5"/>
        <v>0</v>
      </c>
      <c r="G1147" s="13">
        <f t="shared" si="6"/>
        <v>1</v>
      </c>
      <c r="H1147" s="13">
        <f>'Orbit Info'!C1146*((C1147*$O$2)+(D1147*$O$3)+(E1147*$O$4)+(F1147*$O$5))</f>
        <v>15.628032</v>
      </c>
      <c r="I1147" s="13">
        <f t="shared" si="7"/>
        <v>8.62426</v>
      </c>
      <c r="J1147" s="18">
        <f t="shared" si="8"/>
        <v>0.1167295333</v>
      </c>
      <c r="K1147" s="18">
        <f t="shared" si="10"/>
        <v>84.0760098</v>
      </c>
      <c r="L1147" s="4"/>
      <c r="M1147" s="4"/>
      <c r="N1147" s="4"/>
      <c r="O1147" s="4"/>
      <c r="P1147" s="4"/>
      <c r="Q1147" s="4"/>
      <c r="R1147" s="4"/>
      <c r="S1147" s="4"/>
      <c r="T1147" s="4"/>
      <c r="U1147" s="4"/>
      <c r="V1147" s="4"/>
      <c r="W1147" s="4"/>
    </row>
    <row r="1148" ht="15.75" customHeight="1">
      <c r="A1148" s="13">
        <f t="shared" si="9"/>
        <v>1145</v>
      </c>
      <c r="B1148" s="18">
        <f>A1148/'Orbit Info'!$G$10</f>
        <v>12.10187044</v>
      </c>
      <c r="C1148" s="13">
        <f t="shared" si="2"/>
        <v>0</v>
      </c>
      <c r="D1148" s="13">
        <f t="shared" si="3"/>
        <v>1</v>
      </c>
      <c r="E1148" s="13">
        <f t="shared" si="4"/>
        <v>0</v>
      </c>
      <c r="F1148" s="13">
        <f t="shared" si="5"/>
        <v>0</v>
      </c>
      <c r="G1148" s="13">
        <f t="shared" si="6"/>
        <v>1</v>
      </c>
      <c r="H1148" s="13">
        <f>'Orbit Info'!C1147*((C1148*$O$2)+(D1148*$O$3)+(E1148*$O$4)+(F1148*$O$5))</f>
        <v>15.628032</v>
      </c>
      <c r="I1148" s="13">
        <f t="shared" si="7"/>
        <v>8.62426</v>
      </c>
      <c r="J1148" s="18">
        <f t="shared" si="8"/>
        <v>0.1167295333</v>
      </c>
      <c r="K1148" s="18">
        <f t="shared" si="10"/>
        <v>84.19273933</v>
      </c>
      <c r="L1148" s="4"/>
      <c r="M1148" s="4"/>
      <c r="N1148" s="4"/>
      <c r="O1148" s="4"/>
      <c r="P1148" s="4"/>
      <c r="Q1148" s="4"/>
      <c r="R1148" s="4"/>
      <c r="S1148" s="4"/>
      <c r="T1148" s="4"/>
      <c r="U1148" s="4"/>
      <c r="V1148" s="4"/>
      <c r="W1148" s="4"/>
    </row>
    <row r="1149" ht="15.75" customHeight="1">
      <c r="A1149" s="13">
        <f t="shared" si="9"/>
        <v>1146</v>
      </c>
      <c r="B1149" s="18">
        <f>A1149/'Orbit Info'!$G$10</f>
        <v>12.11243976</v>
      </c>
      <c r="C1149" s="13">
        <f t="shared" si="2"/>
        <v>0</v>
      </c>
      <c r="D1149" s="13">
        <f t="shared" si="3"/>
        <v>1</v>
      </c>
      <c r="E1149" s="13">
        <f t="shared" si="4"/>
        <v>0</v>
      </c>
      <c r="F1149" s="13">
        <f t="shared" si="5"/>
        <v>0</v>
      </c>
      <c r="G1149" s="13">
        <f t="shared" si="6"/>
        <v>1</v>
      </c>
      <c r="H1149" s="13">
        <f>'Orbit Info'!C1148*((C1149*$O$2)+(D1149*$O$3)+(E1149*$O$4)+(F1149*$O$5))</f>
        <v>15.628032</v>
      </c>
      <c r="I1149" s="13">
        <f t="shared" si="7"/>
        <v>8.62426</v>
      </c>
      <c r="J1149" s="18">
        <f t="shared" si="8"/>
        <v>0.1167295333</v>
      </c>
      <c r="K1149" s="18">
        <f t="shared" si="10"/>
        <v>84.30946887</v>
      </c>
      <c r="L1149" s="4"/>
      <c r="M1149" s="4"/>
      <c r="N1149" s="4"/>
      <c r="O1149" s="4"/>
      <c r="P1149" s="4"/>
      <c r="Q1149" s="4"/>
      <c r="R1149" s="4"/>
      <c r="S1149" s="4"/>
      <c r="T1149" s="4"/>
      <c r="U1149" s="4"/>
      <c r="V1149" s="4"/>
      <c r="W1149" s="4"/>
    </row>
    <row r="1150" ht="15.75" customHeight="1">
      <c r="A1150" s="13">
        <f t="shared" si="9"/>
        <v>1147</v>
      </c>
      <c r="B1150" s="18">
        <f>A1150/'Orbit Info'!$G$10</f>
        <v>12.12300908</v>
      </c>
      <c r="C1150" s="13">
        <f t="shared" si="2"/>
        <v>0</v>
      </c>
      <c r="D1150" s="13">
        <f t="shared" si="3"/>
        <v>1</v>
      </c>
      <c r="E1150" s="13">
        <f t="shared" si="4"/>
        <v>0</v>
      </c>
      <c r="F1150" s="13">
        <f t="shared" si="5"/>
        <v>0</v>
      </c>
      <c r="G1150" s="13">
        <f t="shared" si="6"/>
        <v>1</v>
      </c>
      <c r="H1150" s="13">
        <f>'Orbit Info'!C1149*((C1150*$O$2)+(D1150*$O$3)+(E1150*$O$4)+(F1150*$O$5))</f>
        <v>15.628032</v>
      </c>
      <c r="I1150" s="13">
        <f t="shared" si="7"/>
        <v>8.62426</v>
      </c>
      <c r="J1150" s="18">
        <f t="shared" si="8"/>
        <v>0.1167295333</v>
      </c>
      <c r="K1150" s="18">
        <f t="shared" si="10"/>
        <v>84.4261984</v>
      </c>
      <c r="L1150" s="4"/>
      <c r="M1150" s="4"/>
      <c r="N1150" s="4"/>
      <c r="O1150" s="4"/>
      <c r="P1150" s="4"/>
      <c r="Q1150" s="4"/>
      <c r="R1150" s="4"/>
      <c r="S1150" s="4"/>
      <c r="T1150" s="4"/>
      <c r="U1150" s="4"/>
      <c r="V1150" s="4"/>
      <c r="W1150" s="4"/>
    </row>
    <row r="1151" ht="15.75" customHeight="1">
      <c r="A1151" s="13">
        <f t="shared" si="9"/>
        <v>1148</v>
      </c>
      <c r="B1151" s="18">
        <f>A1151/'Orbit Info'!$G$10</f>
        <v>12.1335784</v>
      </c>
      <c r="C1151" s="13">
        <f t="shared" si="2"/>
        <v>0</v>
      </c>
      <c r="D1151" s="13">
        <f t="shared" si="3"/>
        <v>1</v>
      </c>
      <c r="E1151" s="13">
        <f t="shared" si="4"/>
        <v>0</v>
      </c>
      <c r="F1151" s="13">
        <f t="shared" si="5"/>
        <v>0</v>
      </c>
      <c r="G1151" s="13">
        <f t="shared" si="6"/>
        <v>1</v>
      </c>
      <c r="H1151" s="13">
        <f>'Orbit Info'!C1150*((C1151*$O$2)+(D1151*$O$3)+(E1151*$O$4)+(F1151*$O$5))</f>
        <v>15.628032</v>
      </c>
      <c r="I1151" s="13">
        <f t="shared" si="7"/>
        <v>8.62426</v>
      </c>
      <c r="J1151" s="18">
        <f t="shared" si="8"/>
        <v>0.1167295333</v>
      </c>
      <c r="K1151" s="18">
        <f t="shared" si="10"/>
        <v>84.54292793</v>
      </c>
      <c r="L1151" s="4"/>
      <c r="M1151" s="4"/>
      <c r="N1151" s="4"/>
      <c r="O1151" s="4"/>
      <c r="P1151" s="4"/>
      <c r="Q1151" s="4"/>
      <c r="R1151" s="4"/>
      <c r="S1151" s="4"/>
      <c r="T1151" s="4"/>
      <c r="U1151" s="4"/>
      <c r="V1151" s="4"/>
      <c r="W1151" s="4"/>
    </row>
    <row r="1152" ht="15.75" customHeight="1">
      <c r="A1152" s="13">
        <f t="shared" si="9"/>
        <v>1149</v>
      </c>
      <c r="B1152" s="18">
        <f>A1152/'Orbit Info'!$G$10</f>
        <v>12.14414772</v>
      </c>
      <c r="C1152" s="13">
        <f t="shared" si="2"/>
        <v>0</v>
      </c>
      <c r="D1152" s="13">
        <f t="shared" si="3"/>
        <v>1</v>
      </c>
      <c r="E1152" s="13">
        <f t="shared" si="4"/>
        <v>0</v>
      </c>
      <c r="F1152" s="13">
        <f t="shared" si="5"/>
        <v>0</v>
      </c>
      <c r="G1152" s="13">
        <f t="shared" si="6"/>
        <v>1</v>
      </c>
      <c r="H1152" s="13">
        <f>'Orbit Info'!C1151*((C1152*$O$2)+(D1152*$O$3)+(E1152*$O$4)+(F1152*$O$5))</f>
        <v>15.628032</v>
      </c>
      <c r="I1152" s="13">
        <f t="shared" si="7"/>
        <v>8.62426</v>
      </c>
      <c r="J1152" s="18">
        <f t="shared" si="8"/>
        <v>0.1167295333</v>
      </c>
      <c r="K1152" s="18">
        <f t="shared" si="10"/>
        <v>84.65965747</v>
      </c>
      <c r="L1152" s="4"/>
      <c r="M1152" s="4"/>
      <c r="N1152" s="4"/>
      <c r="O1152" s="4"/>
      <c r="P1152" s="4"/>
      <c r="Q1152" s="4"/>
      <c r="R1152" s="4"/>
      <c r="S1152" s="4"/>
      <c r="T1152" s="4"/>
      <c r="U1152" s="4"/>
      <c r="V1152" s="4"/>
      <c r="W1152" s="4"/>
    </row>
    <row r="1153" ht="15.75" customHeight="1">
      <c r="A1153" s="13">
        <f t="shared" si="9"/>
        <v>1150</v>
      </c>
      <c r="B1153" s="18">
        <f>A1153/'Orbit Info'!$G$10</f>
        <v>12.15471704</v>
      </c>
      <c r="C1153" s="13">
        <f t="shared" si="2"/>
        <v>0</v>
      </c>
      <c r="D1153" s="13">
        <f t="shared" si="3"/>
        <v>1</v>
      </c>
      <c r="E1153" s="13">
        <f t="shared" si="4"/>
        <v>0</v>
      </c>
      <c r="F1153" s="13">
        <f t="shared" si="5"/>
        <v>0</v>
      </c>
      <c r="G1153" s="13">
        <f t="shared" si="6"/>
        <v>1</v>
      </c>
      <c r="H1153" s="13">
        <f>'Orbit Info'!C1152*((C1153*$O$2)+(D1153*$O$3)+(E1153*$O$4)+(F1153*$O$5))</f>
        <v>15.628032</v>
      </c>
      <c r="I1153" s="13">
        <f t="shared" si="7"/>
        <v>8.62426</v>
      </c>
      <c r="J1153" s="18">
        <f t="shared" si="8"/>
        <v>0.1167295333</v>
      </c>
      <c r="K1153" s="18">
        <f t="shared" si="10"/>
        <v>84.776387</v>
      </c>
      <c r="L1153" s="4"/>
      <c r="M1153" s="4"/>
      <c r="N1153" s="4"/>
      <c r="O1153" s="4"/>
      <c r="P1153" s="4"/>
      <c r="Q1153" s="4"/>
      <c r="R1153" s="4"/>
      <c r="S1153" s="4"/>
      <c r="T1153" s="4"/>
      <c r="U1153" s="4"/>
      <c r="V1153" s="4"/>
      <c r="W1153" s="4"/>
    </row>
    <row r="1154" ht="15.75" customHeight="1">
      <c r="A1154" s="13">
        <f t="shared" si="9"/>
        <v>1151</v>
      </c>
      <c r="B1154" s="18">
        <f>A1154/'Orbit Info'!$G$10</f>
        <v>12.16528636</v>
      </c>
      <c r="C1154" s="13">
        <f t="shared" si="2"/>
        <v>0</v>
      </c>
      <c r="D1154" s="13">
        <f t="shared" si="3"/>
        <v>1</v>
      </c>
      <c r="E1154" s="13">
        <f t="shared" si="4"/>
        <v>0</v>
      </c>
      <c r="F1154" s="13">
        <f t="shared" si="5"/>
        <v>0</v>
      </c>
      <c r="G1154" s="13">
        <f t="shared" si="6"/>
        <v>1</v>
      </c>
      <c r="H1154" s="13">
        <f>'Orbit Info'!C1153*((C1154*$O$2)+(D1154*$O$3)+(E1154*$O$4)+(F1154*$O$5))</f>
        <v>15.628032</v>
      </c>
      <c r="I1154" s="13">
        <f t="shared" si="7"/>
        <v>8.62426</v>
      </c>
      <c r="J1154" s="18">
        <f t="shared" si="8"/>
        <v>0.1167295333</v>
      </c>
      <c r="K1154" s="18">
        <f t="shared" si="10"/>
        <v>84.89311653</v>
      </c>
      <c r="L1154" s="4"/>
      <c r="M1154" s="4"/>
      <c r="N1154" s="4"/>
      <c r="O1154" s="4"/>
      <c r="P1154" s="4"/>
      <c r="Q1154" s="4"/>
      <c r="R1154" s="4"/>
      <c r="S1154" s="4"/>
      <c r="T1154" s="4"/>
      <c r="U1154" s="4"/>
      <c r="V1154" s="4"/>
      <c r="W1154" s="4"/>
    </row>
    <row r="1155" ht="15.75" customHeight="1">
      <c r="A1155" s="13">
        <f t="shared" si="9"/>
        <v>1152</v>
      </c>
      <c r="B1155" s="18">
        <f>A1155/'Orbit Info'!$G$10</f>
        <v>12.17585568</v>
      </c>
      <c r="C1155" s="13">
        <f t="shared" si="2"/>
        <v>0</v>
      </c>
      <c r="D1155" s="13">
        <f t="shared" si="3"/>
        <v>1</v>
      </c>
      <c r="E1155" s="13">
        <f t="shared" si="4"/>
        <v>0</v>
      </c>
      <c r="F1155" s="13">
        <f t="shared" si="5"/>
        <v>0</v>
      </c>
      <c r="G1155" s="13">
        <f t="shared" si="6"/>
        <v>1</v>
      </c>
      <c r="H1155" s="13">
        <f>'Orbit Info'!C1154*((C1155*$O$2)+(D1155*$O$3)+(E1155*$O$4)+(F1155*$O$5))</f>
        <v>15.628032</v>
      </c>
      <c r="I1155" s="13">
        <f t="shared" si="7"/>
        <v>8.62426</v>
      </c>
      <c r="J1155" s="18">
        <f t="shared" si="8"/>
        <v>0.1167295333</v>
      </c>
      <c r="K1155" s="18">
        <f t="shared" si="10"/>
        <v>85.00984607</v>
      </c>
      <c r="L1155" s="4"/>
      <c r="M1155" s="4"/>
      <c r="N1155" s="4"/>
      <c r="O1155" s="4"/>
      <c r="P1155" s="4"/>
      <c r="Q1155" s="4"/>
      <c r="R1155" s="4"/>
      <c r="S1155" s="4"/>
      <c r="T1155" s="4"/>
      <c r="U1155" s="4"/>
      <c r="V1155" s="4"/>
      <c r="W1155" s="4"/>
    </row>
    <row r="1156" ht="15.75" customHeight="1">
      <c r="A1156" s="13">
        <f t="shared" si="9"/>
        <v>1153</v>
      </c>
      <c r="B1156" s="18">
        <f>A1156/'Orbit Info'!$G$10</f>
        <v>12.186425</v>
      </c>
      <c r="C1156" s="13">
        <f t="shared" si="2"/>
        <v>0</v>
      </c>
      <c r="D1156" s="13">
        <f t="shared" si="3"/>
        <v>1</v>
      </c>
      <c r="E1156" s="13">
        <f t="shared" si="4"/>
        <v>0</v>
      </c>
      <c r="F1156" s="13">
        <f t="shared" si="5"/>
        <v>0</v>
      </c>
      <c r="G1156" s="13">
        <f t="shared" si="6"/>
        <v>1</v>
      </c>
      <c r="H1156" s="13">
        <f>'Orbit Info'!C1155*((C1156*$O$2)+(D1156*$O$3)+(E1156*$O$4)+(F1156*$O$5))</f>
        <v>15.628032</v>
      </c>
      <c r="I1156" s="13">
        <f t="shared" si="7"/>
        <v>8.62426</v>
      </c>
      <c r="J1156" s="18">
        <f t="shared" si="8"/>
        <v>0.1167295333</v>
      </c>
      <c r="K1156" s="18">
        <f t="shared" si="10"/>
        <v>85.1265756</v>
      </c>
      <c r="L1156" s="4"/>
      <c r="M1156" s="4"/>
      <c r="N1156" s="4"/>
      <c r="O1156" s="4"/>
      <c r="P1156" s="4"/>
      <c r="Q1156" s="4"/>
      <c r="R1156" s="4"/>
      <c r="S1156" s="4"/>
      <c r="T1156" s="4"/>
      <c r="U1156" s="4"/>
      <c r="V1156" s="4"/>
      <c r="W1156" s="4"/>
    </row>
    <row r="1157" ht="15.75" customHeight="1">
      <c r="A1157" s="13">
        <f t="shared" si="9"/>
        <v>1154</v>
      </c>
      <c r="B1157" s="18">
        <f>A1157/'Orbit Info'!$G$10</f>
        <v>12.19699432</v>
      </c>
      <c r="C1157" s="13">
        <f t="shared" si="2"/>
        <v>0</v>
      </c>
      <c r="D1157" s="13">
        <f t="shared" si="3"/>
        <v>1</v>
      </c>
      <c r="E1157" s="13">
        <f t="shared" si="4"/>
        <v>0</v>
      </c>
      <c r="F1157" s="13">
        <f t="shared" si="5"/>
        <v>0</v>
      </c>
      <c r="G1157" s="13">
        <f t="shared" si="6"/>
        <v>1</v>
      </c>
      <c r="H1157" s="13">
        <f>'Orbit Info'!C1156*((C1157*$O$2)+(D1157*$O$3)+(E1157*$O$4)+(F1157*$O$5))</f>
        <v>15.628032</v>
      </c>
      <c r="I1157" s="13">
        <f t="shared" si="7"/>
        <v>8.62426</v>
      </c>
      <c r="J1157" s="18">
        <f t="shared" si="8"/>
        <v>0.1167295333</v>
      </c>
      <c r="K1157" s="18">
        <f t="shared" si="10"/>
        <v>85.24330513</v>
      </c>
      <c r="L1157" s="4"/>
      <c r="M1157" s="4"/>
      <c r="N1157" s="4"/>
      <c r="O1157" s="4"/>
      <c r="P1157" s="4"/>
      <c r="Q1157" s="4"/>
      <c r="R1157" s="4"/>
      <c r="S1157" s="4"/>
      <c r="T1157" s="4"/>
      <c r="U1157" s="4"/>
      <c r="V1157" s="4"/>
      <c r="W1157" s="4"/>
    </row>
    <row r="1158" ht="15.75" customHeight="1">
      <c r="A1158" s="13">
        <f t="shared" si="9"/>
        <v>1155</v>
      </c>
      <c r="B1158" s="18">
        <f>A1158/'Orbit Info'!$G$10</f>
        <v>12.20756364</v>
      </c>
      <c r="C1158" s="13">
        <f t="shared" si="2"/>
        <v>0</v>
      </c>
      <c r="D1158" s="13">
        <f t="shared" si="3"/>
        <v>1</v>
      </c>
      <c r="E1158" s="13">
        <f t="shared" si="4"/>
        <v>0</v>
      </c>
      <c r="F1158" s="13">
        <f t="shared" si="5"/>
        <v>0</v>
      </c>
      <c r="G1158" s="13">
        <f t="shared" si="6"/>
        <v>1</v>
      </c>
      <c r="H1158" s="13">
        <f>'Orbit Info'!C1157*((C1158*$O$2)+(D1158*$O$3)+(E1158*$O$4)+(F1158*$O$5))</f>
        <v>15.628032</v>
      </c>
      <c r="I1158" s="13">
        <f t="shared" si="7"/>
        <v>8.62426</v>
      </c>
      <c r="J1158" s="18">
        <f t="shared" si="8"/>
        <v>0.1167295333</v>
      </c>
      <c r="K1158" s="18">
        <f t="shared" si="10"/>
        <v>85.36003467</v>
      </c>
      <c r="L1158" s="4"/>
      <c r="M1158" s="4"/>
      <c r="N1158" s="4"/>
      <c r="O1158" s="4"/>
      <c r="P1158" s="4"/>
      <c r="Q1158" s="4"/>
      <c r="R1158" s="4"/>
      <c r="S1158" s="4"/>
      <c r="T1158" s="4"/>
      <c r="U1158" s="4"/>
      <c r="V1158" s="4"/>
      <c r="W1158" s="4"/>
    </row>
    <row r="1159" ht="15.75" customHeight="1">
      <c r="A1159" s="13">
        <f t="shared" si="9"/>
        <v>1156</v>
      </c>
      <c r="B1159" s="18">
        <f>A1159/'Orbit Info'!$G$10</f>
        <v>12.21813296</v>
      </c>
      <c r="C1159" s="13">
        <f t="shared" si="2"/>
        <v>0</v>
      </c>
      <c r="D1159" s="13">
        <f t="shared" si="3"/>
        <v>1</v>
      </c>
      <c r="E1159" s="13">
        <f t="shared" si="4"/>
        <v>0</v>
      </c>
      <c r="F1159" s="13">
        <f t="shared" si="5"/>
        <v>0</v>
      </c>
      <c r="G1159" s="13">
        <f t="shared" si="6"/>
        <v>1</v>
      </c>
      <c r="H1159" s="13">
        <f>'Orbit Info'!C1158*((C1159*$O$2)+(D1159*$O$3)+(E1159*$O$4)+(F1159*$O$5))</f>
        <v>15.628032</v>
      </c>
      <c r="I1159" s="13">
        <f t="shared" si="7"/>
        <v>8.62426</v>
      </c>
      <c r="J1159" s="18">
        <f t="shared" si="8"/>
        <v>0.1167295333</v>
      </c>
      <c r="K1159" s="18">
        <f t="shared" si="10"/>
        <v>85.4767642</v>
      </c>
      <c r="L1159" s="4"/>
      <c r="M1159" s="4"/>
      <c r="N1159" s="4"/>
      <c r="O1159" s="4"/>
      <c r="P1159" s="4"/>
      <c r="Q1159" s="4"/>
      <c r="R1159" s="4"/>
      <c r="S1159" s="4"/>
      <c r="T1159" s="4"/>
      <c r="U1159" s="4"/>
      <c r="V1159" s="4"/>
      <c r="W1159" s="4"/>
    </row>
    <row r="1160" ht="15.75" customHeight="1">
      <c r="A1160" s="13">
        <f t="shared" si="9"/>
        <v>1157</v>
      </c>
      <c r="B1160" s="18">
        <f>A1160/'Orbit Info'!$G$10</f>
        <v>12.22870227</v>
      </c>
      <c r="C1160" s="13">
        <f t="shared" si="2"/>
        <v>0</v>
      </c>
      <c r="D1160" s="13">
        <f t="shared" si="3"/>
        <v>1</v>
      </c>
      <c r="E1160" s="13">
        <f t="shared" si="4"/>
        <v>0</v>
      </c>
      <c r="F1160" s="13">
        <f t="shared" si="5"/>
        <v>0</v>
      </c>
      <c r="G1160" s="13">
        <f t="shared" si="6"/>
        <v>1</v>
      </c>
      <c r="H1160" s="13">
        <f>'Orbit Info'!C1159*((C1160*$O$2)+(D1160*$O$3)+(E1160*$O$4)+(F1160*$O$5))</f>
        <v>15.628032</v>
      </c>
      <c r="I1160" s="13">
        <f t="shared" si="7"/>
        <v>8.62426</v>
      </c>
      <c r="J1160" s="18">
        <f t="shared" si="8"/>
        <v>0.1167295333</v>
      </c>
      <c r="K1160" s="18">
        <f t="shared" si="10"/>
        <v>85.59349373</v>
      </c>
      <c r="L1160" s="4"/>
      <c r="M1160" s="4"/>
      <c r="N1160" s="4"/>
      <c r="O1160" s="4"/>
      <c r="P1160" s="4"/>
      <c r="Q1160" s="4"/>
      <c r="R1160" s="4"/>
      <c r="S1160" s="4"/>
      <c r="T1160" s="4"/>
      <c r="U1160" s="4"/>
      <c r="V1160" s="4"/>
      <c r="W1160" s="4"/>
    </row>
    <row r="1161" ht="15.75" customHeight="1">
      <c r="A1161" s="13">
        <f t="shared" si="9"/>
        <v>1158</v>
      </c>
      <c r="B1161" s="18">
        <f>A1161/'Orbit Info'!$G$10</f>
        <v>12.23927159</v>
      </c>
      <c r="C1161" s="13">
        <f t="shared" si="2"/>
        <v>0</v>
      </c>
      <c r="D1161" s="13">
        <f t="shared" si="3"/>
        <v>1</v>
      </c>
      <c r="E1161" s="13">
        <f t="shared" si="4"/>
        <v>0</v>
      </c>
      <c r="F1161" s="13">
        <f t="shared" si="5"/>
        <v>0</v>
      </c>
      <c r="G1161" s="13">
        <f t="shared" si="6"/>
        <v>1</v>
      </c>
      <c r="H1161" s="13">
        <f>'Orbit Info'!C1160*((C1161*$O$2)+(D1161*$O$3)+(E1161*$O$4)+(F1161*$O$5))</f>
        <v>15.628032</v>
      </c>
      <c r="I1161" s="13">
        <f t="shared" si="7"/>
        <v>8.62426</v>
      </c>
      <c r="J1161" s="18">
        <f t="shared" si="8"/>
        <v>0.1167295333</v>
      </c>
      <c r="K1161" s="18">
        <f t="shared" si="10"/>
        <v>85.71022327</v>
      </c>
      <c r="L1161" s="4"/>
      <c r="M1161" s="4"/>
      <c r="N1161" s="4"/>
      <c r="O1161" s="4"/>
      <c r="P1161" s="4"/>
      <c r="Q1161" s="4"/>
      <c r="R1161" s="4"/>
      <c r="S1161" s="4"/>
      <c r="T1161" s="4"/>
      <c r="U1161" s="4"/>
      <c r="V1161" s="4"/>
      <c r="W1161" s="4"/>
    </row>
    <row r="1162" ht="15.75" customHeight="1">
      <c r="A1162" s="13">
        <f t="shared" si="9"/>
        <v>1159</v>
      </c>
      <c r="B1162" s="18">
        <f>A1162/'Orbit Info'!$G$10</f>
        <v>12.24984091</v>
      </c>
      <c r="C1162" s="13">
        <f t="shared" si="2"/>
        <v>0</v>
      </c>
      <c r="D1162" s="13">
        <f t="shared" si="3"/>
        <v>1</v>
      </c>
      <c r="E1162" s="13">
        <f t="shared" si="4"/>
        <v>0</v>
      </c>
      <c r="F1162" s="13">
        <f t="shared" si="5"/>
        <v>0</v>
      </c>
      <c r="G1162" s="13">
        <f t="shared" si="6"/>
        <v>1</v>
      </c>
      <c r="H1162" s="13">
        <f>'Orbit Info'!C1161*((C1162*$O$2)+(D1162*$O$3)+(E1162*$O$4)+(F1162*$O$5))</f>
        <v>15.628032</v>
      </c>
      <c r="I1162" s="13">
        <f t="shared" si="7"/>
        <v>8.62426</v>
      </c>
      <c r="J1162" s="18">
        <f t="shared" si="8"/>
        <v>0.1167295333</v>
      </c>
      <c r="K1162" s="18">
        <f t="shared" si="10"/>
        <v>85.8269528</v>
      </c>
      <c r="L1162" s="4"/>
      <c r="M1162" s="4"/>
      <c r="N1162" s="4"/>
      <c r="O1162" s="4"/>
      <c r="P1162" s="4"/>
      <c r="Q1162" s="4"/>
      <c r="R1162" s="4"/>
      <c r="S1162" s="4"/>
      <c r="T1162" s="4"/>
      <c r="U1162" s="4"/>
      <c r="V1162" s="4"/>
      <c r="W1162" s="4"/>
    </row>
    <row r="1163" ht="15.75" customHeight="1">
      <c r="A1163" s="13">
        <f t="shared" si="9"/>
        <v>1160</v>
      </c>
      <c r="B1163" s="18">
        <f>A1163/'Orbit Info'!$G$10</f>
        <v>12.26041023</v>
      </c>
      <c r="C1163" s="13">
        <f t="shared" si="2"/>
        <v>0</v>
      </c>
      <c r="D1163" s="13">
        <f t="shared" si="3"/>
        <v>1</v>
      </c>
      <c r="E1163" s="13">
        <f t="shared" si="4"/>
        <v>0</v>
      </c>
      <c r="F1163" s="13">
        <f t="shared" si="5"/>
        <v>0</v>
      </c>
      <c r="G1163" s="13">
        <f t="shared" si="6"/>
        <v>1</v>
      </c>
      <c r="H1163" s="13">
        <f>'Orbit Info'!C1162*((C1163*$O$2)+(D1163*$O$3)+(E1163*$O$4)+(F1163*$O$5))</f>
        <v>15.628032</v>
      </c>
      <c r="I1163" s="13">
        <f t="shared" si="7"/>
        <v>8.62426</v>
      </c>
      <c r="J1163" s="18">
        <f t="shared" si="8"/>
        <v>0.1167295333</v>
      </c>
      <c r="K1163" s="18">
        <f t="shared" si="10"/>
        <v>85.94368233</v>
      </c>
      <c r="L1163" s="4"/>
      <c r="M1163" s="4"/>
      <c r="N1163" s="4"/>
      <c r="O1163" s="4"/>
      <c r="P1163" s="4"/>
      <c r="Q1163" s="4"/>
      <c r="R1163" s="4"/>
      <c r="S1163" s="4"/>
      <c r="T1163" s="4"/>
      <c r="U1163" s="4"/>
      <c r="V1163" s="4"/>
      <c r="W1163" s="4"/>
    </row>
    <row r="1164" ht="15.75" customHeight="1">
      <c r="A1164" s="13">
        <f t="shared" si="9"/>
        <v>1161</v>
      </c>
      <c r="B1164" s="18">
        <f>A1164/'Orbit Info'!$G$10</f>
        <v>12.27097955</v>
      </c>
      <c r="C1164" s="13">
        <f t="shared" si="2"/>
        <v>0</v>
      </c>
      <c r="D1164" s="13">
        <f t="shared" si="3"/>
        <v>1</v>
      </c>
      <c r="E1164" s="13">
        <f t="shared" si="4"/>
        <v>0</v>
      </c>
      <c r="F1164" s="13">
        <f t="shared" si="5"/>
        <v>0</v>
      </c>
      <c r="G1164" s="13">
        <f t="shared" si="6"/>
        <v>1</v>
      </c>
      <c r="H1164" s="13">
        <f>'Orbit Info'!C1163*((C1164*$O$2)+(D1164*$O$3)+(E1164*$O$4)+(F1164*$O$5))</f>
        <v>15.628032</v>
      </c>
      <c r="I1164" s="13">
        <f t="shared" si="7"/>
        <v>8.62426</v>
      </c>
      <c r="J1164" s="18">
        <f t="shared" si="8"/>
        <v>0.1167295333</v>
      </c>
      <c r="K1164" s="18">
        <f t="shared" si="10"/>
        <v>86.06041187</v>
      </c>
      <c r="L1164" s="4"/>
      <c r="M1164" s="4"/>
      <c r="N1164" s="4"/>
      <c r="O1164" s="4"/>
      <c r="P1164" s="4"/>
      <c r="Q1164" s="4"/>
      <c r="R1164" s="4"/>
      <c r="S1164" s="4"/>
      <c r="T1164" s="4"/>
      <c r="U1164" s="4"/>
      <c r="V1164" s="4"/>
      <c r="W1164" s="4"/>
    </row>
    <row r="1165" ht="15.75" customHeight="1">
      <c r="A1165" s="13">
        <f t="shared" si="9"/>
        <v>1162</v>
      </c>
      <c r="B1165" s="18">
        <f>A1165/'Orbit Info'!$G$10</f>
        <v>12.28154887</v>
      </c>
      <c r="C1165" s="13">
        <f t="shared" si="2"/>
        <v>0</v>
      </c>
      <c r="D1165" s="13">
        <f t="shared" si="3"/>
        <v>1</v>
      </c>
      <c r="E1165" s="13">
        <f t="shared" si="4"/>
        <v>0</v>
      </c>
      <c r="F1165" s="13">
        <f t="shared" si="5"/>
        <v>0</v>
      </c>
      <c r="G1165" s="13">
        <f t="shared" si="6"/>
        <v>1</v>
      </c>
      <c r="H1165" s="13">
        <f>'Orbit Info'!C1164*((C1165*$O$2)+(D1165*$O$3)+(E1165*$O$4)+(F1165*$O$5))</f>
        <v>15.628032</v>
      </c>
      <c r="I1165" s="13">
        <f t="shared" si="7"/>
        <v>8.62426</v>
      </c>
      <c r="J1165" s="18">
        <f t="shared" si="8"/>
        <v>0.1167295333</v>
      </c>
      <c r="K1165" s="18">
        <f t="shared" si="10"/>
        <v>86.1771414</v>
      </c>
      <c r="L1165" s="4"/>
      <c r="M1165" s="4"/>
      <c r="N1165" s="4"/>
      <c r="O1165" s="4"/>
      <c r="P1165" s="4"/>
      <c r="Q1165" s="4"/>
      <c r="R1165" s="4"/>
      <c r="S1165" s="4"/>
      <c r="T1165" s="4"/>
      <c r="U1165" s="4"/>
      <c r="V1165" s="4"/>
      <c r="W1165" s="4"/>
    </row>
    <row r="1166" ht="15.75" customHeight="1">
      <c r="A1166" s="13">
        <f t="shared" si="9"/>
        <v>1163</v>
      </c>
      <c r="B1166" s="18">
        <f>A1166/'Orbit Info'!$G$10</f>
        <v>12.29211819</v>
      </c>
      <c r="C1166" s="13">
        <f t="shared" si="2"/>
        <v>0</v>
      </c>
      <c r="D1166" s="13">
        <f t="shared" si="3"/>
        <v>1</v>
      </c>
      <c r="E1166" s="13">
        <f t="shared" si="4"/>
        <v>0</v>
      </c>
      <c r="F1166" s="13">
        <f t="shared" si="5"/>
        <v>0</v>
      </c>
      <c r="G1166" s="13">
        <f t="shared" si="6"/>
        <v>1</v>
      </c>
      <c r="H1166" s="13">
        <f>'Orbit Info'!C1165*((C1166*$O$2)+(D1166*$O$3)+(E1166*$O$4)+(F1166*$O$5))</f>
        <v>15.628032</v>
      </c>
      <c r="I1166" s="13">
        <f t="shared" si="7"/>
        <v>8.62426</v>
      </c>
      <c r="J1166" s="18">
        <f t="shared" si="8"/>
        <v>0.1167295333</v>
      </c>
      <c r="K1166" s="18">
        <f t="shared" si="10"/>
        <v>86.29387093</v>
      </c>
      <c r="L1166" s="4"/>
      <c r="M1166" s="4"/>
      <c r="N1166" s="4"/>
      <c r="O1166" s="4"/>
      <c r="P1166" s="4"/>
      <c r="Q1166" s="4"/>
      <c r="R1166" s="4"/>
      <c r="S1166" s="4"/>
      <c r="T1166" s="4"/>
      <c r="U1166" s="4"/>
      <c r="V1166" s="4"/>
      <c r="W1166" s="4"/>
    </row>
    <row r="1167" ht="15.75" customHeight="1">
      <c r="A1167" s="13">
        <f t="shared" si="9"/>
        <v>1164</v>
      </c>
      <c r="B1167" s="18">
        <f>A1167/'Orbit Info'!$G$10</f>
        <v>12.30268751</v>
      </c>
      <c r="C1167" s="13">
        <f t="shared" si="2"/>
        <v>0</v>
      </c>
      <c r="D1167" s="13">
        <f t="shared" si="3"/>
        <v>1</v>
      </c>
      <c r="E1167" s="13">
        <f t="shared" si="4"/>
        <v>0</v>
      </c>
      <c r="F1167" s="13">
        <f t="shared" si="5"/>
        <v>0</v>
      </c>
      <c r="G1167" s="13">
        <f t="shared" si="6"/>
        <v>1</v>
      </c>
      <c r="H1167" s="13">
        <f>'Orbit Info'!C1166*((C1167*$O$2)+(D1167*$O$3)+(E1167*$O$4)+(F1167*$O$5))</f>
        <v>15.628032</v>
      </c>
      <c r="I1167" s="13">
        <f t="shared" si="7"/>
        <v>8.62426</v>
      </c>
      <c r="J1167" s="18">
        <f t="shared" si="8"/>
        <v>0.1167295333</v>
      </c>
      <c r="K1167" s="18">
        <f t="shared" si="10"/>
        <v>86.41060047</v>
      </c>
      <c r="L1167" s="4"/>
      <c r="M1167" s="4"/>
      <c r="N1167" s="4"/>
      <c r="O1167" s="4"/>
      <c r="P1167" s="4"/>
      <c r="Q1167" s="4"/>
      <c r="R1167" s="4"/>
      <c r="S1167" s="4"/>
      <c r="T1167" s="4"/>
      <c r="U1167" s="4"/>
      <c r="V1167" s="4"/>
      <c r="W1167" s="4"/>
    </row>
    <row r="1168" ht="15.75" customHeight="1">
      <c r="A1168" s="13">
        <f t="shared" si="9"/>
        <v>1165</v>
      </c>
      <c r="B1168" s="18">
        <f>A1168/'Orbit Info'!$G$10</f>
        <v>12.31325683</v>
      </c>
      <c r="C1168" s="13">
        <f t="shared" si="2"/>
        <v>0</v>
      </c>
      <c r="D1168" s="13">
        <f t="shared" si="3"/>
        <v>1</v>
      </c>
      <c r="E1168" s="13">
        <f t="shared" si="4"/>
        <v>0</v>
      </c>
      <c r="F1168" s="13">
        <f t="shared" si="5"/>
        <v>0</v>
      </c>
      <c r="G1168" s="13">
        <f t="shared" si="6"/>
        <v>1</v>
      </c>
      <c r="H1168" s="13">
        <f>'Orbit Info'!C1167*((C1168*$O$2)+(D1168*$O$3)+(E1168*$O$4)+(F1168*$O$5))</f>
        <v>15.628032</v>
      </c>
      <c r="I1168" s="13">
        <f t="shared" si="7"/>
        <v>8.62426</v>
      </c>
      <c r="J1168" s="18">
        <f t="shared" si="8"/>
        <v>0.1167295333</v>
      </c>
      <c r="K1168" s="18">
        <f t="shared" si="10"/>
        <v>86.52733</v>
      </c>
      <c r="L1168" s="4"/>
      <c r="M1168" s="4"/>
      <c r="N1168" s="4"/>
      <c r="O1168" s="4"/>
      <c r="P1168" s="4"/>
      <c r="Q1168" s="4"/>
      <c r="R1168" s="4"/>
      <c r="S1168" s="4"/>
      <c r="T1168" s="4"/>
      <c r="U1168" s="4"/>
      <c r="V1168" s="4"/>
      <c r="W1168" s="4"/>
    </row>
    <row r="1169" ht="15.75" customHeight="1">
      <c r="A1169" s="13">
        <f t="shared" si="9"/>
        <v>1166</v>
      </c>
      <c r="B1169" s="18">
        <f>A1169/'Orbit Info'!$G$10</f>
        <v>12.32382615</v>
      </c>
      <c r="C1169" s="13">
        <f t="shared" si="2"/>
        <v>0</v>
      </c>
      <c r="D1169" s="13">
        <f t="shared" si="3"/>
        <v>1</v>
      </c>
      <c r="E1169" s="13">
        <f t="shared" si="4"/>
        <v>0</v>
      </c>
      <c r="F1169" s="13">
        <f t="shared" si="5"/>
        <v>0</v>
      </c>
      <c r="G1169" s="13">
        <f t="shared" si="6"/>
        <v>1</v>
      </c>
      <c r="H1169" s="13">
        <f>'Orbit Info'!C1168*((C1169*$O$2)+(D1169*$O$3)+(E1169*$O$4)+(F1169*$O$5))</f>
        <v>15.628032</v>
      </c>
      <c r="I1169" s="13">
        <f t="shared" si="7"/>
        <v>8.62426</v>
      </c>
      <c r="J1169" s="18">
        <f t="shared" si="8"/>
        <v>0.1167295333</v>
      </c>
      <c r="K1169" s="18">
        <f t="shared" si="10"/>
        <v>86.64405953</v>
      </c>
      <c r="L1169" s="4"/>
      <c r="M1169" s="4"/>
      <c r="N1169" s="4"/>
      <c r="O1169" s="4"/>
      <c r="P1169" s="4"/>
      <c r="Q1169" s="4"/>
      <c r="R1169" s="4"/>
      <c r="S1169" s="4"/>
      <c r="T1169" s="4"/>
      <c r="U1169" s="4"/>
      <c r="V1169" s="4"/>
      <c r="W1169" s="4"/>
    </row>
    <row r="1170" ht="15.75" customHeight="1">
      <c r="A1170" s="13">
        <f t="shared" si="9"/>
        <v>1167</v>
      </c>
      <c r="B1170" s="18">
        <f>A1170/'Orbit Info'!$G$10</f>
        <v>12.33439547</v>
      </c>
      <c r="C1170" s="13">
        <f t="shared" si="2"/>
        <v>0</v>
      </c>
      <c r="D1170" s="13">
        <f t="shared" si="3"/>
        <v>1</v>
      </c>
      <c r="E1170" s="13">
        <f t="shared" si="4"/>
        <v>0</v>
      </c>
      <c r="F1170" s="13">
        <f t="shared" si="5"/>
        <v>0</v>
      </c>
      <c r="G1170" s="13">
        <f t="shared" si="6"/>
        <v>1</v>
      </c>
      <c r="H1170" s="13">
        <f>'Orbit Info'!C1169*((C1170*$O$2)+(D1170*$O$3)+(E1170*$O$4)+(F1170*$O$5))</f>
        <v>15.628032</v>
      </c>
      <c r="I1170" s="13">
        <f t="shared" si="7"/>
        <v>8.62426</v>
      </c>
      <c r="J1170" s="18">
        <f t="shared" si="8"/>
        <v>0.1167295333</v>
      </c>
      <c r="K1170" s="18">
        <f t="shared" si="10"/>
        <v>86.76078907</v>
      </c>
      <c r="L1170" s="4"/>
      <c r="M1170" s="4"/>
      <c r="N1170" s="4"/>
      <c r="O1170" s="4"/>
      <c r="P1170" s="4"/>
      <c r="Q1170" s="4"/>
      <c r="R1170" s="4"/>
      <c r="S1170" s="4"/>
      <c r="T1170" s="4"/>
      <c r="U1170" s="4"/>
      <c r="V1170" s="4"/>
      <c r="W1170" s="4"/>
    </row>
    <row r="1171" ht="15.75" customHeight="1">
      <c r="A1171" s="13">
        <f t="shared" si="9"/>
        <v>1168</v>
      </c>
      <c r="B1171" s="18">
        <f>A1171/'Orbit Info'!$G$10</f>
        <v>12.34496479</v>
      </c>
      <c r="C1171" s="13">
        <f t="shared" si="2"/>
        <v>0</v>
      </c>
      <c r="D1171" s="13">
        <f t="shared" si="3"/>
        <v>1</v>
      </c>
      <c r="E1171" s="13">
        <f t="shared" si="4"/>
        <v>0</v>
      </c>
      <c r="F1171" s="13">
        <f t="shared" si="5"/>
        <v>0</v>
      </c>
      <c r="G1171" s="13">
        <f t="shared" si="6"/>
        <v>1</v>
      </c>
      <c r="H1171" s="13">
        <f>'Orbit Info'!C1170*((C1171*$O$2)+(D1171*$O$3)+(E1171*$O$4)+(F1171*$O$5))</f>
        <v>15.628032</v>
      </c>
      <c r="I1171" s="13">
        <f t="shared" si="7"/>
        <v>8.62426</v>
      </c>
      <c r="J1171" s="18">
        <f t="shared" si="8"/>
        <v>0.1167295333</v>
      </c>
      <c r="K1171" s="18">
        <f t="shared" si="10"/>
        <v>86.8775186</v>
      </c>
      <c r="L1171" s="4"/>
      <c r="M1171" s="4"/>
      <c r="N1171" s="4"/>
      <c r="O1171" s="4"/>
      <c r="P1171" s="4"/>
      <c r="Q1171" s="4"/>
      <c r="R1171" s="4"/>
      <c r="S1171" s="4"/>
      <c r="T1171" s="4"/>
      <c r="U1171" s="4"/>
      <c r="V1171" s="4"/>
      <c r="W1171" s="4"/>
    </row>
    <row r="1172" ht="15.75" customHeight="1">
      <c r="A1172" s="13">
        <f t="shared" si="9"/>
        <v>1169</v>
      </c>
      <c r="B1172" s="18">
        <f>A1172/'Orbit Info'!$G$10</f>
        <v>12.3555341</v>
      </c>
      <c r="C1172" s="13">
        <f t="shared" si="2"/>
        <v>0</v>
      </c>
      <c r="D1172" s="13">
        <f t="shared" si="3"/>
        <v>1</v>
      </c>
      <c r="E1172" s="13">
        <f t="shared" si="4"/>
        <v>0</v>
      </c>
      <c r="F1172" s="13">
        <f t="shared" si="5"/>
        <v>0</v>
      </c>
      <c r="G1172" s="13">
        <f t="shared" si="6"/>
        <v>1</v>
      </c>
      <c r="H1172" s="13">
        <f>'Orbit Info'!C1171*((C1172*$O$2)+(D1172*$O$3)+(E1172*$O$4)+(F1172*$O$5))</f>
        <v>15.628032</v>
      </c>
      <c r="I1172" s="13">
        <f t="shared" si="7"/>
        <v>8.62426</v>
      </c>
      <c r="J1172" s="18">
        <f t="shared" si="8"/>
        <v>0.1167295333</v>
      </c>
      <c r="K1172" s="18">
        <f t="shared" si="10"/>
        <v>86.99424813</v>
      </c>
      <c r="L1172" s="4"/>
      <c r="M1172" s="4"/>
      <c r="N1172" s="4"/>
      <c r="O1172" s="4"/>
      <c r="P1172" s="4"/>
      <c r="Q1172" s="4"/>
      <c r="R1172" s="4"/>
      <c r="S1172" s="4"/>
      <c r="T1172" s="4"/>
      <c r="U1172" s="4"/>
      <c r="V1172" s="4"/>
      <c r="W1172" s="4"/>
    </row>
    <row r="1173" ht="15.75" customHeight="1">
      <c r="A1173" s="13">
        <f t="shared" si="9"/>
        <v>1170</v>
      </c>
      <c r="B1173" s="18">
        <f>A1173/'Orbit Info'!$G$10</f>
        <v>12.36610342</v>
      </c>
      <c r="C1173" s="13">
        <f t="shared" si="2"/>
        <v>0</v>
      </c>
      <c r="D1173" s="13">
        <f t="shared" si="3"/>
        <v>1</v>
      </c>
      <c r="E1173" s="13">
        <f t="shared" si="4"/>
        <v>0</v>
      </c>
      <c r="F1173" s="13">
        <f t="shared" si="5"/>
        <v>0</v>
      </c>
      <c r="G1173" s="13">
        <f t="shared" si="6"/>
        <v>1</v>
      </c>
      <c r="H1173" s="13">
        <f>'Orbit Info'!C1172*((C1173*$O$2)+(D1173*$O$3)+(E1173*$O$4)+(F1173*$O$5))</f>
        <v>15.628032</v>
      </c>
      <c r="I1173" s="13">
        <f t="shared" si="7"/>
        <v>8.62426</v>
      </c>
      <c r="J1173" s="18">
        <f t="shared" si="8"/>
        <v>0.1167295333</v>
      </c>
      <c r="K1173" s="18">
        <f t="shared" si="10"/>
        <v>87.11097767</v>
      </c>
      <c r="L1173" s="4"/>
      <c r="M1173" s="4"/>
      <c r="N1173" s="4"/>
      <c r="O1173" s="4"/>
      <c r="P1173" s="4"/>
      <c r="Q1173" s="4"/>
      <c r="R1173" s="4"/>
      <c r="S1173" s="4"/>
      <c r="T1173" s="4"/>
      <c r="U1173" s="4"/>
      <c r="V1173" s="4"/>
      <c r="W1173" s="4"/>
    </row>
    <row r="1174" ht="15.75" customHeight="1">
      <c r="A1174" s="13">
        <f t="shared" si="9"/>
        <v>1171</v>
      </c>
      <c r="B1174" s="18">
        <f>A1174/'Orbit Info'!$G$10</f>
        <v>12.37667274</v>
      </c>
      <c r="C1174" s="13">
        <f t="shared" si="2"/>
        <v>0</v>
      </c>
      <c r="D1174" s="13">
        <f t="shared" si="3"/>
        <v>1</v>
      </c>
      <c r="E1174" s="13">
        <f t="shared" si="4"/>
        <v>0</v>
      </c>
      <c r="F1174" s="13">
        <f t="shared" si="5"/>
        <v>0</v>
      </c>
      <c r="G1174" s="13">
        <f t="shared" si="6"/>
        <v>1</v>
      </c>
      <c r="H1174" s="13">
        <f>'Orbit Info'!C1173*((C1174*$O$2)+(D1174*$O$3)+(E1174*$O$4)+(F1174*$O$5))</f>
        <v>15.628032</v>
      </c>
      <c r="I1174" s="13">
        <f t="shared" si="7"/>
        <v>8.62426</v>
      </c>
      <c r="J1174" s="18">
        <f t="shared" si="8"/>
        <v>0.1167295333</v>
      </c>
      <c r="K1174" s="18">
        <f t="shared" si="10"/>
        <v>87.2277072</v>
      </c>
      <c r="L1174" s="4"/>
      <c r="M1174" s="4"/>
      <c r="N1174" s="4"/>
      <c r="O1174" s="4"/>
      <c r="P1174" s="4"/>
      <c r="Q1174" s="4"/>
      <c r="R1174" s="4"/>
      <c r="S1174" s="4"/>
      <c r="T1174" s="4"/>
      <c r="U1174" s="4"/>
      <c r="V1174" s="4"/>
      <c r="W1174" s="4"/>
    </row>
    <row r="1175" ht="15.75" customHeight="1">
      <c r="A1175" s="13">
        <f t="shared" si="9"/>
        <v>1172</v>
      </c>
      <c r="B1175" s="18">
        <f>A1175/'Orbit Info'!$G$10</f>
        <v>12.38724206</v>
      </c>
      <c r="C1175" s="13">
        <f t="shared" si="2"/>
        <v>0</v>
      </c>
      <c r="D1175" s="13">
        <f t="shared" si="3"/>
        <v>1</v>
      </c>
      <c r="E1175" s="13">
        <f t="shared" si="4"/>
        <v>0</v>
      </c>
      <c r="F1175" s="13">
        <f t="shared" si="5"/>
        <v>0</v>
      </c>
      <c r="G1175" s="13">
        <f t="shared" si="6"/>
        <v>1</v>
      </c>
      <c r="H1175" s="13">
        <f>'Orbit Info'!C1174*((C1175*$O$2)+(D1175*$O$3)+(E1175*$O$4)+(F1175*$O$5))</f>
        <v>15.628032</v>
      </c>
      <c r="I1175" s="13">
        <f t="shared" si="7"/>
        <v>8.62426</v>
      </c>
      <c r="J1175" s="18">
        <f t="shared" si="8"/>
        <v>0.1167295333</v>
      </c>
      <c r="K1175" s="18">
        <f t="shared" si="10"/>
        <v>87.34443673</v>
      </c>
      <c r="L1175" s="4"/>
      <c r="M1175" s="4"/>
      <c r="N1175" s="4"/>
      <c r="O1175" s="4"/>
      <c r="P1175" s="4"/>
      <c r="Q1175" s="4"/>
      <c r="R1175" s="4"/>
      <c r="S1175" s="4"/>
      <c r="T1175" s="4"/>
      <c r="U1175" s="4"/>
      <c r="V1175" s="4"/>
      <c r="W1175" s="4"/>
    </row>
    <row r="1176" ht="15.75" customHeight="1">
      <c r="A1176" s="13">
        <f t="shared" si="9"/>
        <v>1173</v>
      </c>
      <c r="B1176" s="18">
        <f>A1176/'Orbit Info'!$G$10</f>
        <v>12.39781138</v>
      </c>
      <c r="C1176" s="13">
        <f t="shared" si="2"/>
        <v>0</v>
      </c>
      <c r="D1176" s="13">
        <f t="shared" si="3"/>
        <v>1</v>
      </c>
      <c r="E1176" s="13">
        <f t="shared" si="4"/>
        <v>0</v>
      </c>
      <c r="F1176" s="13">
        <f t="shared" si="5"/>
        <v>0</v>
      </c>
      <c r="G1176" s="13">
        <f t="shared" si="6"/>
        <v>1</v>
      </c>
      <c r="H1176" s="13">
        <f>'Orbit Info'!C1175*((C1176*$O$2)+(D1176*$O$3)+(E1176*$O$4)+(F1176*$O$5))</f>
        <v>15.628032</v>
      </c>
      <c r="I1176" s="13">
        <f t="shared" si="7"/>
        <v>8.62426</v>
      </c>
      <c r="J1176" s="18">
        <f t="shared" si="8"/>
        <v>0.1167295333</v>
      </c>
      <c r="K1176" s="18">
        <f t="shared" si="10"/>
        <v>87.46116627</v>
      </c>
      <c r="L1176" s="4"/>
      <c r="M1176" s="4"/>
      <c r="N1176" s="4"/>
      <c r="O1176" s="4"/>
      <c r="P1176" s="4"/>
      <c r="Q1176" s="4"/>
      <c r="R1176" s="4"/>
      <c r="S1176" s="4"/>
      <c r="T1176" s="4"/>
      <c r="U1176" s="4"/>
      <c r="V1176" s="4"/>
      <c r="W1176" s="4"/>
    </row>
    <row r="1177" ht="15.75" customHeight="1">
      <c r="A1177" s="13">
        <f t="shared" si="9"/>
        <v>1174</v>
      </c>
      <c r="B1177" s="18">
        <f>A1177/'Orbit Info'!$G$10</f>
        <v>12.4083807</v>
      </c>
      <c r="C1177" s="13">
        <f t="shared" si="2"/>
        <v>0</v>
      </c>
      <c r="D1177" s="13">
        <f t="shared" si="3"/>
        <v>1</v>
      </c>
      <c r="E1177" s="13">
        <f t="shared" si="4"/>
        <v>0</v>
      </c>
      <c r="F1177" s="13">
        <f t="shared" si="5"/>
        <v>0</v>
      </c>
      <c r="G1177" s="13">
        <f t="shared" si="6"/>
        <v>1</v>
      </c>
      <c r="H1177" s="13">
        <f>'Orbit Info'!C1176*((C1177*$O$2)+(D1177*$O$3)+(E1177*$O$4)+(F1177*$O$5))</f>
        <v>15.628032</v>
      </c>
      <c r="I1177" s="13">
        <f t="shared" si="7"/>
        <v>8.62426</v>
      </c>
      <c r="J1177" s="18">
        <f t="shared" si="8"/>
        <v>0.1167295333</v>
      </c>
      <c r="K1177" s="18">
        <f t="shared" si="10"/>
        <v>87.5778958</v>
      </c>
      <c r="L1177" s="4"/>
      <c r="M1177" s="4"/>
      <c r="N1177" s="4"/>
      <c r="O1177" s="4"/>
      <c r="P1177" s="4"/>
      <c r="Q1177" s="4"/>
      <c r="R1177" s="4"/>
      <c r="S1177" s="4"/>
      <c r="T1177" s="4"/>
      <c r="U1177" s="4"/>
      <c r="V1177" s="4"/>
      <c r="W1177" s="4"/>
    </row>
    <row r="1178" ht="15.75" customHeight="1">
      <c r="A1178" s="13">
        <f t="shared" si="9"/>
        <v>1175</v>
      </c>
      <c r="B1178" s="18">
        <f>A1178/'Orbit Info'!$G$10</f>
        <v>12.41895002</v>
      </c>
      <c r="C1178" s="13">
        <f t="shared" si="2"/>
        <v>0</v>
      </c>
      <c r="D1178" s="13">
        <f t="shared" si="3"/>
        <v>1</v>
      </c>
      <c r="E1178" s="13">
        <f t="shared" si="4"/>
        <v>0</v>
      </c>
      <c r="F1178" s="13">
        <f t="shared" si="5"/>
        <v>0</v>
      </c>
      <c r="G1178" s="13">
        <f t="shared" si="6"/>
        <v>1</v>
      </c>
      <c r="H1178" s="13">
        <f>'Orbit Info'!C1177*((C1178*$O$2)+(D1178*$O$3)+(E1178*$O$4)+(F1178*$O$5))</f>
        <v>15.628032</v>
      </c>
      <c r="I1178" s="13">
        <f t="shared" si="7"/>
        <v>8.62426</v>
      </c>
      <c r="J1178" s="18">
        <f t="shared" si="8"/>
        <v>0.1167295333</v>
      </c>
      <c r="K1178" s="18">
        <f t="shared" si="10"/>
        <v>87.69462533</v>
      </c>
      <c r="L1178" s="4"/>
      <c r="M1178" s="4"/>
      <c r="N1178" s="4"/>
      <c r="O1178" s="4"/>
      <c r="P1178" s="4"/>
      <c r="Q1178" s="4"/>
      <c r="R1178" s="4"/>
      <c r="S1178" s="4"/>
      <c r="T1178" s="4"/>
      <c r="U1178" s="4"/>
      <c r="V1178" s="4"/>
      <c r="W1178" s="4"/>
    </row>
    <row r="1179" ht="15.75" customHeight="1">
      <c r="A1179" s="13">
        <f t="shared" si="9"/>
        <v>1176</v>
      </c>
      <c r="B1179" s="18">
        <f>A1179/'Orbit Info'!$G$10</f>
        <v>12.42951934</v>
      </c>
      <c r="C1179" s="13">
        <f t="shared" si="2"/>
        <v>0</v>
      </c>
      <c r="D1179" s="13">
        <f t="shared" si="3"/>
        <v>1</v>
      </c>
      <c r="E1179" s="13">
        <f t="shared" si="4"/>
        <v>0</v>
      </c>
      <c r="F1179" s="13">
        <f t="shared" si="5"/>
        <v>0</v>
      </c>
      <c r="G1179" s="13">
        <f t="shared" si="6"/>
        <v>1</v>
      </c>
      <c r="H1179" s="13">
        <f>'Orbit Info'!C1178*((C1179*$O$2)+(D1179*$O$3)+(E1179*$O$4)+(F1179*$O$5))</f>
        <v>15.628032</v>
      </c>
      <c r="I1179" s="13">
        <f t="shared" si="7"/>
        <v>8.62426</v>
      </c>
      <c r="J1179" s="18">
        <f t="shared" si="8"/>
        <v>0.1167295333</v>
      </c>
      <c r="K1179" s="18">
        <f t="shared" si="10"/>
        <v>87.81135487</v>
      </c>
      <c r="L1179" s="4"/>
      <c r="M1179" s="4"/>
      <c r="N1179" s="4"/>
      <c r="O1179" s="4"/>
      <c r="P1179" s="4"/>
      <c r="Q1179" s="4"/>
      <c r="R1179" s="4"/>
      <c r="S1179" s="4"/>
      <c r="T1179" s="4"/>
      <c r="U1179" s="4"/>
      <c r="V1179" s="4"/>
      <c r="W1179" s="4"/>
    </row>
    <row r="1180" ht="15.75" customHeight="1">
      <c r="A1180" s="13">
        <f t="shared" si="9"/>
        <v>1177</v>
      </c>
      <c r="B1180" s="18">
        <f>A1180/'Orbit Info'!$G$10</f>
        <v>12.44008866</v>
      </c>
      <c r="C1180" s="13">
        <f t="shared" si="2"/>
        <v>0</v>
      </c>
      <c r="D1180" s="13">
        <f t="shared" si="3"/>
        <v>1</v>
      </c>
      <c r="E1180" s="13">
        <f t="shared" si="4"/>
        <v>0</v>
      </c>
      <c r="F1180" s="13">
        <f t="shared" si="5"/>
        <v>0</v>
      </c>
      <c r="G1180" s="13">
        <f t="shared" si="6"/>
        <v>1</v>
      </c>
      <c r="H1180" s="13">
        <f>'Orbit Info'!C1179*((C1180*$O$2)+(D1180*$O$3)+(E1180*$O$4)+(F1180*$O$5))</f>
        <v>15.628032</v>
      </c>
      <c r="I1180" s="13">
        <f t="shared" si="7"/>
        <v>8.62426</v>
      </c>
      <c r="J1180" s="18">
        <f t="shared" si="8"/>
        <v>0.1167295333</v>
      </c>
      <c r="K1180" s="18">
        <f t="shared" si="10"/>
        <v>87.9280844</v>
      </c>
      <c r="L1180" s="4"/>
      <c r="M1180" s="4"/>
      <c r="N1180" s="4"/>
      <c r="O1180" s="4"/>
      <c r="P1180" s="4"/>
      <c r="Q1180" s="4"/>
      <c r="R1180" s="4"/>
      <c r="S1180" s="4"/>
      <c r="T1180" s="4"/>
      <c r="U1180" s="4"/>
      <c r="V1180" s="4"/>
      <c r="W1180" s="4"/>
    </row>
    <row r="1181" ht="15.75" customHeight="1">
      <c r="A1181" s="13">
        <f t="shared" si="9"/>
        <v>1178</v>
      </c>
      <c r="B1181" s="18">
        <f>A1181/'Orbit Info'!$G$10</f>
        <v>12.45065798</v>
      </c>
      <c r="C1181" s="13">
        <f t="shared" si="2"/>
        <v>0</v>
      </c>
      <c r="D1181" s="13">
        <f t="shared" si="3"/>
        <v>1</v>
      </c>
      <c r="E1181" s="13">
        <f t="shared" si="4"/>
        <v>0</v>
      </c>
      <c r="F1181" s="13">
        <f t="shared" si="5"/>
        <v>0</v>
      </c>
      <c r="G1181" s="13">
        <f t="shared" si="6"/>
        <v>1</v>
      </c>
      <c r="H1181" s="13">
        <f>'Orbit Info'!C1180*((C1181*$O$2)+(D1181*$O$3)+(E1181*$O$4)+(F1181*$O$5))</f>
        <v>15.628032</v>
      </c>
      <c r="I1181" s="13">
        <f t="shared" si="7"/>
        <v>8.62426</v>
      </c>
      <c r="J1181" s="18">
        <f t="shared" si="8"/>
        <v>0.1167295333</v>
      </c>
      <c r="K1181" s="18">
        <f t="shared" si="10"/>
        <v>88.04481393</v>
      </c>
      <c r="L1181" s="4"/>
      <c r="M1181" s="4"/>
      <c r="N1181" s="4"/>
      <c r="O1181" s="4"/>
      <c r="P1181" s="4"/>
      <c r="Q1181" s="4"/>
      <c r="R1181" s="4"/>
      <c r="S1181" s="4"/>
      <c r="T1181" s="4"/>
      <c r="U1181" s="4"/>
      <c r="V1181" s="4"/>
      <c r="W1181" s="4"/>
    </row>
    <row r="1182" ht="15.75" customHeight="1">
      <c r="A1182" s="13">
        <f t="shared" si="9"/>
        <v>1179</v>
      </c>
      <c r="B1182" s="18">
        <f>A1182/'Orbit Info'!$G$10</f>
        <v>12.4612273</v>
      </c>
      <c r="C1182" s="13">
        <f t="shared" si="2"/>
        <v>0</v>
      </c>
      <c r="D1182" s="13">
        <f t="shared" si="3"/>
        <v>1</v>
      </c>
      <c r="E1182" s="13">
        <f t="shared" si="4"/>
        <v>0</v>
      </c>
      <c r="F1182" s="13">
        <f t="shared" si="5"/>
        <v>0</v>
      </c>
      <c r="G1182" s="13">
        <f t="shared" si="6"/>
        <v>1</v>
      </c>
      <c r="H1182" s="13">
        <f>'Orbit Info'!C1181*((C1182*$O$2)+(D1182*$O$3)+(E1182*$O$4)+(F1182*$O$5))</f>
        <v>15.628032</v>
      </c>
      <c r="I1182" s="13">
        <f t="shared" si="7"/>
        <v>8.62426</v>
      </c>
      <c r="J1182" s="18">
        <f t="shared" si="8"/>
        <v>0.1167295333</v>
      </c>
      <c r="K1182" s="18">
        <f t="shared" si="10"/>
        <v>88.16154347</v>
      </c>
      <c r="L1182" s="4"/>
      <c r="M1182" s="4"/>
      <c r="N1182" s="4"/>
      <c r="O1182" s="4"/>
      <c r="P1182" s="4"/>
      <c r="Q1182" s="4"/>
      <c r="R1182" s="4"/>
      <c r="S1182" s="4"/>
      <c r="T1182" s="4"/>
      <c r="U1182" s="4"/>
      <c r="V1182" s="4"/>
      <c r="W1182" s="4"/>
    </row>
    <row r="1183" ht="15.75" customHeight="1">
      <c r="A1183" s="13">
        <f t="shared" si="9"/>
        <v>1180</v>
      </c>
      <c r="B1183" s="18">
        <f>A1183/'Orbit Info'!$G$10</f>
        <v>12.47179662</v>
      </c>
      <c r="C1183" s="13">
        <f t="shared" si="2"/>
        <v>0</v>
      </c>
      <c r="D1183" s="13">
        <f t="shared" si="3"/>
        <v>1</v>
      </c>
      <c r="E1183" s="13">
        <f t="shared" si="4"/>
        <v>0</v>
      </c>
      <c r="F1183" s="13">
        <f t="shared" si="5"/>
        <v>0</v>
      </c>
      <c r="G1183" s="13">
        <f t="shared" si="6"/>
        <v>1</v>
      </c>
      <c r="H1183" s="13">
        <f>'Orbit Info'!C1182*((C1183*$O$2)+(D1183*$O$3)+(E1183*$O$4)+(F1183*$O$5))</f>
        <v>15.628032</v>
      </c>
      <c r="I1183" s="13">
        <f t="shared" si="7"/>
        <v>8.62426</v>
      </c>
      <c r="J1183" s="18">
        <f t="shared" si="8"/>
        <v>0.1167295333</v>
      </c>
      <c r="K1183" s="18">
        <f t="shared" si="10"/>
        <v>88.2</v>
      </c>
      <c r="L1183" s="4"/>
      <c r="M1183" s="4"/>
      <c r="N1183" s="4"/>
      <c r="O1183" s="4"/>
      <c r="P1183" s="4"/>
      <c r="Q1183" s="4"/>
      <c r="R1183" s="4"/>
      <c r="S1183" s="4"/>
      <c r="T1183" s="4"/>
      <c r="U1183" s="4"/>
      <c r="V1183" s="4"/>
      <c r="W1183" s="4"/>
    </row>
    <row r="1184" ht="15.75" customHeight="1">
      <c r="A1184" s="13">
        <f t="shared" si="9"/>
        <v>1181</v>
      </c>
      <c r="B1184" s="18">
        <f>A1184/'Orbit Info'!$G$10</f>
        <v>12.48236593</v>
      </c>
      <c r="C1184" s="13">
        <f t="shared" si="2"/>
        <v>0</v>
      </c>
      <c r="D1184" s="13">
        <f t="shared" si="3"/>
        <v>1</v>
      </c>
      <c r="E1184" s="13">
        <f t="shared" si="4"/>
        <v>0</v>
      </c>
      <c r="F1184" s="13">
        <f t="shared" si="5"/>
        <v>0</v>
      </c>
      <c r="G1184" s="13">
        <f t="shared" si="6"/>
        <v>1</v>
      </c>
      <c r="H1184" s="13">
        <f>'Orbit Info'!C1183*((C1184*$O$2)+(D1184*$O$3)+(E1184*$O$4)+(F1184*$O$5))</f>
        <v>15.628032</v>
      </c>
      <c r="I1184" s="13">
        <f t="shared" si="7"/>
        <v>8.62426</v>
      </c>
      <c r="J1184" s="18">
        <f t="shared" si="8"/>
        <v>0.1167295333</v>
      </c>
      <c r="K1184" s="18">
        <f t="shared" si="10"/>
        <v>88.2</v>
      </c>
      <c r="L1184" s="4"/>
      <c r="M1184" s="4"/>
      <c r="N1184" s="4"/>
      <c r="O1184" s="4"/>
      <c r="P1184" s="4"/>
      <c r="Q1184" s="4"/>
      <c r="R1184" s="4"/>
      <c r="S1184" s="4"/>
      <c r="T1184" s="4"/>
      <c r="U1184" s="4"/>
      <c r="V1184" s="4"/>
      <c r="W1184" s="4"/>
    </row>
    <row r="1185" ht="15.75" customHeight="1">
      <c r="A1185" s="13">
        <f t="shared" si="9"/>
        <v>1182</v>
      </c>
      <c r="B1185" s="18">
        <f>A1185/'Orbit Info'!$G$10</f>
        <v>12.49293525</v>
      </c>
      <c r="C1185" s="13">
        <f t="shared" si="2"/>
        <v>0</v>
      </c>
      <c r="D1185" s="13">
        <f t="shared" si="3"/>
        <v>1</v>
      </c>
      <c r="E1185" s="13">
        <f t="shared" si="4"/>
        <v>0</v>
      </c>
      <c r="F1185" s="13">
        <f t="shared" si="5"/>
        <v>0</v>
      </c>
      <c r="G1185" s="13">
        <f t="shared" si="6"/>
        <v>1</v>
      </c>
      <c r="H1185" s="13">
        <f>'Orbit Info'!C1184*((C1185*$O$2)+(D1185*$O$3)+(E1185*$O$4)+(F1185*$O$5))</f>
        <v>15.628032</v>
      </c>
      <c r="I1185" s="13">
        <f t="shared" si="7"/>
        <v>8.62426</v>
      </c>
      <c r="J1185" s="18">
        <f t="shared" si="8"/>
        <v>0.1167295333</v>
      </c>
      <c r="K1185" s="18">
        <f t="shared" si="10"/>
        <v>88.2</v>
      </c>
      <c r="L1185" s="4"/>
      <c r="M1185" s="4"/>
      <c r="N1185" s="4"/>
      <c r="O1185" s="4"/>
      <c r="P1185" s="4"/>
      <c r="Q1185" s="4"/>
      <c r="R1185" s="4"/>
      <c r="S1185" s="4"/>
      <c r="T1185" s="4"/>
      <c r="U1185" s="4"/>
      <c r="V1185" s="4"/>
      <c r="W1185" s="4"/>
    </row>
    <row r="1186" ht="15.75" customHeight="1">
      <c r="A1186" s="13">
        <f t="shared" si="9"/>
        <v>1183</v>
      </c>
      <c r="B1186" s="18">
        <f>A1186/'Orbit Info'!$G$10</f>
        <v>12.50350457</v>
      </c>
      <c r="C1186" s="13">
        <f t="shared" si="2"/>
        <v>0</v>
      </c>
      <c r="D1186" s="13">
        <f t="shared" si="3"/>
        <v>1</v>
      </c>
      <c r="E1186" s="13">
        <f t="shared" si="4"/>
        <v>0</v>
      </c>
      <c r="F1186" s="13">
        <f t="shared" si="5"/>
        <v>0</v>
      </c>
      <c r="G1186" s="13">
        <f t="shared" si="6"/>
        <v>1</v>
      </c>
      <c r="H1186" s="13">
        <f>'Orbit Info'!C1185*((C1186*$O$2)+(D1186*$O$3)+(E1186*$O$4)+(F1186*$O$5))</f>
        <v>15.628032</v>
      </c>
      <c r="I1186" s="13">
        <f t="shared" si="7"/>
        <v>8.62426</v>
      </c>
      <c r="J1186" s="18">
        <f t="shared" si="8"/>
        <v>0.1167295333</v>
      </c>
      <c r="K1186" s="18">
        <f t="shared" si="10"/>
        <v>88.2</v>
      </c>
      <c r="L1186" s="4"/>
      <c r="M1186" s="4"/>
      <c r="N1186" s="4"/>
      <c r="O1186" s="4"/>
      <c r="P1186" s="4"/>
      <c r="Q1186" s="4"/>
      <c r="R1186" s="4"/>
      <c r="S1186" s="4"/>
      <c r="T1186" s="4"/>
      <c r="U1186" s="4"/>
      <c r="V1186" s="4"/>
      <c r="W1186" s="4"/>
    </row>
    <row r="1187" ht="15.75" customHeight="1">
      <c r="A1187" s="13">
        <f t="shared" si="9"/>
        <v>1184</v>
      </c>
      <c r="B1187" s="18">
        <f>A1187/'Orbit Info'!$G$10</f>
        <v>12.51407389</v>
      </c>
      <c r="C1187" s="13">
        <f t="shared" si="2"/>
        <v>0</v>
      </c>
      <c r="D1187" s="13">
        <f t="shared" si="3"/>
        <v>1</v>
      </c>
      <c r="E1187" s="13">
        <f t="shared" si="4"/>
        <v>0</v>
      </c>
      <c r="F1187" s="13">
        <f t="shared" si="5"/>
        <v>0</v>
      </c>
      <c r="G1187" s="13">
        <f t="shared" si="6"/>
        <v>1</v>
      </c>
      <c r="H1187" s="13">
        <f>'Orbit Info'!C1186*((C1187*$O$2)+(D1187*$O$3)+(E1187*$O$4)+(F1187*$O$5))</f>
        <v>15.628032</v>
      </c>
      <c r="I1187" s="13">
        <f t="shared" si="7"/>
        <v>8.62426</v>
      </c>
      <c r="J1187" s="18">
        <f t="shared" si="8"/>
        <v>0.1167295333</v>
      </c>
      <c r="K1187" s="18">
        <f t="shared" si="10"/>
        <v>88.2</v>
      </c>
      <c r="L1187" s="4"/>
      <c r="M1187" s="4"/>
      <c r="N1187" s="4"/>
      <c r="O1187" s="4"/>
      <c r="P1187" s="4"/>
      <c r="Q1187" s="4"/>
      <c r="R1187" s="4"/>
      <c r="S1187" s="4"/>
      <c r="T1187" s="4"/>
      <c r="U1187" s="4"/>
      <c r="V1187" s="4"/>
      <c r="W1187" s="4"/>
    </row>
    <row r="1188" ht="15.75" customHeight="1">
      <c r="A1188" s="13">
        <f t="shared" si="9"/>
        <v>1185</v>
      </c>
      <c r="B1188" s="18">
        <f>A1188/'Orbit Info'!$G$10</f>
        <v>12.52464321</v>
      </c>
      <c r="C1188" s="13">
        <f t="shared" si="2"/>
        <v>0</v>
      </c>
      <c r="D1188" s="13">
        <f t="shared" si="3"/>
        <v>1</v>
      </c>
      <c r="E1188" s="13">
        <f t="shared" si="4"/>
        <v>0</v>
      </c>
      <c r="F1188" s="13">
        <f t="shared" si="5"/>
        <v>0</v>
      </c>
      <c r="G1188" s="13">
        <f t="shared" si="6"/>
        <v>1</v>
      </c>
      <c r="H1188" s="13">
        <f>'Orbit Info'!C1187*((C1188*$O$2)+(D1188*$O$3)+(E1188*$O$4)+(F1188*$O$5))</f>
        <v>15.628032</v>
      </c>
      <c r="I1188" s="13">
        <f t="shared" si="7"/>
        <v>8.62426</v>
      </c>
      <c r="J1188" s="18">
        <f t="shared" si="8"/>
        <v>0.1167295333</v>
      </c>
      <c r="K1188" s="18">
        <f t="shared" si="10"/>
        <v>88.2</v>
      </c>
      <c r="L1188" s="4"/>
      <c r="M1188" s="4"/>
      <c r="N1188" s="4"/>
      <c r="O1188" s="4"/>
      <c r="P1188" s="4"/>
      <c r="Q1188" s="4"/>
      <c r="R1188" s="4"/>
      <c r="S1188" s="4"/>
      <c r="T1188" s="4"/>
      <c r="U1188" s="4"/>
      <c r="V1188" s="4"/>
      <c r="W1188" s="4"/>
    </row>
    <row r="1189" ht="15.75" customHeight="1">
      <c r="A1189" s="13">
        <f t="shared" si="9"/>
        <v>1186</v>
      </c>
      <c r="B1189" s="18">
        <f>A1189/'Orbit Info'!$G$10</f>
        <v>12.53521253</v>
      </c>
      <c r="C1189" s="13">
        <f t="shared" si="2"/>
        <v>0</v>
      </c>
      <c r="D1189" s="13">
        <f t="shared" si="3"/>
        <v>1</v>
      </c>
      <c r="E1189" s="13">
        <f t="shared" si="4"/>
        <v>0</v>
      </c>
      <c r="F1189" s="13">
        <f t="shared" si="5"/>
        <v>0</v>
      </c>
      <c r="G1189" s="13">
        <f t="shared" si="6"/>
        <v>1</v>
      </c>
      <c r="H1189" s="13">
        <f>'Orbit Info'!C1188*((C1189*$O$2)+(D1189*$O$3)+(E1189*$O$4)+(F1189*$O$5))</f>
        <v>15.628032</v>
      </c>
      <c r="I1189" s="13">
        <f t="shared" si="7"/>
        <v>8.62426</v>
      </c>
      <c r="J1189" s="18">
        <f t="shared" si="8"/>
        <v>0.1167295333</v>
      </c>
      <c r="K1189" s="18">
        <f t="shared" si="10"/>
        <v>88.2</v>
      </c>
      <c r="L1189" s="4"/>
      <c r="M1189" s="4"/>
      <c r="N1189" s="4"/>
      <c r="O1189" s="4"/>
      <c r="P1189" s="4"/>
      <c r="Q1189" s="4"/>
      <c r="R1189" s="4"/>
      <c r="S1189" s="4"/>
      <c r="T1189" s="4"/>
      <c r="U1189" s="4"/>
      <c r="V1189" s="4"/>
      <c r="W1189" s="4"/>
    </row>
    <row r="1190" ht="15.75" customHeight="1">
      <c r="A1190" s="13">
        <f t="shared" si="9"/>
        <v>1187</v>
      </c>
      <c r="B1190" s="18">
        <f>A1190/'Orbit Info'!$G$10</f>
        <v>12.54578185</v>
      </c>
      <c r="C1190" s="13">
        <f t="shared" si="2"/>
        <v>0</v>
      </c>
      <c r="D1190" s="13">
        <f t="shared" si="3"/>
        <v>1</v>
      </c>
      <c r="E1190" s="13">
        <f t="shared" si="4"/>
        <v>0</v>
      </c>
      <c r="F1190" s="13">
        <f t="shared" si="5"/>
        <v>0</v>
      </c>
      <c r="G1190" s="13">
        <f t="shared" si="6"/>
        <v>1</v>
      </c>
      <c r="H1190" s="13">
        <f>'Orbit Info'!C1189*((C1190*$O$2)+(D1190*$O$3)+(E1190*$O$4)+(F1190*$O$5))</f>
        <v>15.628032</v>
      </c>
      <c r="I1190" s="13">
        <f t="shared" si="7"/>
        <v>8.62426</v>
      </c>
      <c r="J1190" s="18">
        <f t="shared" si="8"/>
        <v>0.1167295333</v>
      </c>
      <c r="K1190" s="18">
        <f t="shared" si="10"/>
        <v>88.2</v>
      </c>
      <c r="L1190" s="4"/>
      <c r="M1190" s="4"/>
      <c r="N1190" s="4"/>
      <c r="O1190" s="4"/>
      <c r="P1190" s="4"/>
      <c r="Q1190" s="4"/>
      <c r="R1190" s="4"/>
      <c r="S1190" s="4"/>
      <c r="T1190" s="4"/>
      <c r="U1190" s="4"/>
      <c r="V1190" s="4"/>
      <c r="W1190" s="4"/>
    </row>
    <row r="1191" ht="15.75" customHeight="1">
      <c r="A1191" s="13">
        <f t="shared" si="9"/>
        <v>1188</v>
      </c>
      <c r="B1191" s="18">
        <f>A1191/'Orbit Info'!$G$10</f>
        <v>12.55635117</v>
      </c>
      <c r="C1191" s="13">
        <f t="shared" si="2"/>
        <v>0</v>
      </c>
      <c r="D1191" s="13">
        <f t="shared" si="3"/>
        <v>1</v>
      </c>
      <c r="E1191" s="13">
        <f t="shared" si="4"/>
        <v>0</v>
      </c>
      <c r="F1191" s="13">
        <f t="shared" si="5"/>
        <v>0</v>
      </c>
      <c r="G1191" s="13">
        <f t="shared" si="6"/>
        <v>1</v>
      </c>
      <c r="H1191" s="13">
        <f>'Orbit Info'!C1190*((C1191*$O$2)+(D1191*$O$3)+(E1191*$O$4)+(F1191*$O$5))</f>
        <v>15.628032</v>
      </c>
      <c r="I1191" s="13">
        <f t="shared" si="7"/>
        <v>8.62426</v>
      </c>
      <c r="J1191" s="18">
        <f t="shared" si="8"/>
        <v>0.1167295333</v>
      </c>
      <c r="K1191" s="18">
        <f t="shared" si="10"/>
        <v>88.2</v>
      </c>
      <c r="L1191" s="4"/>
      <c r="M1191" s="4"/>
      <c r="N1191" s="4"/>
      <c r="O1191" s="4"/>
      <c r="P1191" s="4"/>
      <c r="Q1191" s="4"/>
      <c r="R1191" s="4"/>
      <c r="S1191" s="4"/>
      <c r="T1191" s="4"/>
      <c r="U1191" s="4"/>
      <c r="V1191" s="4"/>
      <c r="W1191" s="4"/>
    </row>
    <row r="1192" ht="15.75" customHeight="1">
      <c r="A1192" s="13">
        <f t="shared" si="9"/>
        <v>1189</v>
      </c>
      <c r="B1192" s="18">
        <f>A1192/'Orbit Info'!$G$10</f>
        <v>12.56692049</v>
      </c>
      <c r="C1192" s="13">
        <f t="shared" si="2"/>
        <v>0</v>
      </c>
      <c r="D1192" s="13">
        <f t="shared" si="3"/>
        <v>1</v>
      </c>
      <c r="E1192" s="13">
        <f t="shared" si="4"/>
        <v>0</v>
      </c>
      <c r="F1192" s="13">
        <f t="shared" si="5"/>
        <v>0</v>
      </c>
      <c r="G1192" s="13">
        <f t="shared" si="6"/>
        <v>1</v>
      </c>
      <c r="H1192" s="13">
        <f>'Orbit Info'!C1191*((C1192*$O$2)+(D1192*$O$3)+(E1192*$O$4)+(F1192*$O$5))</f>
        <v>15.628032</v>
      </c>
      <c r="I1192" s="13">
        <f t="shared" si="7"/>
        <v>8.62426</v>
      </c>
      <c r="J1192" s="18">
        <f t="shared" si="8"/>
        <v>0.1167295333</v>
      </c>
      <c r="K1192" s="18">
        <f t="shared" si="10"/>
        <v>88.2</v>
      </c>
      <c r="L1192" s="4"/>
      <c r="M1192" s="4"/>
      <c r="N1192" s="4"/>
      <c r="O1192" s="4"/>
      <c r="P1192" s="4"/>
      <c r="Q1192" s="4"/>
      <c r="R1192" s="4"/>
      <c r="S1192" s="4"/>
      <c r="T1192" s="4"/>
      <c r="U1192" s="4"/>
      <c r="V1192" s="4"/>
      <c r="W1192" s="4"/>
    </row>
    <row r="1193" ht="15.75" customHeight="1">
      <c r="A1193" s="13">
        <f t="shared" si="9"/>
        <v>1190</v>
      </c>
      <c r="B1193" s="18">
        <f>A1193/'Orbit Info'!$G$10</f>
        <v>12.57748981</v>
      </c>
      <c r="C1193" s="13">
        <f t="shared" si="2"/>
        <v>0</v>
      </c>
      <c r="D1193" s="13">
        <f t="shared" si="3"/>
        <v>1</v>
      </c>
      <c r="E1193" s="13">
        <f t="shared" si="4"/>
        <v>0</v>
      </c>
      <c r="F1193" s="13">
        <f t="shared" si="5"/>
        <v>0</v>
      </c>
      <c r="G1193" s="13">
        <f t="shared" si="6"/>
        <v>1</v>
      </c>
      <c r="H1193" s="13">
        <f>'Orbit Info'!C1192*((C1193*$O$2)+(D1193*$O$3)+(E1193*$O$4)+(F1193*$O$5))</f>
        <v>15.628032</v>
      </c>
      <c r="I1193" s="13">
        <f t="shared" si="7"/>
        <v>8.62426</v>
      </c>
      <c r="J1193" s="18">
        <f t="shared" si="8"/>
        <v>0.1167295333</v>
      </c>
      <c r="K1193" s="18">
        <f t="shared" si="10"/>
        <v>88.2</v>
      </c>
      <c r="L1193" s="4"/>
      <c r="M1193" s="4"/>
      <c r="N1193" s="4"/>
      <c r="O1193" s="4"/>
      <c r="P1193" s="4"/>
      <c r="Q1193" s="4"/>
      <c r="R1193" s="4"/>
      <c r="S1193" s="4"/>
      <c r="T1193" s="4"/>
      <c r="U1193" s="4"/>
      <c r="V1193" s="4"/>
      <c r="W1193" s="4"/>
    </row>
    <row r="1194" ht="15.75" customHeight="1">
      <c r="A1194" s="13">
        <f t="shared" si="9"/>
        <v>1191</v>
      </c>
      <c r="B1194" s="18">
        <f>A1194/'Orbit Info'!$G$10</f>
        <v>12.58805913</v>
      </c>
      <c r="C1194" s="13">
        <f t="shared" si="2"/>
        <v>0</v>
      </c>
      <c r="D1194" s="13">
        <f t="shared" si="3"/>
        <v>1</v>
      </c>
      <c r="E1194" s="13">
        <f t="shared" si="4"/>
        <v>0</v>
      </c>
      <c r="F1194" s="13">
        <f t="shared" si="5"/>
        <v>0</v>
      </c>
      <c r="G1194" s="13">
        <f t="shared" si="6"/>
        <v>1</v>
      </c>
      <c r="H1194" s="13">
        <f>'Orbit Info'!C1193*((C1194*$O$2)+(D1194*$O$3)+(E1194*$O$4)+(F1194*$O$5))</f>
        <v>15.628032</v>
      </c>
      <c r="I1194" s="13">
        <f t="shared" si="7"/>
        <v>8.62426</v>
      </c>
      <c r="J1194" s="18">
        <f t="shared" si="8"/>
        <v>0.1167295333</v>
      </c>
      <c r="K1194" s="18">
        <f t="shared" si="10"/>
        <v>88.2</v>
      </c>
      <c r="L1194" s="4"/>
      <c r="M1194" s="4"/>
      <c r="N1194" s="4"/>
      <c r="O1194" s="4"/>
      <c r="P1194" s="4"/>
      <c r="Q1194" s="4"/>
      <c r="R1194" s="4"/>
      <c r="S1194" s="4"/>
      <c r="T1194" s="4"/>
      <c r="U1194" s="4"/>
      <c r="V1194" s="4"/>
      <c r="W1194" s="4"/>
    </row>
    <row r="1195" ht="15.75" customHeight="1">
      <c r="A1195" s="13">
        <f t="shared" si="9"/>
        <v>1192</v>
      </c>
      <c r="B1195" s="18">
        <f>A1195/'Orbit Info'!$G$10</f>
        <v>12.59862845</v>
      </c>
      <c r="C1195" s="13">
        <f t="shared" si="2"/>
        <v>0</v>
      </c>
      <c r="D1195" s="13">
        <f t="shared" si="3"/>
        <v>1</v>
      </c>
      <c r="E1195" s="13">
        <f t="shared" si="4"/>
        <v>0</v>
      </c>
      <c r="F1195" s="13">
        <f t="shared" si="5"/>
        <v>0</v>
      </c>
      <c r="G1195" s="13">
        <f t="shared" si="6"/>
        <v>1</v>
      </c>
      <c r="H1195" s="13">
        <f>'Orbit Info'!C1194*((C1195*$O$2)+(D1195*$O$3)+(E1195*$O$4)+(F1195*$O$5))</f>
        <v>15.628032</v>
      </c>
      <c r="I1195" s="13">
        <f t="shared" si="7"/>
        <v>8.62426</v>
      </c>
      <c r="J1195" s="18">
        <f t="shared" si="8"/>
        <v>0.1167295333</v>
      </c>
      <c r="K1195" s="18">
        <f t="shared" si="10"/>
        <v>88.2</v>
      </c>
      <c r="L1195" s="4"/>
      <c r="M1195" s="4"/>
      <c r="N1195" s="4"/>
      <c r="O1195" s="4"/>
      <c r="P1195" s="4"/>
      <c r="Q1195" s="4"/>
      <c r="R1195" s="4"/>
      <c r="S1195" s="4"/>
      <c r="T1195" s="4"/>
      <c r="U1195" s="4"/>
      <c r="V1195" s="4"/>
      <c r="W1195" s="4"/>
    </row>
    <row r="1196" ht="15.75" customHeight="1">
      <c r="A1196" s="13">
        <f t="shared" si="9"/>
        <v>1193</v>
      </c>
      <c r="B1196" s="18">
        <f>A1196/'Orbit Info'!$G$10</f>
        <v>12.60919776</v>
      </c>
      <c r="C1196" s="13">
        <f t="shared" si="2"/>
        <v>0</v>
      </c>
      <c r="D1196" s="13">
        <f t="shared" si="3"/>
        <v>1</v>
      </c>
      <c r="E1196" s="13">
        <f t="shared" si="4"/>
        <v>0</v>
      </c>
      <c r="F1196" s="13">
        <f t="shared" si="5"/>
        <v>0</v>
      </c>
      <c r="G1196" s="13">
        <f t="shared" si="6"/>
        <v>1</v>
      </c>
      <c r="H1196" s="13">
        <f>'Orbit Info'!C1195*((C1196*$O$2)+(D1196*$O$3)+(E1196*$O$4)+(F1196*$O$5))</f>
        <v>15.628032</v>
      </c>
      <c r="I1196" s="13">
        <f t="shared" si="7"/>
        <v>8.62426</v>
      </c>
      <c r="J1196" s="18">
        <f t="shared" si="8"/>
        <v>0.1167295333</v>
      </c>
      <c r="K1196" s="18">
        <f t="shared" si="10"/>
        <v>88.2</v>
      </c>
      <c r="L1196" s="4"/>
      <c r="M1196" s="4"/>
      <c r="N1196" s="4"/>
      <c r="O1196" s="4"/>
      <c r="P1196" s="4"/>
      <c r="Q1196" s="4"/>
      <c r="R1196" s="4"/>
      <c r="S1196" s="4"/>
      <c r="T1196" s="4"/>
      <c r="U1196" s="4"/>
      <c r="V1196" s="4"/>
      <c r="W1196" s="4"/>
    </row>
    <row r="1197" ht="15.75" customHeight="1">
      <c r="A1197" s="13">
        <f t="shared" si="9"/>
        <v>1194</v>
      </c>
      <c r="B1197" s="18">
        <f>A1197/'Orbit Info'!$G$10</f>
        <v>12.61976708</v>
      </c>
      <c r="C1197" s="13">
        <f t="shared" si="2"/>
        <v>0</v>
      </c>
      <c r="D1197" s="13">
        <f t="shared" si="3"/>
        <v>1</v>
      </c>
      <c r="E1197" s="13">
        <f t="shared" si="4"/>
        <v>0</v>
      </c>
      <c r="F1197" s="13">
        <f t="shared" si="5"/>
        <v>0</v>
      </c>
      <c r="G1197" s="13">
        <f t="shared" si="6"/>
        <v>1</v>
      </c>
      <c r="H1197" s="13">
        <f>'Orbit Info'!C1196*((C1197*$O$2)+(D1197*$O$3)+(E1197*$O$4)+(F1197*$O$5))</f>
        <v>15.628032</v>
      </c>
      <c r="I1197" s="13">
        <f t="shared" si="7"/>
        <v>8.62426</v>
      </c>
      <c r="J1197" s="18">
        <f t="shared" si="8"/>
        <v>0.1167295333</v>
      </c>
      <c r="K1197" s="18">
        <f t="shared" si="10"/>
        <v>88.2</v>
      </c>
      <c r="L1197" s="4"/>
      <c r="M1197" s="4"/>
      <c r="N1197" s="4"/>
      <c r="O1197" s="4"/>
      <c r="P1197" s="4"/>
      <c r="Q1197" s="4"/>
      <c r="R1197" s="4"/>
      <c r="S1197" s="4"/>
      <c r="T1197" s="4"/>
      <c r="U1197" s="4"/>
      <c r="V1197" s="4"/>
      <c r="W1197" s="4"/>
    </row>
    <row r="1198" ht="15.75" customHeight="1">
      <c r="A1198" s="13">
        <f t="shared" si="9"/>
        <v>1195</v>
      </c>
      <c r="B1198" s="18">
        <f>A1198/'Orbit Info'!$G$10</f>
        <v>12.6303364</v>
      </c>
      <c r="C1198" s="13">
        <f t="shared" si="2"/>
        <v>0</v>
      </c>
      <c r="D1198" s="13">
        <f t="shared" si="3"/>
        <v>1</v>
      </c>
      <c r="E1198" s="13">
        <f t="shared" si="4"/>
        <v>0</v>
      </c>
      <c r="F1198" s="13">
        <f t="shared" si="5"/>
        <v>0</v>
      </c>
      <c r="G1198" s="13">
        <f t="shared" si="6"/>
        <v>1</v>
      </c>
      <c r="H1198" s="13">
        <f>'Orbit Info'!C1197*((C1198*$O$2)+(D1198*$O$3)+(E1198*$O$4)+(F1198*$O$5))</f>
        <v>0</v>
      </c>
      <c r="I1198" s="13">
        <f t="shared" si="7"/>
        <v>8.62426</v>
      </c>
      <c r="J1198" s="18">
        <f t="shared" si="8"/>
        <v>-0.1437376667</v>
      </c>
      <c r="K1198" s="18">
        <f t="shared" si="10"/>
        <v>88.05626233</v>
      </c>
      <c r="L1198" s="4"/>
      <c r="M1198" s="4"/>
      <c r="N1198" s="4"/>
      <c r="O1198" s="4"/>
      <c r="P1198" s="4"/>
      <c r="Q1198" s="4"/>
      <c r="R1198" s="4"/>
      <c r="S1198" s="4"/>
      <c r="T1198" s="4"/>
      <c r="U1198" s="4"/>
      <c r="V1198" s="4"/>
      <c r="W1198" s="4"/>
    </row>
    <row r="1199" ht="15.75" customHeight="1">
      <c r="A1199" s="13">
        <f t="shared" si="9"/>
        <v>1196</v>
      </c>
      <c r="B1199" s="18">
        <f>A1199/'Orbit Info'!$G$10</f>
        <v>12.64090572</v>
      </c>
      <c r="C1199" s="13">
        <f t="shared" si="2"/>
        <v>0</v>
      </c>
      <c r="D1199" s="13">
        <f t="shared" si="3"/>
        <v>1</v>
      </c>
      <c r="E1199" s="13">
        <f t="shared" si="4"/>
        <v>0</v>
      </c>
      <c r="F1199" s="13">
        <f t="shared" si="5"/>
        <v>0</v>
      </c>
      <c r="G1199" s="13">
        <f t="shared" si="6"/>
        <v>1</v>
      </c>
      <c r="H1199" s="13">
        <f>'Orbit Info'!C1198*((C1199*$O$2)+(D1199*$O$3)+(E1199*$O$4)+(F1199*$O$5))</f>
        <v>0</v>
      </c>
      <c r="I1199" s="13">
        <f t="shared" si="7"/>
        <v>8.62426</v>
      </c>
      <c r="J1199" s="18">
        <f t="shared" si="8"/>
        <v>-0.1437376667</v>
      </c>
      <c r="K1199" s="18">
        <f t="shared" si="10"/>
        <v>87.91252467</v>
      </c>
      <c r="L1199" s="4"/>
      <c r="M1199" s="4"/>
      <c r="N1199" s="4"/>
      <c r="O1199" s="4"/>
      <c r="P1199" s="4"/>
      <c r="Q1199" s="4"/>
      <c r="R1199" s="4"/>
      <c r="S1199" s="4"/>
      <c r="T1199" s="4"/>
      <c r="U1199" s="4"/>
      <c r="V1199" s="4"/>
      <c r="W1199" s="4"/>
    </row>
    <row r="1200" ht="15.75" customHeight="1">
      <c r="A1200" s="13">
        <f t="shared" si="9"/>
        <v>1197</v>
      </c>
      <c r="B1200" s="18">
        <f>A1200/'Orbit Info'!$G$10</f>
        <v>12.65147504</v>
      </c>
      <c r="C1200" s="13">
        <f t="shared" si="2"/>
        <v>0</v>
      </c>
      <c r="D1200" s="13">
        <f t="shared" si="3"/>
        <v>1</v>
      </c>
      <c r="E1200" s="13">
        <f t="shared" si="4"/>
        <v>0</v>
      </c>
      <c r="F1200" s="13">
        <f t="shared" si="5"/>
        <v>0</v>
      </c>
      <c r="G1200" s="13">
        <f t="shared" si="6"/>
        <v>1</v>
      </c>
      <c r="H1200" s="13">
        <f>'Orbit Info'!C1199*((C1200*$O$2)+(D1200*$O$3)+(E1200*$O$4)+(F1200*$O$5))</f>
        <v>0</v>
      </c>
      <c r="I1200" s="13">
        <f t="shared" si="7"/>
        <v>8.62426</v>
      </c>
      <c r="J1200" s="18">
        <f t="shared" si="8"/>
        <v>-0.1437376667</v>
      </c>
      <c r="K1200" s="18">
        <f t="shared" si="10"/>
        <v>87.768787</v>
      </c>
      <c r="L1200" s="4"/>
      <c r="M1200" s="4"/>
      <c r="N1200" s="4"/>
      <c r="O1200" s="4"/>
      <c r="P1200" s="4"/>
      <c r="Q1200" s="4"/>
      <c r="R1200" s="4"/>
      <c r="S1200" s="4"/>
      <c r="T1200" s="4"/>
      <c r="U1200" s="4"/>
      <c r="V1200" s="4"/>
      <c r="W1200" s="4"/>
    </row>
    <row r="1201" ht="15.75" customHeight="1">
      <c r="A1201" s="13">
        <f t="shared" si="9"/>
        <v>1198</v>
      </c>
      <c r="B1201" s="18">
        <f>A1201/'Orbit Info'!$G$10</f>
        <v>12.66204436</v>
      </c>
      <c r="C1201" s="13">
        <f t="shared" si="2"/>
        <v>0</v>
      </c>
      <c r="D1201" s="13">
        <f t="shared" si="3"/>
        <v>1</v>
      </c>
      <c r="E1201" s="13">
        <f t="shared" si="4"/>
        <v>0</v>
      </c>
      <c r="F1201" s="13">
        <f t="shared" si="5"/>
        <v>0</v>
      </c>
      <c r="G1201" s="13">
        <f t="shared" si="6"/>
        <v>1</v>
      </c>
      <c r="H1201" s="13">
        <f>'Orbit Info'!C1200*((C1201*$O$2)+(D1201*$O$3)+(E1201*$O$4)+(F1201*$O$5))</f>
        <v>0</v>
      </c>
      <c r="I1201" s="13">
        <f t="shared" si="7"/>
        <v>8.62426</v>
      </c>
      <c r="J1201" s="18">
        <f t="shared" si="8"/>
        <v>-0.1437376667</v>
      </c>
      <c r="K1201" s="18">
        <f t="shared" si="10"/>
        <v>87.62504933</v>
      </c>
      <c r="L1201" s="4"/>
      <c r="M1201" s="4"/>
      <c r="N1201" s="4"/>
      <c r="O1201" s="4"/>
      <c r="P1201" s="4"/>
      <c r="Q1201" s="4"/>
      <c r="R1201" s="4"/>
      <c r="S1201" s="4"/>
      <c r="T1201" s="4"/>
      <c r="U1201" s="4"/>
      <c r="V1201" s="4"/>
      <c r="W1201" s="4"/>
    </row>
    <row r="1202" ht="15.75" customHeight="1">
      <c r="A1202" s="13">
        <f t="shared" si="9"/>
        <v>1199</v>
      </c>
      <c r="B1202" s="18">
        <f>A1202/'Orbit Info'!$G$10</f>
        <v>12.67261368</v>
      </c>
      <c r="C1202" s="13">
        <f t="shared" si="2"/>
        <v>0</v>
      </c>
      <c r="D1202" s="13">
        <f t="shared" si="3"/>
        <v>1</v>
      </c>
      <c r="E1202" s="13">
        <f t="shared" si="4"/>
        <v>0</v>
      </c>
      <c r="F1202" s="13">
        <f t="shared" si="5"/>
        <v>0</v>
      </c>
      <c r="G1202" s="13">
        <f t="shared" si="6"/>
        <v>1</v>
      </c>
      <c r="H1202" s="13">
        <f>'Orbit Info'!C1201*((C1202*$O$2)+(D1202*$O$3)+(E1202*$O$4)+(F1202*$O$5))</f>
        <v>0</v>
      </c>
      <c r="I1202" s="13">
        <f t="shared" si="7"/>
        <v>8.62426</v>
      </c>
      <c r="J1202" s="18">
        <f t="shared" si="8"/>
        <v>-0.1437376667</v>
      </c>
      <c r="K1202" s="18">
        <f t="shared" si="10"/>
        <v>87.48131167</v>
      </c>
      <c r="L1202" s="4"/>
      <c r="M1202" s="4"/>
      <c r="N1202" s="4"/>
      <c r="O1202" s="4"/>
      <c r="P1202" s="4"/>
      <c r="Q1202" s="4"/>
      <c r="R1202" s="4"/>
      <c r="S1202" s="4"/>
      <c r="T1202" s="4"/>
      <c r="U1202" s="4"/>
      <c r="V1202" s="4"/>
      <c r="W1202" s="4"/>
    </row>
    <row r="1203" ht="15.75" customHeight="1">
      <c r="A1203" s="13">
        <f t="shared" si="9"/>
        <v>1200</v>
      </c>
      <c r="B1203" s="18">
        <f>A1203/'Orbit Info'!$G$10</f>
        <v>12.683183</v>
      </c>
      <c r="C1203" s="13">
        <f t="shared" si="2"/>
        <v>0</v>
      </c>
      <c r="D1203" s="13">
        <f t="shared" si="3"/>
        <v>1</v>
      </c>
      <c r="E1203" s="13">
        <f t="shared" si="4"/>
        <v>0</v>
      </c>
      <c r="F1203" s="13">
        <f t="shared" si="5"/>
        <v>0</v>
      </c>
      <c r="G1203" s="13">
        <f t="shared" si="6"/>
        <v>1</v>
      </c>
      <c r="H1203" s="13">
        <f>'Orbit Info'!C1202*((C1203*$O$2)+(D1203*$O$3)+(E1203*$O$4)+(F1203*$O$5))</f>
        <v>0</v>
      </c>
      <c r="I1203" s="13">
        <f t="shared" si="7"/>
        <v>8.62426</v>
      </c>
      <c r="J1203" s="18">
        <f t="shared" si="8"/>
        <v>-0.1437376667</v>
      </c>
      <c r="K1203" s="18">
        <f t="shared" si="10"/>
        <v>87.337574</v>
      </c>
      <c r="L1203" s="4"/>
      <c r="M1203" s="4"/>
      <c r="N1203" s="4"/>
      <c r="O1203" s="4"/>
      <c r="P1203" s="4"/>
      <c r="Q1203" s="4"/>
      <c r="R1203" s="4"/>
      <c r="S1203" s="4"/>
      <c r="T1203" s="4"/>
      <c r="U1203" s="4"/>
      <c r="V1203" s="4"/>
      <c r="W1203" s="4"/>
    </row>
    <row r="1204" ht="15.75" customHeight="1">
      <c r="A1204" s="13">
        <f t="shared" si="9"/>
        <v>1201</v>
      </c>
      <c r="B1204" s="18">
        <f>A1204/'Orbit Info'!$G$10</f>
        <v>12.69375232</v>
      </c>
      <c r="C1204" s="13">
        <f t="shared" si="2"/>
        <v>0</v>
      </c>
      <c r="D1204" s="13">
        <f t="shared" si="3"/>
        <v>1</v>
      </c>
      <c r="E1204" s="13">
        <f t="shared" si="4"/>
        <v>0</v>
      </c>
      <c r="F1204" s="13">
        <f t="shared" si="5"/>
        <v>0</v>
      </c>
      <c r="G1204" s="13">
        <f t="shared" si="6"/>
        <v>1</v>
      </c>
      <c r="H1204" s="13">
        <f>'Orbit Info'!C1203*((C1204*$O$2)+(D1204*$O$3)+(E1204*$O$4)+(F1204*$O$5))</f>
        <v>0</v>
      </c>
      <c r="I1204" s="13">
        <f t="shared" si="7"/>
        <v>8.62426</v>
      </c>
      <c r="J1204" s="18">
        <f t="shared" si="8"/>
        <v>-0.1437376667</v>
      </c>
      <c r="K1204" s="18">
        <f t="shared" si="10"/>
        <v>87.19383633</v>
      </c>
      <c r="L1204" s="4"/>
      <c r="M1204" s="4"/>
      <c r="N1204" s="4"/>
      <c r="O1204" s="4"/>
      <c r="P1204" s="4"/>
      <c r="Q1204" s="4"/>
      <c r="R1204" s="4"/>
      <c r="S1204" s="4"/>
      <c r="T1204" s="4"/>
      <c r="U1204" s="4"/>
      <c r="V1204" s="4"/>
      <c r="W1204" s="4"/>
    </row>
    <row r="1205" ht="15.75" customHeight="1">
      <c r="A1205" s="13">
        <f t="shared" si="9"/>
        <v>1202</v>
      </c>
      <c r="B1205" s="18">
        <f>A1205/'Orbit Info'!$G$10</f>
        <v>12.70432164</v>
      </c>
      <c r="C1205" s="13">
        <f t="shared" si="2"/>
        <v>0</v>
      </c>
      <c r="D1205" s="13">
        <f t="shared" si="3"/>
        <v>1</v>
      </c>
      <c r="E1205" s="13">
        <f t="shared" si="4"/>
        <v>0</v>
      </c>
      <c r="F1205" s="13">
        <f t="shared" si="5"/>
        <v>0</v>
      </c>
      <c r="G1205" s="13">
        <f t="shared" si="6"/>
        <v>1</v>
      </c>
      <c r="H1205" s="13">
        <f>'Orbit Info'!C1204*((C1205*$O$2)+(D1205*$O$3)+(E1205*$O$4)+(F1205*$O$5))</f>
        <v>0</v>
      </c>
      <c r="I1205" s="13">
        <f t="shared" si="7"/>
        <v>8.62426</v>
      </c>
      <c r="J1205" s="18">
        <f t="shared" si="8"/>
        <v>-0.1437376667</v>
      </c>
      <c r="K1205" s="18">
        <f t="shared" si="10"/>
        <v>87.05009867</v>
      </c>
      <c r="L1205" s="4"/>
      <c r="M1205" s="4"/>
      <c r="N1205" s="4"/>
      <c r="O1205" s="4"/>
      <c r="P1205" s="4"/>
      <c r="Q1205" s="4"/>
      <c r="R1205" s="4"/>
      <c r="S1205" s="4"/>
      <c r="T1205" s="4"/>
      <c r="U1205" s="4"/>
      <c r="V1205" s="4"/>
      <c r="W1205" s="4"/>
    </row>
    <row r="1206" ht="15.75" customHeight="1">
      <c r="A1206" s="13">
        <f t="shared" si="9"/>
        <v>1203</v>
      </c>
      <c r="B1206" s="18">
        <f>A1206/'Orbit Info'!$G$10</f>
        <v>12.71489096</v>
      </c>
      <c r="C1206" s="13">
        <f t="shared" si="2"/>
        <v>0</v>
      </c>
      <c r="D1206" s="13">
        <f t="shared" si="3"/>
        <v>1</v>
      </c>
      <c r="E1206" s="13">
        <f t="shared" si="4"/>
        <v>0</v>
      </c>
      <c r="F1206" s="13">
        <f t="shared" si="5"/>
        <v>0</v>
      </c>
      <c r="G1206" s="13">
        <f t="shared" si="6"/>
        <v>1</v>
      </c>
      <c r="H1206" s="13">
        <f>'Orbit Info'!C1205*((C1206*$O$2)+(D1206*$O$3)+(E1206*$O$4)+(F1206*$O$5))</f>
        <v>0</v>
      </c>
      <c r="I1206" s="13">
        <f t="shared" si="7"/>
        <v>8.62426</v>
      </c>
      <c r="J1206" s="18">
        <f t="shared" si="8"/>
        <v>-0.1437376667</v>
      </c>
      <c r="K1206" s="18">
        <f t="shared" si="10"/>
        <v>86.906361</v>
      </c>
      <c r="L1206" s="4"/>
      <c r="M1206" s="4"/>
      <c r="N1206" s="4"/>
      <c r="O1206" s="4"/>
      <c r="P1206" s="4"/>
      <c r="Q1206" s="4"/>
      <c r="R1206" s="4"/>
      <c r="S1206" s="4"/>
      <c r="T1206" s="4"/>
      <c r="U1206" s="4"/>
      <c r="V1206" s="4"/>
      <c r="W1206" s="4"/>
    </row>
    <row r="1207" ht="15.75" customHeight="1">
      <c r="A1207" s="13">
        <f t="shared" si="9"/>
        <v>1204</v>
      </c>
      <c r="B1207" s="18">
        <f>A1207/'Orbit Info'!$G$10</f>
        <v>12.72546028</v>
      </c>
      <c r="C1207" s="13">
        <f t="shared" si="2"/>
        <v>0</v>
      </c>
      <c r="D1207" s="13">
        <f t="shared" si="3"/>
        <v>1</v>
      </c>
      <c r="E1207" s="13">
        <f t="shared" si="4"/>
        <v>0</v>
      </c>
      <c r="F1207" s="13">
        <f t="shared" si="5"/>
        <v>0</v>
      </c>
      <c r="G1207" s="13">
        <f t="shared" si="6"/>
        <v>1</v>
      </c>
      <c r="H1207" s="13">
        <f>'Orbit Info'!C1206*((C1207*$O$2)+(D1207*$O$3)+(E1207*$O$4)+(F1207*$O$5))</f>
        <v>0</v>
      </c>
      <c r="I1207" s="13">
        <f t="shared" si="7"/>
        <v>8.62426</v>
      </c>
      <c r="J1207" s="18">
        <f t="shared" si="8"/>
        <v>-0.1437376667</v>
      </c>
      <c r="K1207" s="18">
        <f t="shared" si="10"/>
        <v>86.76262333</v>
      </c>
      <c r="L1207" s="4"/>
      <c r="M1207" s="4"/>
      <c r="N1207" s="4"/>
      <c r="O1207" s="4"/>
      <c r="P1207" s="4"/>
      <c r="Q1207" s="4"/>
      <c r="R1207" s="4"/>
      <c r="S1207" s="4"/>
      <c r="T1207" s="4"/>
      <c r="U1207" s="4"/>
      <c r="V1207" s="4"/>
      <c r="W1207" s="4"/>
    </row>
    <row r="1208" ht="15.75" customHeight="1">
      <c r="A1208" s="13">
        <f t="shared" si="9"/>
        <v>1205</v>
      </c>
      <c r="B1208" s="18">
        <f>A1208/'Orbit Info'!$G$10</f>
        <v>12.73602959</v>
      </c>
      <c r="C1208" s="13">
        <f t="shared" si="2"/>
        <v>0</v>
      </c>
      <c r="D1208" s="13">
        <f t="shared" si="3"/>
        <v>1</v>
      </c>
      <c r="E1208" s="13">
        <f t="shared" si="4"/>
        <v>0</v>
      </c>
      <c r="F1208" s="13">
        <f t="shared" si="5"/>
        <v>0</v>
      </c>
      <c r="G1208" s="13">
        <f t="shared" si="6"/>
        <v>1</v>
      </c>
      <c r="H1208" s="13">
        <f>'Orbit Info'!C1207*((C1208*$O$2)+(D1208*$O$3)+(E1208*$O$4)+(F1208*$O$5))</f>
        <v>0</v>
      </c>
      <c r="I1208" s="13">
        <f t="shared" si="7"/>
        <v>8.62426</v>
      </c>
      <c r="J1208" s="18">
        <f t="shared" si="8"/>
        <v>-0.1437376667</v>
      </c>
      <c r="K1208" s="18">
        <f t="shared" si="10"/>
        <v>86.61888567</v>
      </c>
      <c r="L1208" s="4"/>
      <c r="M1208" s="4"/>
      <c r="N1208" s="4"/>
      <c r="O1208" s="4"/>
      <c r="P1208" s="4"/>
      <c r="Q1208" s="4"/>
      <c r="R1208" s="4"/>
      <c r="S1208" s="4"/>
      <c r="T1208" s="4"/>
      <c r="U1208" s="4"/>
      <c r="V1208" s="4"/>
      <c r="W1208" s="4"/>
    </row>
    <row r="1209" ht="15.75" customHeight="1">
      <c r="A1209" s="13">
        <f t="shared" si="9"/>
        <v>1206</v>
      </c>
      <c r="B1209" s="18">
        <f>A1209/'Orbit Info'!$G$10</f>
        <v>12.74659891</v>
      </c>
      <c r="C1209" s="13">
        <f t="shared" si="2"/>
        <v>0</v>
      </c>
      <c r="D1209" s="13">
        <f t="shared" si="3"/>
        <v>1</v>
      </c>
      <c r="E1209" s="13">
        <f t="shared" si="4"/>
        <v>0</v>
      </c>
      <c r="F1209" s="13">
        <f t="shared" si="5"/>
        <v>0</v>
      </c>
      <c r="G1209" s="13">
        <f t="shared" si="6"/>
        <v>1</v>
      </c>
      <c r="H1209" s="13">
        <f>'Orbit Info'!C1208*((C1209*$O$2)+(D1209*$O$3)+(E1209*$O$4)+(F1209*$O$5))</f>
        <v>0</v>
      </c>
      <c r="I1209" s="13">
        <f t="shared" si="7"/>
        <v>8.62426</v>
      </c>
      <c r="J1209" s="18">
        <f t="shared" si="8"/>
        <v>-0.1437376667</v>
      </c>
      <c r="K1209" s="18">
        <f t="shared" si="10"/>
        <v>86.475148</v>
      </c>
      <c r="L1209" s="4"/>
      <c r="M1209" s="4"/>
      <c r="N1209" s="4"/>
      <c r="O1209" s="4"/>
      <c r="P1209" s="4"/>
      <c r="Q1209" s="4"/>
      <c r="R1209" s="4"/>
      <c r="S1209" s="4"/>
      <c r="T1209" s="4"/>
      <c r="U1209" s="4"/>
      <c r="V1209" s="4"/>
      <c r="W1209" s="4"/>
    </row>
    <row r="1210" ht="15.75" customHeight="1">
      <c r="A1210" s="13">
        <f t="shared" si="9"/>
        <v>1207</v>
      </c>
      <c r="B1210" s="18">
        <f>A1210/'Orbit Info'!$G$10</f>
        <v>12.75716823</v>
      </c>
      <c r="C1210" s="13">
        <f t="shared" si="2"/>
        <v>0</v>
      </c>
      <c r="D1210" s="13">
        <f t="shared" si="3"/>
        <v>1</v>
      </c>
      <c r="E1210" s="13">
        <f t="shared" si="4"/>
        <v>0</v>
      </c>
      <c r="F1210" s="13">
        <f t="shared" si="5"/>
        <v>0</v>
      </c>
      <c r="G1210" s="13">
        <f t="shared" si="6"/>
        <v>1</v>
      </c>
      <c r="H1210" s="13">
        <f>'Orbit Info'!C1209*((C1210*$O$2)+(D1210*$O$3)+(E1210*$O$4)+(F1210*$O$5))</f>
        <v>0</v>
      </c>
      <c r="I1210" s="13">
        <f t="shared" si="7"/>
        <v>8.62426</v>
      </c>
      <c r="J1210" s="18">
        <f t="shared" si="8"/>
        <v>-0.1437376667</v>
      </c>
      <c r="K1210" s="18">
        <f t="shared" si="10"/>
        <v>86.33141033</v>
      </c>
      <c r="L1210" s="4"/>
      <c r="M1210" s="4"/>
      <c r="N1210" s="4"/>
      <c r="O1210" s="4"/>
      <c r="P1210" s="4"/>
      <c r="Q1210" s="4"/>
      <c r="R1210" s="4"/>
      <c r="S1210" s="4"/>
      <c r="T1210" s="4"/>
      <c r="U1210" s="4"/>
      <c r="V1210" s="4"/>
      <c r="W1210" s="4"/>
    </row>
    <row r="1211" ht="15.75" customHeight="1">
      <c r="A1211" s="13">
        <f t="shared" si="9"/>
        <v>1208</v>
      </c>
      <c r="B1211" s="18">
        <f>A1211/'Orbit Info'!$G$10</f>
        <v>12.76773755</v>
      </c>
      <c r="C1211" s="13">
        <f t="shared" si="2"/>
        <v>0</v>
      </c>
      <c r="D1211" s="13">
        <f t="shared" si="3"/>
        <v>1</v>
      </c>
      <c r="E1211" s="13">
        <f t="shared" si="4"/>
        <v>0</v>
      </c>
      <c r="F1211" s="13">
        <f t="shared" si="5"/>
        <v>0</v>
      </c>
      <c r="G1211" s="13">
        <f t="shared" si="6"/>
        <v>1</v>
      </c>
      <c r="H1211" s="13">
        <f>'Orbit Info'!C1210*((C1211*$O$2)+(D1211*$O$3)+(E1211*$O$4)+(F1211*$O$5))</f>
        <v>0</v>
      </c>
      <c r="I1211" s="13">
        <f t="shared" si="7"/>
        <v>8.62426</v>
      </c>
      <c r="J1211" s="18">
        <f t="shared" si="8"/>
        <v>-0.1437376667</v>
      </c>
      <c r="K1211" s="18">
        <f t="shared" si="10"/>
        <v>86.18767267</v>
      </c>
      <c r="L1211" s="4"/>
      <c r="M1211" s="4"/>
      <c r="N1211" s="4"/>
      <c r="O1211" s="4"/>
      <c r="P1211" s="4"/>
      <c r="Q1211" s="4"/>
      <c r="R1211" s="4"/>
      <c r="S1211" s="4"/>
      <c r="T1211" s="4"/>
      <c r="U1211" s="4"/>
      <c r="V1211" s="4"/>
      <c r="W1211" s="4"/>
    </row>
    <row r="1212" ht="15.75" customHeight="1">
      <c r="A1212" s="13">
        <f t="shared" si="9"/>
        <v>1209</v>
      </c>
      <c r="B1212" s="18">
        <f>A1212/'Orbit Info'!$G$10</f>
        <v>12.77830687</v>
      </c>
      <c r="C1212" s="13">
        <f t="shared" si="2"/>
        <v>0</v>
      </c>
      <c r="D1212" s="13">
        <f t="shared" si="3"/>
        <v>1</v>
      </c>
      <c r="E1212" s="13">
        <f t="shared" si="4"/>
        <v>0</v>
      </c>
      <c r="F1212" s="13">
        <f t="shared" si="5"/>
        <v>0</v>
      </c>
      <c r="G1212" s="13">
        <f t="shared" si="6"/>
        <v>1</v>
      </c>
      <c r="H1212" s="13">
        <f>'Orbit Info'!C1211*((C1212*$O$2)+(D1212*$O$3)+(E1212*$O$4)+(F1212*$O$5))</f>
        <v>0</v>
      </c>
      <c r="I1212" s="13">
        <f t="shared" si="7"/>
        <v>8.62426</v>
      </c>
      <c r="J1212" s="18">
        <f t="shared" si="8"/>
        <v>-0.1437376667</v>
      </c>
      <c r="K1212" s="18">
        <f t="shared" si="10"/>
        <v>86.043935</v>
      </c>
      <c r="L1212" s="4"/>
      <c r="M1212" s="4"/>
      <c r="N1212" s="4"/>
      <c r="O1212" s="4"/>
      <c r="P1212" s="4"/>
      <c r="Q1212" s="4"/>
      <c r="R1212" s="4"/>
      <c r="S1212" s="4"/>
      <c r="T1212" s="4"/>
      <c r="U1212" s="4"/>
      <c r="V1212" s="4"/>
      <c r="W1212" s="4"/>
    </row>
    <row r="1213" ht="15.75" customHeight="1">
      <c r="A1213" s="13">
        <f t="shared" si="9"/>
        <v>1210</v>
      </c>
      <c r="B1213" s="18">
        <f>A1213/'Orbit Info'!$G$10</f>
        <v>12.78887619</v>
      </c>
      <c r="C1213" s="13">
        <f t="shared" si="2"/>
        <v>0</v>
      </c>
      <c r="D1213" s="13">
        <f t="shared" si="3"/>
        <v>1</v>
      </c>
      <c r="E1213" s="13">
        <f t="shared" si="4"/>
        <v>0</v>
      </c>
      <c r="F1213" s="13">
        <f t="shared" si="5"/>
        <v>0</v>
      </c>
      <c r="G1213" s="13">
        <f t="shared" si="6"/>
        <v>1</v>
      </c>
      <c r="H1213" s="13">
        <f>'Orbit Info'!C1212*((C1213*$O$2)+(D1213*$O$3)+(E1213*$O$4)+(F1213*$O$5))</f>
        <v>0</v>
      </c>
      <c r="I1213" s="13">
        <f t="shared" si="7"/>
        <v>8.62426</v>
      </c>
      <c r="J1213" s="18">
        <f t="shared" si="8"/>
        <v>-0.1437376667</v>
      </c>
      <c r="K1213" s="18">
        <f t="shared" si="10"/>
        <v>85.90019733</v>
      </c>
      <c r="L1213" s="4"/>
      <c r="M1213" s="4"/>
      <c r="N1213" s="4"/>
      <c r="O1213" s="4"/>
      <c r="P1213" s="4"/>
      <c r="Q1213" s="4"/>
      <c r="R1213" s="4"/>
      <c r="S1213" s="4"/>
      <c r="T1213" s="4"/>
      <c r="U1213" s="4"/>
      <c r="V1213" s="4"/>
      <c r="W1213" s="4"/>
    </row>
    <row r="1214" ht="15.75" customHeight="1">
      <c r="A1214" s="13">
        <f t="shared" si="9"/>
        <v>1211</v>
      </c>
      <c r="B1214" s="18">
        <f>A1214/'Orbit Info'!$G$10</f>
        <v>12.79944551</v>
      </c>
      <c r="C1214" s="13">
        <f t="shared" si="2"/>
        <v>0</v>
      </c>
      <c r="D1214" s="13">
        <f t="shared" si="3"/>
        <v>1</v>
      </c>
      <c r="E1214" s="13">
        <f t="shared" si="4"/>
        <v>0</v>
      </c>
      <c r="F1214" s="13">
        <f t="shared" si="5"/>
        <v>0</v>
      </c>
      <c r="G1214" s="13">
        <f t="shared" si="6"/>
        <v>1</v>
      </c>
      <c r="H1214" s="13">
        <f>'Orbit Info'!C1213*((C1214*$O$2)+(D1214*$O$3)+(E1214*$O$4)+(F1214*$O$5))</f>
        <v>0</v>
      </c>
      <c r="I1214" s="13">
        <f t="shared" si="7"/>
        <v>8.62426</v>
      </c>
      <c r="J1214" s="18">
        <f t="shared" si="8"/>
        <v>-0.1437376667</v>
      </c>
      <c r="K1214" s="18">
        <f t="shared" si="10"/>
        <v>85.75645967</v>
      </c>
      <c r="L1214" s="4"/>
      <c r="M1214" s="4"/>
      <c r="N1214" s="4"/>
      <c r="O1214" s="4"/>
      <c r="P1214" s="4"/>
      <c r="Q1214" s="4"/>
      <c r="R1214" s="4"/>
      <c r="S1214" s="4"/>
      <c r="T1214" s="4"/>
      <c r="U1214" s="4"/>
      <c r="V1214" s="4"/>
      <c r="W1214" s="4"/>
    </row>
    <row r="1215" ht="15.75" customHeight="1">
      <c r="A1215" s="13">
        <f t="shared" si="9"/>
        <v>1212</v>
      </c>
      <c r="B1215" s="18">
        <f>A1215/'Orbit Info'!$G$10</f>
        <v>12.81001483</v>
      </c>
      <c r="C1215" s="13">
        <f t="shared" si="2"/>
        <v>0</v>
      </c>
      <c r="D1215" s="13">
        <f t="shared" si="3"/>
        <v>1</v>
      </c>
      <c r="E1215" s="13">
        <f t="shared" si="4"/>
        <v>0</v>
      </c>
      <c r="F1215" s="13">
        <f t="shared" si="5"/>
        <v>0</v>
      </c>
      <c r="G1215" s="13">
        <f t="shared" si="6"/>
        <v>1</v>
      </c>
      <c r="H1215" s="13">
        <f>'Orbit Info'!C1214*((C1215*$O$2)+(D1215*$O$3)+(E1215*$O$4)+(F1215*$O$5))</f>
        <v>0</v>
      </c>
      <c r="I1215" s="13">
        <f t="shared" si="7"/>
        <v>8.62426</v>
      </c>
      <c r="J1215" s="18">
        <f t="shared" si="8"/>
        <v>-0.1437376667</v>
      </c>
      <c r="K1215" s="18">
        <f t="shared" si="10"/>
        <v>85.612722</v>
      </c>
      <c r="L1215" s="4"/>
      <c r="M1215" s="4"/>
      <c r="N1215" s="4"/>
      <c r="O1215" s="4"/>
      <c r="P1215" s="4"/>
      <c r="Q1215" s="4"/>
      <c r="R1215" s="4"/>
      <c r="S1215" s="4"/>
      <c r="T1215" s="4"/>
      <c r="U1215" s="4"/>
      <c r="V1215" s="4"/>
      <c r="W1215" s="4"/>
    </row>
    <row r="1216" ht="15.75" customHeight="1">
      <c r="A1216" s="13">
        <f t="shared" si="9"/>
        <v>1213</v>
      </c>
      <c r="B1216" s="18">
        <f>A1216/'Orbit Info'!$G$10</f>
        <v>12.82058415</v>
      </c>
      <c r="C1216" s="13">
        <f t="shared" si="2"/>
        <v>0</v>
      </c>
      <c r="D1216" s="13">
        <f t="shared" si="3"/>
        <v>1</v>
      </c>
      <c r="E1216" s="13">
        <f t="shared" si="4"/>
        <v>0</v>
      </c>
      <c r="F1216" s="13">
        <f t="shared" si="5"/>
        <v>0</v>
      </c>
      <c r="G1216" s="13">
        <f t="shared" si="6"/>
        <v>1</v>
      </c>
      <c r="H1216" s="13">
        <f>'Orbit Info'!C1215*((C1216*$O$2)+(D1216*$O$3)+(E1216*$O$4)+(F1216*$O$5))</f>
        <v>0</v>
      </c>
      <c r="I1216" s="13">
        <f t="shared" si="7"/>
        <v>8.62426</v>
      </c>
      <c r="J1216" s="18">
        <f t="shared" si="8"/>
        <v>-0.1437376667</v>
      </c>
      <c r="K1216" s="18">
        <f t="shared" si="10"/>
        <v>85.46898433</v>
      </c>
      <c r="L1216" s="4"/>
      <c r="M1216" s="4"/>
      <c r="N1216" s="4"/>
      <c r="O1216" s="4"/>
      <c r="P1216" s="4"/>
      <c r="Q1216" s="4"/>
      <c r="R1216" s="4"/>
      <c r="S1216" s="4"/>
      <c r="T1216" s="4"/>
      <c r="U1216" s="4"/>
      <c r="V1216" s="4"/>
      <c r="W1216" s="4"/>
    </row>
    <row r="1217" ht="15.75" customHeight="1">
      <c r="A1217" s="13">
        <f t="shared" si="9"/>
        <v>1214</v>
      </c>
      <c r="B1217" s="18">
        <f>A1217/'Orbit Info'!$G$10</f>
        <v>12.83115347</v>
      </c>
      <c r="C1217" s="13">
        <f t="shared" si="2"/>
        <v>0</v>
      </c>
      <c r="D1217" s="13">
        <f t="shared" si="3"/>
        <v>1</v>
      </c>
      <c r="E1217" s="13">
        <f t="shared" si="4"/>
        <v>0</v>
      </c>
      <c r="F1217" s="13">
        <f t="shared" si="5"/>
        <v>0</v>
      </c>
      <c r="G1217" s="13">
        <f t="shared" si="6"/>
        <v>1</v>
      </c>
      <c r="H1217" s="13">
        <f>'Orbit Info'!C1216*((C1217*$O$2)+(D1217*$O$3)+(E1217*$O$4)+(F1217*$O$5))</f>
        <v>0</v>
      </c>
      <c r="I1217" s="13">
        <f t="shared" si="7"/>
        <v>8.62426</v>
      </c>
      <c r="J1217" s="18">
        <f t="shared" si="8"/>
        <v>-0.1437376667</v>
      </c>
      <c r="K1217" s="18">
        <f t="shared" si="10"/>
        <v>85.32524667</v>
      </c>
      <c r="L1217" s="4"/>
      <c r="M1217" s="4"/>
      <c r="N1217" s="4"/>
      <c r="O1217" s="4"/>
      <c r="P1217" s="4"/>
      <c r="Q1217" s="4"/>
      <c r="R1217" s="4"/>
      <c r="S1217" s="4"/>
      <c r="T1217" s="4"/>
      <c r="U1217" s="4"/>
      <c r="V1217" s="4"/>
      <c r="W1217" s="4"/>
    </row>
    <row r="1218" ht="15.75" customHeight="1">
      <c r="A1218" s="13">
        <f t="shared" si="9"/>
        <v>1215</v>
      </c>
      <c r="B1218" s="18">
        <f>A1218/'Orbit Info'!$G$10</f>
        <v>12.84172279</v>
      </c>
      <c r="C1218" s="13">
        <f t="shared" si="2"/>
        <v>0</v>
      </c>
      <c r="D1218" s="13">
        <f t="shared" si="3"/>
        <v>1</v>
      </c>
      <c r="E1218" s="13">
        <f t="shared" si="4"/>
        <v>0</v>
      </c>
      <c r="F1218" s="13">
        <f t="shared" si="5"/>
        <v>0</v>
      </c>
      <c r="G1218" s="13">
        <f t="shared" si="6"/>
        <v>1</v>
      </c>
      <c r="H1218" s="13">
        <f>'Orbit Info'!C1217*((C1218*$O$2)+(D1218*$O$3)+(E1218*$O$4)+(F1218*$O$5))</f>
        <v>0</v>
      </c>
      <c r="I1218" s="13">
        <f t="shared" si="7"/>
        <v>8.62426</v>
      </c>
      <c r="J1218" s="18">
        <f t="shared" si="8"/>
        <v>-0.1437376667</v>
      </c>
      <c r="K1218" s="18">
        <f t="shared" si="10"/>
        <v>85.181509</v>
      </c>
      <c r="L1218" s="4"/>
      <c r="M1218" s="4"/>
      <c r="N1218" s="4"/>
      <c r="O1218" s="4"/>
      <c r="P1218" s="4"/>
      <c r="Q1218" s="4"/>
      <c r="R1218" s="4"/>
      <c r="S1218" s="4"/>
      <c r="T1218" s="4"/>
      <c r="U1218" s="4"/>
      <c r="V1218" s="4"/>
      <c r="W1218" s="4"/>
    </row>
    <row r="1219" ht="15.75" customHeight="1">
      <c r="A1219" s="13">
        <f t="shared" si="9"/>
        <v>1216</v>
      </c>
      <c r="B1219" s="18">
        <f>A1219/'Orbit Info'!$G$10</f>
        <v>12.85229211</v>
      </c>
      <c r="C1219" s="13">
        <f t="shared" si="2"/>
        <v>0</v>
      </c>
      <c r="D1219" s="13">
        <f t="shared" si="3"/>
        <v>1</v>
      </c>
      <c r="E1219" s="13">
        <f t="shared" si="4"/>
        <v>0</v>
      </c>
      <c r="F1219" s="13">
        <f t="shared" si="5"/>
        <v>0</v>
      </c>
      <c r="G1219" s="13">
        <f t="shared" si="6"/>
        <v>1</v>
      </c>
      <c r="H1219" s="13">
        <f>'Orbit Info'!C1218*((C1219*$O$2)+(D1219*$O$3)+(E1219*$O$4)+(F1219*$O$5))</f>
        <v>0</v>
      </c>
      <c r="I1219" s="13">
        <f t="shared" si="7"/>
        <v>8.62426</v>
      </c>
      <c r="J1219" s="18">
        <f t="shared" si="8"/>
        <v>-0.1437376667</v>
      </c>
      <c r="K1219" s="18">
        <f t="shared" si="10"/>
        <v>85.03777133</v>
      </c>
      <c r="L1219" s="4"/>
      <c r="M1219" s="4"/>
      <c r="N1219" s="4"/>
      <c r="O1219" s="4"/>
      <c r="P1219" s="4"/>
      <c r="Q1219" s="4"/>
      <c r="R1219" s="4"/>
      <c r="S1219" s="4"/>
      <c r="T1219" s="4"/>
      <c r="U1219" s="4"/>
      <c r="V1219" s="4"/>
      <c r="W1219" s="4"/>
    </row>
    <row r="1220" ht="15.75" customHeight="1">
      <c r="A1220" s="13">
        <f t="shared" si="9"/>
        <v>1217</v>
      </c>
      <c r="B1220" s="18">
        <f>A1220/'Orbit Info'!$G$10</f>
        <v>12.86286142</v>
      </c>
      <c r="C1220" s="13">
        <f t="shared" si="2"/>
        <v>0</v>
      </c>
      <c r="D1220" s="13">
        <f t="shared" si="3"/>
        <v>1</v>
      </c>
      <c r="E1220" s="13">
        <f t="shared" si="4"/>
        <v>0</v>
      </c>
      <c r="F1220" s="13">
        <f t="shared" si="5"/>
        <v>0</v>
      </c>
      <c r="G1220" s="13">
        <f t="shared" si="6"/>
        <v>1</v>
      </c>
      <c r="H1220" s="13">
        <f>'Orbit Info'!C1219*((C1220*$O$2)+(D1220*$O$3)+(E1220*$O$4)+(F1220*$O$5))</f>
        <v>0</v>
      </c>
      <c r="I1220" s="13">
        <f t="shared" si="7"/>
        <v>8.62426</v>
      </c>
      <c r="J1220" s="18">
        <f t="shared" si="8"/>
        <v>-0.1437376667</v>
      </c>
      <c r="K1220" s="18">
        <f t="shared" si="10"/>
        <v>84.89403367</v>
      </c>
      <c r="L1220" s="4"/>
      <c r="M1220" s="4"/>
      <c r="N1220" s="4"/>
      <c r="O1220" s="4"/>
      <c r="P1220" s="4"/>
      <c r="Q1220" s="4"/>
      <c r="R1220" s="4"/>
      <c r="S1220" s="4"/>
      <c r="T1220" s="4"/>
      <c r="U1220" s="4"/>
      <c r="V1220" s="4"/>
      <c r="W1220" s="4"/>
    </row>
    <row r="1221" ht="15.75" customHeight="1">
      <c r="A1221" s="13">
        <f t="shared" si="9"/>
        <v>1218</v>
      </c>
      <c r="B1221" s="18">
        <f>A1221/'Orbit Info'!$G$10</f>
        <v>12.87343074</v>
      </c>
      <c r="C1221" s="13">
        <f t="shared" si="2"/>
        <v>0</v>
      </c>
      <c r="D1221" s="13">
        <f t="shared" si="3"/>
        <v>1</v>
      </c>
      <c r="E1221" s="13">
        <f t="shared" si="4"/>
        <v>0</v>
      </c>
      <c r="F1221" s="13">
        <f t="shared" si="5"/>
        <v>0</v>
      </c>
      <c r="G1221" s="13">
        <f t="shared" si="6"/>
        <v>1</v>
      </c>
      <c r="H1221" s="13">
        <f>'Orbit Info'!C1220*((C1221*$O$2)+(D1221*$O$3)+(E1221*$O$4)+(F1221*$O$5))</f>
        <v>0</v>
      </c>
      <c r="I1221" s="13">
        <f t="shared" si="7"/>
        <v>8.62426</v>
      </c>
      <c r="J1221" s="18">
        <f t="shared" si="8"/>
        <v>-0.1437376667</v>
      </c>
      <c r="K1221" s="18">
        <f t="shared" si="10"/>
        <v>84.750296</v>
      </c>
      <c r="L1221" s="4"/>
      <c r="M1221" s="4"/>
      <c r="N1221" s="4"/>
      <c r="O1221" s="4"/>
      <c r="P1221" s="4"/>
      <c r="Q1221" s="4"/>
      <c r="R1221" s="4"/>
      <c r="S1221" s="4"/>
      <c r="T1221" s="4"/>
      <c r="U1221" s="4"/>
      <c r="V1221" s="4"/>
      <c r="W1221" s="4"/>
    </row>
    <row r="1222" ht="15.75" customHeight="1">
      <c r="A1222" s="13">
        <f t="shared" si="9"/>
        <v>1219</v>
      </c>
      <c r="B1222" s="18">
        <f>A1222/'Orbit Info'!$G$10</f>
        <v>12.88400006</v>
      </c>
      <c r="C1222" s="13">
        <f t="shared" si="2"/>
        <v>0</v>
      </c>
      <c r="D1222" s="13">
        <f t="shared" si="3"/>
        <v>1</v>
      </c>
      <c r="E1222" s="13">
        <f t="shared" si="4"/>
        <v>0</v>
      </c>
      <c r="F1222" s="13">
        <f t="shared" si="5"/>
        <v>0</v>
      </c>
      <c r="G1222" s="13">
        <f t="shared" si="6"/>
        <v>1</v>
      </c>
      <c r="H1222" s="13">
        <f>'Orbit Info'!C1221*((C1222*$O$2)+(D1222*$O$3)+(E1222*$O$4)+(F1222*$O$5))</f>
        <v>0</v>
      </c>
      <c r="I1222" s="13">
        <f t="shared" si="7"/>
        <v>8.62426</v>
      </c>
      <c r="J1222" s="18">
        <f t="shared" si="8"/>
        <v>-0.1437376667</v>
      </c>
      <c r="K1222" s="18">
        <f t="shared" si="10"/>
        <v>84.60655833</v>
      </c>
      <c r="L1222" s="4"/>
      <c r="M1222" s="4"/>
      <c r="N1222" s="4"/>
      <c r="O1222" s="4"/>
      <c r="P1222" s="4"/>
      <c r="Q1222" s="4"/>
      <c r="R1222" s="4"/>
      <c r="S1222" s="4"/>
      <c r="T1222" s="4"/>
      <c r="U1222" s="4"/>
      <c r="V1222" s="4"/>
      <c r="W1222" s="4"/>
    </row>
    <row r="1223" ht="15.75" customHeight="1">
      <c r="A1223" s="13">
        <f t="shared" si="9"/>
        <v>1220</v>
      </c>
      <c r="B1223" s="18">
        <f>A1223/'Orbit Info'!$G$10</f>
        <v>12.89456938</v>
      </c>
      <c r="C1223" s="13">
        <f t="shared" si="2"/>
        <v>0</v>
      </c>
      <c r="D1223" s="13">
        <f t="shared" si="3"/>
        <v>1</v>
      </c>
      <c r="E1223" s="13">
        <f t="shared" si="4"/>
        <v>0</v>
      </c>
      <c r="F1223" s="13">
        <f t="shared" si="5"/>
        <v>0</v>
      </c>
      <c r="G1223" s="13">
        <f t="shared" si="6"/>
        <v>1</v>
      </c>
      <c r="H1223" s="13">
        <f>'Orbit Info'!C1222*((C1223*$O$2)+(D1223*$O$3)+(E1223*$O$4)+(F1223*$O$5))</f>
        <v>0</v>
      </c>
      <c r="I1223" s="13">
        <f t="shared" si="7"/>
        <v>8.62426</v>
      </c>
      <c r="J1223" s="18">
        <f t="shared" si="8"/>
        <v>-0.1437376667</v>
      </c>
      <c r="K1223" s="18">
        <f t="shared" si="10"/>
        <v>84.46282067</v>
      </c>
      <c r="L1223" s="4"/>
      <c r="M1223" s="4"/>
      <c r="N1223" s="4"/>
      <c r="O1223" s="4"/>
      <c r="P1223" s="4"/>
      <c r="Q1223" s="4"/>
      <c r="R1223" s="4"/>
      <c r="S1223" s="4"/>
      <c r="T1223" s="4"/>
      <c r="U1223" s="4"/>
      <c r="V1223" s="4"/>
      <c r="W1223" s="4"/>
    </row>
    <row r="1224" ht="15.75" customHeight="1">
      <c r="A1224" s="13">
        <f t="shared" si="9"/>
        <v>1221</v>
      </c>
      <c r="B1224" s="18">
        <f>A1224/'Orbit Info'!$G$10</f>
        <v>12.9051387</v>
      </c>
      <c r="C1224" s="13">
        <f t="shared" si="2"/>
        <v>0</v>
      </c>
      <c r="D1224" s="13">
        <f t="shared" si="3"/>
        <v>1</v>
      </c>
      <c r="E1224" s="13">
        <f t="shared" si="4"/>
        <v>0</v>
      </c>
      <c r="F1224" s="13">
        <f t="shared" si="5"/>
        <v>0</v>
      </c>
      <c r="G1224" s="13">
        <f t="shared" si="6"/>
        <v>1</v>
      </c>
      <c r="H1224" s="13">
        <f>'Orbit Info'!C1223*((C1224*$O$2)+(D1224*$O$3)+(E1224*$O$4)+(F1224*$O$5))</f>
        <v>0</v>
      </c>
      <c r="I1224" s="13">
        <f t="shared" si="7"/>
        <v>8.62426</v>
      </c>
      <c r="J1224" s="18">
        <f t="shared" si="8"/>
        <v>-0.1437376667</v>
      </c>
      <c r="K1224" s="18">
        <f t="shared" si="10"/>
        <v>84.319083</v>
      </c>
      <c r="L1224" s="4"/>
      <c r="M1224" s="4"/>
      <c r="N1224" s="4"/>
      <c r="O1224" s="4"/>
      <c r="P1224" s="4"/>
      <c r="Q1224" s="4"/>
      <c r="R1224" s="4"/>
      <c r="S1224" s="4"/>
      <c r="T1224" s="4"/>
      <c r="U1224" s="4"/>
      <c r="V1224" s="4"/>
      <c r="W1224" s="4"/>
    </row>
    <row r="1225" ht="15.75" customHeight="1">
      <c r="A1225" s="13">
        <f t="shared" si="9"/>
        <v>1222</v>
      </c>
      <c r="B1225" s="18">
        <f>A1225/'Orbit Info'!$G$10</f>
        <v>12.91570802</v>
      </c>
      <c r="C1225" s="13">
        <f t="shared" si="2"/>
        <v>0</v>
      </c>
      <c r="D1225" s="13">
        <f t="shared" si="3"/>
        <v>1</v>
      </c>
      <c r="E1225" s="13">
        <f t="shared" si="4"/>
        <v>0</v>
      </c>
      <c r="F1225" s="13">
        <f t="shared" si="5"/>
        <v>0</v>
      </c>
      <c r="G1225" s="13">
        <f t="shared" si="6"/>
        <v>1</v>
      </c>
      <c r="H1225" s="13">
        <f>'Orbit Info'!C1224*((C1225*$O$2)+(D1225*$O$3)+(E1225*$O$4)+(F1225*$O$5))</f>
        <v>0</v>
      </c>
      <c r="I1225" s="13">
        <f t="shared" si="7"/>
        <v>8.62426</v>
      </c>
      <c r="J1225" s="18">
        <f t="shared" si="8"/>
        <v>-0.1437376667</v>
      </c>
      <c r="K1225" s="18">
        <f t="shared" si="10"/>
        <v>84.17534533</v>
      </c>
      <c r="L1225" s="4"/>
      <c r="M1225" s="4"/>
      <c r="N1225" s="4"/>
      <c r="O1225" s="4"/>
      <c r="P1225" s="4"/>
      <c r="Q1225" s="4"/>
      <c r="R1225" s="4"/>
      <c r="S1225" s="4"/>
      <c r="T1225" s="4"/>
      <c r="U1225" s="4"/>
      <c r="V1225" s="4"/>
      <c r="W1225" s="4"/>
    </row>
    <row r="1226" ht="15.75" customHeight="1">
      <c r="A1226" s="13">
        <f t="shared" si="9"/>
        <v>1223</v>
      </c>
      <c r="B1226" s="18">
        <f>A1226/'Orbit Info'!$G$10</f>
        <v>12.92627734</v>
      </c>
      <c r="C1226" s="13">
        <f t="shared" si="2"/>
        <v>0</v>
      </c>
      <c r="D1226" s="13">
        <f t="shared" si="3"/>
        <v>1</v>
      </c>
      <c r="E1226" s="13">
        <f t="shared" si="4"/>
        <v>0</v>
      </c>
      <c r="F1226" s="13">
        <f t="shared" si="5"/>
        <v>0</v>
      </c>
      <c r="G1226" s="13">
        <f t="shared" si="6"/>
        <v>1</v>
      </c>
      <c r="H1226" s="13">
        <f>'Orbit Info'!C1225*((C1226*$O$2)+(D1226*$O$3)+(E1226*$O$4)+(F1226*$O$5))</f>
        <v>0</v>
      </c>
      <c r="I1226" s="13">
        <f t="shared" si="7"/>
        <v>8.62426</v>
      </c>
      <c r="J1226" s="18">
        <f t="shared" si="8"/>
        <v>-0.1437376667</v>
      </c>
      <c r="K1226" s="18">
        <f t="shared" si="10"/>
        <v>84.03160767</v>
      </c>
      <c r="L1226" s="4"/>
      <c r="M1226" s="4"/>
      <c r="N1226" s="4"/>
      <c r="O1226" s="4"/>
      <c r="P1226" s="4"/>
      <c r="Q1226" s="4"/>
      <c r="R1226" s="4"/>
      <c r="S1226" s="4"/>
      <c r="T1226" s="4"/>
      <c r="U1226" s="4"/>
      <c r="V1226" s="4"/>
      <c r="W1226" s="4"/>
    </row>
    <row r="1227" ht="15.75" customHeight="1">
      <c r="A1227" s="13">
        <f t="shared" si="9"/>
        <v>1224</v>
      </c>
      <c r="B1227" s="18">
        <f>A1227/'Orbit Info'!$G$10</f>
        <v>12.93684666</v>
      </c>
      <c r="C1227" s="13">
        <f t="shared" si="2"/>
        <v>0</v>
      </c>
      <c r="D1227" s="13">
        <f t="shared" si="3"/>
        <v>1</v>
      </c>
      <c r="E1227" s="13">
        <f t="shared" si="4"/>
        <v>0</v>
      </c>
      <c r="F1227" s="13">
        <f t="shared" si="5"/>
        <v>0</v>
      </c>
      <c r="G1227" s="13">
        <f t="shared" si="6"/>
        <v>1</v>
      </c>
      <c r="H1227" s="13">
        <f>'Orbit Info'!C1226*((C1227*$O$2)+(D1227*$O$3)+(E1227*$O$4)+(F1227*$O$5))</f>
        <v>0</v>
      </c>
      <c r="I1227" s="13">
        <f t="shared" si="7"/>
        <v>8.62426</v>
      </c>
      <c r="J1227" s="18">
        <f t="shared" si="8"/>
        <v>-0.1437376667</v>
      </c>
      <c r="K1227" s="18">
        <f t="shared" si="10"/>
        <v>83.88787</v>
      </c>
      <c r="L1227" s="4"/>
      <c r="M1227" s="4"/>
      <c r="N1227" s="4"/>
      <c r="O1227" s="4"/>
      <c r="P1227" s="4"/>
      <c r="Q1227" s="4"/>
      <c r="R1227" s="4"/>
      <c r="S1227" s="4"/>
      <c r="T1227" s="4"/>
      <c r="U1227" s="4"/>
      <c r="V1227" s="4"/>
      <c r="W1227" s="4"/>
    </row>
    <row r="1228" ht="15.75" customHeight="1">
      <c r="A1228" s="13">
        <f t="shared" si="9"/>
        <v>1225</v>
      </c>
      <c r="B1228" s="18">
        <f>A1228/'Orbit Info'!$G$10</f>
        <v>12.94741598</v>
      </c>
      <c r="C1228" s="13">
        <f t="shared" si="2"/>
        <v>0</v>
      </c>
      <c r="D1228" s="13">
        <f t="shared" si="3"/>
        <v>1</v>
      </c>
      <c r="E1228" s="13">
        <f t="shared" si="4"/>
        <v>0</v>
      </c>
      <c r="F1228" s="13">
        <f t="shared" si="5"/>
        <v>0</v>
      </c>
      <c r="G1228" s="13">
        <f t="shared" si="6"/>
        <v>1</v>
      </c>
      <c r="H1228" s="13">
        <f>'Orbit Info'!C1227*((C1228*$O$2)+(D1228*$O$3)+(E1228*$O$4)+(F1228*$O$5))</f>
        <v>0</v>
      </c>
      <c r="I1228" s="13">
        <f t="shared" si="7"/>
        <v>8.62426</v>
      </c>
      <c r="J1228" s="18">
        <f t="shared" si="8"/>
        <v>-0.1437376667</v>
      </c>
      <c r="K1228" s="18">
        <f t="shared" si="10"/>
        <v>83.74413233</v>
      </c>
      <c r="L1228" s="4"/>
      <c r="M1228" s="4"/>
      <c r="N1228" s="4"/>
      <c r="O1228" s="4"/>
      <c r="P1228" s="4"/>
      <c r="Q1228" s="4"/>
      <c r="R1228" s="4"/>
      <c r="S1228" s="4"/>
      <c r="T1228" s="4"/>
      <c r="U1228" s="4"/>
      <c r="V1228" s="4"/>
      <c r="W1228" s="4"/>
    </row>
    <row r="1229" ht="15.75" customHeight="1">
      <c r="A1229" s="13">
        <f t="shared" si="9"/>
        <v>1226</v>
      </c>
      <c r="B1229" s="18">
        <f>A1229/'Orbit Info'!$G$10</f>
        <v>12.9579853</v>
      </c>
      <c r="C1229" s="13">
        <f t="shared" si="2"/>
        <v>0</v>
      </c>
      <c r="D1229" s="13">
        <f t="shared" si="3"/>
        <v>1</v>
      </c>
      <c r="E1229" s="13">
        <f t="shared" si="4"/>
        <v>0</v>
      </c>
      <c r="F1229" s="13">
        <f t="shared" si="5"/>
        <v>0</v>
      </c>
      <c r="G1229" s="13">
        <f t="shared" si="6"/>
        <v>1</v>
      </c>
      <c r="H1229" s="13">
        <f>'Orbit Info'!C1228*((C1229*$O$2)+(D1229*$O$3)+(E1229*$O$4)+(F1229*$O$5))</f>
        <v>0</v>
      </c>
      <c r="I1229" s="13">
        <f t="shared" si="7"/>
        <v>8.62426</v>
      </c>
      <c r="J1229" s="18">
        <f t="shared" si="8"/>
        <v>-0.1437376667</v>
      </c>
      <c r="K1229" s="18">
        <f t="shared" si="10"/>
        <v>83.60039467</v>
      </c>
      <c r="L1229" s="4"/>
      <c r="M1229" s="4"/>
      <c r="N1229" s="4"/>
      <c r="O1229" s="4"/>
      <c r="P1229" s="4"/>
      <c r="Q1229" s="4"/>
      <c r="R1229" s="4"/>
      <c r="S1229" s="4"/>
      <c r="T1229" s="4"/>
      <c r="U1229" s="4"/>
      <c r="V1229" s="4"/>
      <c r="W1229" s="4"/>
    </row>
    <row r="1230" ht="15.75" customHeight="1">
      <c r="A1230" s="13">
        <f t="shared" si="9"/>
        <v>1227</v>
      </c>
      <c r="B1230" s="18">
        <f>A1230/'Orbit Info'!$G$10</f>
        <v>12.96855462</v>
      </c>
      <c r="C1230" s="13">
        <f t="shared" si="2"/>
        <v>0</v>
      </c>
      <c r="D1230" s="13">
        <f t="shared" si="3"/>
        <v>1</v>
      </c>
      <c r="E1230" s="13">
        <f t="shared" si="4"/>
        <v>0</v>
      </c>
      <c r="F1230" s="13">
        <f t="shared" si="5"/>
        <v>0</v>
      </c>
      <c r="G1230" s="13">
        <f t="shared" si="6"/>
        <v>1</v>
      </c>
      <c r="H1230" s="13">
        <f>'Orbit Info'!C1229*((C1230*$O$2)+(D1230*$O$3)+(E1230*$O$4)+(F1230*$O$5))</f>
        <v>0</v>
      </c>
      <c r="I1230" s="13">
        <f t="shared" si="7"/>
        <v>8.62426</v>
      </c>
      <c r="J1230" s="18">
        <f t="shared" si="8"/>
        <v>-0.1437376667</v>
      </c>
      <c r="K1230" s="18">
        <f t="shared" si="10"/>
        <v>83.456657</v>
      </c>
      <c r="L1230" s="4"/>
      <c r="M1230" s="4"/>
      <c r="N1230" s="4"/>
      <c r="O1230" s="4"/>
      <c r="P1230" s="4"/>
      <c r="Q1230" s="4"/>
      <c r="R1230" s="4"/>
      <c r="S1230" s="4"/>
      <c r="T1230" s="4"/>
      <c r="U1230" s="4"/>
      <c r="V1230" s="4"/>
      <c r="W1230" s="4"/>
    </row>
    <row r="1231" ht="15.75" customHeight="1">
      <c r="A1231" s="13">
        <f t="shared" si="9"/>
        <v>1228</v>
      </c>
      <c r="B1231" s="18">
        <f>A1231/'Orbit Info'!$G$10</f>
        <v>12.97912394</v>
      </c>
      <c r="C1231" s="13">
        <f t="shared" si="2"/>
        <v>0</v>
      </c>
      <c r="D1231" s="13">
        <f t="shared" si="3"/>
        <v>1</v>
      </c>
      <c r="E1231" s="13">
        <f t="shared" si="4"/>
        <v>0</v>
      </c>
      <c r="F1231" s="13">
        <f t="shared" si="5"/>
        <v>0</v>
      </c>
      <c r="G1231" s="13">
        <f t="shared" si="6"/>
        <v>1</v>
      </c>
      <c r="H1231" s="13">
        <f>'Orbit Info'!C1230*((C1231*$O$2)+(D1231*$O$3)+(E1231*$O$4)+(F1231*$O$5))</f>
        <v>0</v>
      </c>
      <c r="I1231" s="13">
        <f t="shared" si="7"/>
        <v>8.62426</v>
      </c>
      <c r="J1231" s="18">
        <f t="shared" si="8"/>
        <v>-0.1437376667</v>
      </c>
      <c r="K1231" s="18">
        <f t="shared" si="10"/>
        <v>83.31291933</v>
      </c>
      <c r="L1231" s="4"/>
      <c r="M1231" s="4"/>
      <c r="N1231" s="4"/>
      <c r="O1231" s="4"/>
      <c r="P1231" s="4"/>
      <c r="Q1231" s="4"/>
      <c r="R1231" s="4"/>
      <c r="S1231" s="4"/>
      <c r="T1231" s="4"/>
      <c r="U1231" s="4"/>
      <c r="V1231" s="4"/>
      <c r="W1231" s="4"/>
    </row>
    <row r="1232" ht="15.75" customHeight="1">
      <c r="A1232" s="13">
        <f t="shared" si="9"/>
        <v>1229</v>
      </c>
      <c r="B1232" s="18">
        <f>A1232/'Orbit Info'!$G$10</f>
        <v>12.98969325</v>
      </c>
      <c r="C1232" s="13">
        <f t="shared" si="2"/>
        <v>0</v>
      </c>
      <c r="D1232" s="13">
        <f t="shared" si="3"/>
        <v>1</v>
      </c>
      <c r="E1232" s="13">
        <f t="shared" si="4"/>
        <v>0</v>
      </c>
      <c r="F1232" s="13">
        <f t="shared" si="5"/>
        <v>0</v>
      </c>
      <c r="G1232" s="13">
        <f t="shared" si="6"/>
        <v>1</v>
      </c>
      <c r="H1232" s="13">
        <f>'Orbit Info'!C1231*((C1232*$O$2)+(D1232*$O$3)+(E1232*$O$4)+(F1232*$O$5))</f>
        <v>0</v>
      </c>
      <c r="I1232" s="13">
        <f t="shared" si="7"/>
        <v>8.62426</v>
      </c>
      <c r="J1232" s="18">
        <f t="shared" si="8"/>
        <v>-0.1437376667</v>
      </c>
      <c r="K1232" s="18">
        <f t="shared" si="10"/>
        <v>83.16918167</v>
      </c>
      <c r="L1232" s="4"/>
      <c r="M1232" s="4"/>
      <c r="N1232" s="4"/>
      <c r="O1232" s="4"/>
      <c r="P1232" s="4"/>
      <c r="Q1232" s="4"/>
      <c r="R1232" s="4"/>
      <c r="S1232" s="4"/>
      <c r="T1232" s="4"/>
      <c r="U1232" s="4"/>
      <c r="V1232" s="4"/>
      <c r="W1232" s="4"/>
    </row>
    <row r="1233" ht="15.75" customHeight="1">
      <c r="A1233" s="13">
        <f t="shared" si="9"/>
        <v>1230</v>
      </c>
      <c r="B1233" s="18">
        <f>A1233/'Orbit Info'!$G$10</f>
        <v>13.00026257</v>
      </c>
      <c r="C1233" s="13">
        <f t="shared" si="2"/>
        <v>0</v>
      </c>
      <c r="D1233" s="13">
        <f t="shared" si="3"/>
        <v>1</v>
      </c>
      <c r="E1233" s="13">
        <f t="shared" si="4"/>
        <v>0</v>
      </c>
      <c r="F1233" s="13">
        <f t="shared" si="5"/>
        <v>0</v>
      </c>
      <c r="G1233" s="13">
        <f t="shared" si="6"/>
        <v>1</v>
      </c>
      <c r="H1233" s="13">
        <f>'Orbit Info'!C1232*((C1233*$O$2)+(D1233*$O$3)+(E1233*$O$4)+(F1233*$O$5))</f>
        <v>15.628032</v>
      </c>
      <c r="I1233" s="13">
        <f t="shared" si="7"/>
        <v>8.62426</v>
      </c>
      <c r="J1233" s="18">
        <f t="shared" si="8"/>
        <v>0.1167295333</v>
      </c>
      <c r="K1233" s="18">
        <f t="shared" si="10"/>
        <v>83.2859112</v>
      </c>
      <c r="L1233" s="4"/>
      <c r="M1233" s="4"/>
      <c r="N1233" s="4"/>
      <c r="O1233" s="4"/>
      <c r="P1233" s="4"/>
      <c r="Q1233" s="4"/>
      <c r="R1233" s="4"/>
      <c r="S1233" s="4"/>
      <c r="T1233" s="4"/>
      <c r="U1233" s="4"/>
      <c r="V1233" s="4"/>
      <c r="W1233" s="4"/>
    </row>
    <row r="1234" ht="15.75" customHeight="1">
      <c r="A1234" s="13">
        <f t="shared" si="9"/>
        <v>1231</v>
      </c>
      <c r="B1234" s="18">
        <f>A1234/'Orbit Info'!$G$10</f>
        <v>13.01083189</v>
      </c>
      <c r="C1234" s="13">
        <f t="shared" si="2"/>
        <v>0</v>
      </c>
      <c r="D1234" s="13">
        <f t="shared" si="3"/>
        <v>1</v>
      </c>
      <c r="E1234" s="13">
        <f t="shared" si="4"/>
        <v>0</v>
      </c>
      <c r="F1234" s="13">
        <f t="shared" si="5"/>
        <v>0</v>
      </c>
      <c r="G1234" s="13">
        <f t="shared" si="6"/>
        <v>1</v>
      </c>
      <c r="H1234" s="13">
        <f>'Orbit Info'!C1233*((C1234*$O$2)+(D1234*$O$3)+(E1234*$O$4)+(F1234*$O$5))</f>
        <v>15.628032</v>
      </c>
      <c r="I1234" s="13">
        <f t="shared" si="7"/>
        <v>8.62426</v>
      </c>
      <c r="J1234" s="18">
        <f t="shared" si="8"/>
        <v>0.1167295333</v>
      </c>
      <c r="K1234" s="18">
        <f t="shared" si="10"/>
        <v>83.40264073</v>
      </c>
      <c r="L1234" s="4"/>
      <c r="M1234" s="4"/>
      <c r="N1234" s="4"/>
      <c r="O1234" s="4"/>
      <c r="P1234" s="4"/>
      <c r="Q1234" s="4"/>
      <c r="R1234" s="4"/>
      <c r="S1234" s="4"/>
      <c r="T1234" s="4"/>
      <c r="U1234" s="4"/>
      <c r="V1234" s="4"/>
      <c r="W1234" s="4"/>
    </row>
    <row r="1235" ht="15.75" customHeight="1">
      <c r="A1235" s="13">
        <f t="shared" si="9"/>
        <v>1232</v>
      </c>
      <c r="B1235" s="18">
        <f>A1235/'Orbit Info'!$G$10</f>
        <v>13.02140121</v>
      </c>
      <c r="C1235" s="13">
        <f t="shared" si="2"/>
        <v>0</v>
      </c>
      <c r="D1235" s="13">
        <f t="shared" si="3"/>
        <v>1</v>
      </c>
      <c r="E1235" s="13">
        <f t="shared" si="4"/>
        <v>0</v>
      </c>
      <c r="F1235" s="13">
        <f t="shared" si="5"/>
        <v>0</v>
      </c>
      <c r="G1235" s="13">
        <f t="shared" si="6"/>
        <v>1</v>
      </c>
      <c r="H1235" s="13">
        <f>'Orbit Info'!C1234*((C1235*$O$2)+(D1235*$O$3)+(E1235*$O$4)+(F1235*$O$5))</f>
        <v>15.628032</v>
      </c>
      <c r="I1235" s="13">
        <f t="shared" si="7"/>
        <v>8.62426</v>
      </c>
      <c r="J1235" s="18">
        <f t="shared" si="8"/>
        <v>0.1167295333</v>
      </c>
      <c r="K1235" s="18">
        <f t="shared" si="10"/>
        <v>83.51937027</v>
      </c>
      <c r="L1235" s="4"/>
      <c r="M1235" s="4"/>
      <c r="N1235" s="4"/>
      <c r="O1235" s="4"/>
      <c r="P1235" s="4"/>
      <c r="Q1235" s="4"/>
      <c r="R1235" s="4"/>
      <c r="S1235" s="4"/>
      <c r="T1235" s="4"/>
      <c r="U1235" s="4"/>
      <c r="V1235" s="4"/>
      <c r="W1235" s="4"/>
    </row>
    <row r="1236" ht="15.75" customHeight="1">
      <c r="A1236" s="13">
        <f t="shared" si="9"/>
        <v>1233</v>
      </c>
      <c r="B1236" s="18">
        <f>A1236/'Orbit Info'!$G$10</f>
        <v>13.03197053</v>
      </c>
      <c r="C1236" s="13">
        <f t="shared" si="2"/>
        <v>0</v>
      </c>
      <c r="D1236" s="13">
        <f t="shared" si="3"/>
        <v>1</v>
      </c>
      <c r="E1236" s="13">
        <f t="shared" si="4"/>
        <v>0</v>
      </c>
      <c r="F1236" s="13">
        <f t="shared" si="5"/>
        <v>0</v>
      </c>
      <c r="G1236" s="13">
        <f t="shared" si="6"/>
        <v>1</v>
      </c>
      <c r="H1236" s="13">
        <f>'Orbit Info'!C1235*((C1236*$O$2)+(D1236*$O$3)+(E1236*$O$4)+(F1236*$O$5))</f>
        <v>15.628032</v>
      </c>
      <c r="I1236" s="13">
        <f t="shared" si="7"/>
        <v>8.62426</v>
      </c>
      <c r="J1236" s="18">
        <f t="shared" si="8"/>
        <v>0.1167295333</v>
      </c>
      <c r="K1236" s="18">
        <f t="shared" si="10"/>
        <v>83.6360998</v>
      </c>
      <c r="L1236" s="4"/>
      <c r="M1236" s="4"/>
      <c r="N1236" s="4"/>
      <c r="O1236" s="4"/>
      <c r="P1236" s="4"/>
      <c r="Q1236" s="4"/>
      <c r="R1236" s="4"/>
      <c r="S1236" s="4"/>
      <c r="T1236" s="4"/>
      <c r="U1236" s="4"/>
      <c r="V1236" s="4"/>
      <c r="W1236" s="4"/>
    </row>
    <row r="1237" ht="15.75" customHeight="1">
      <c r="A1237" s="13">
        <f t="shared" si="9"/>
        <v>1234</v>
      </c>
      <c r="B1237" s="18">
        <f>A1237/'Orbit Info'!$G$10</f>
        <v>13.04253985</v>
      </c>
      <c r="C1237" s="13">
        <f t="shared" si="2"/>
        <v>0</v>
      </c>
      <c r="D1237" s="13">
        <f t="shared" si="3"/>
        <v>1</v>
      </c>
      <c r="E1237" s="13">
        <f t="shared" si="4"/>
        <v>0</v>
      </c>
      <c r="F1237" s="13">
        <f t="shared" si="5"/>
        <v>0</v>
      </c>
      <c r="G1237" s="13">
        <f t="shared" si="6"/>
        <v>1</v>
      </c>
      <c r="H1237" s="13">
        <f>'Orbit Info'!C1236*((C1237*$O$2)+(D1237*$O$3)+(E1237*$O$4)+(F1237*$O$5))</f>
        <v>15.628032</v>
      </c>
      <c r="I1237" s="13">
        <f t="shared" si="7"/>
        <v>8.62426</v>
      </c>
      <c r="J1237" s="18">
        <f t="shared" si="8"/>
        <v>0.1167295333</v>
      </c>
      <c r="K1237" s="18">
        <f t="shared" si="10"/>
        <v>83.75282933</v>
      </c>
      <c r="L1237" s="4"/>
      <c r="M1237" s="4"/>
      <c r="N1237" s="4"/>
      <c r="O1237" s="4"/>
      <c r="P1237" s="4"/>
      <c r="Q1237" s="4"/>
      <c r="R1237" s="4"/>
      <c r="S1237" s="4"/>
      <c r="T1237" s="4"/>
      <c r="U1237" s="4"/>
      <c r="V1237" s="4"/>
      <c r="W1237" s="4"/>
    </row>
    <row r="1238" ht="15.75" customHeight="1">
      <c r="A1238" s="13">
        <f t="shared" si="9"/>
        <v>1235</v>
      </c>
      <c r="B1238" s="18">
        <f>A1238/'Orbit Info'!$G$10</f>
        <v>13.05310917</v>
      </c>
      <c r="C1238" s="13">
        <f t="shared" si="2"/>
        <v>0</v>
      </c>
      <c r="D1238" s="13">
        <f t="shared" si="3"/>
        <v>1</v>
      </c>
      <c r="E1238" s="13">
        <f t="shared" si="4"/>
        <v>0</v>
      </c>
      <c r="F1238" s="13">
        <f t="shared" si="5"/>
        <v>0</v>
      </c>
      <c r="G1238" s="13">
        <f t="shared" si="6"/>
        <v>1</v>
      </c>
      <c r="H1238" s="13">
        <f>'Orbit Info'!C1237*((C1238*$O$2)+(D1238*$O$3)+(E1238*$O$4)+(F1238*$O$5))</f>
        <v>15.628032</v>
      </c>
      <c r="I1238" s="13">
        <f t="shared" si="7"/>
        <v>8.62426</v>
      </c>
      <c r="J1238" s="18">
        <f t="shared" si="8"/>
        <v>0.1167295333</v>
      </c>
      <c r="K1238" s="18">
        <f t="shared" si="10"/>
        <v>83.86955887</v>
      </c>
      <c r="L1238" s="4"/>
      <c r="M1238" s="4"/>
      <c r="N1238" s="4"/>
      <c r="O1238" s="4"/>
      <c r="P1238" s="4"/>
      <c r="Q1238" s="4"/>
      <c r="R1238" s="4"/>
      <c r="S1238" s="4"/>
      <c r="T1238" s="4"/>
      <c r="U1238" s="4"/>
      <c r="V1238" s="4"/>
      <c r="W1238" s="4"/>
    </row>
    <row r="1239" ht="15.75" customHeight="1">
      <c r="A1239" s="13">
        <f t="shared" si="9"/>
        <v>1236</v>
      </c>
      <c r="B1239" s="18">
        <f>A1239/'Orbit Info'!$G$10</f>
        <v>13.06367849</v>
      </c>
      <c r="C1239" s="13">
        <f t="shared" si="2"/>
        <v>0</v>
      </c>
      <c r="D1239" s="13">
        <f t="shared" si="3"/>
        <v>1</v>
      </c>
      <c r="E1239" s="13">
        <f t="shared" si="4"/>
        <v>0</v>
      </c>
      <c r="F1239" s="13">
        <f t="shared" si="5"/>
        <v>0</v>
      </c>
      <c r="G1239" s="13">
        <f t="shared" si="6"/>
        <v>1</v>
      </c>
      <c r="H1239" s="13">
        <f>'Orbit Info'!C1238*((C1239*$O$2)+(D1239*$O$3)+(E1239*$O$4)+(F1239*$O$5))</f>
        <v>15.628032</v>
      </c>
      <c r="I1239" s="13">
        <f t="shared" si="7"/>
        <v>8.62426</v>
      </c>
      <c r="J1239" s="18">
        <f t="shared" si="8"/>
        <v>0.1167295333</v>
      </c>
      <c r="K1239" s="18">
        <f t="shared" si="10"/>
        <v>83.9862884</v>
      </c>
      <c r="L1239" s="4"/>
      <c r="M1239" s="4"/>
      <c r="N1239" s="4"/>
      <c r="O1239" s="4"/>
      <c r="P1239" s="4"/>
      <c r="Q1239" s="4"/>
      <c r="R1239" s="4"/>
      <c r="S1239" s="4"/>
      <c r="T1239" s="4"/>
      <c r="U1239" s="4"/>
      <c r="V1239" s="4"/>
      <c r="W1239" s="4"/>
    </row>
    <row r="1240" ht="15.75" customHeight="1">
      <c r="A1240" s="13">
        <f t="shared" si="9"/>
        <v>1237</v>
      </c>
      <c r="B1240" s="18">
        <f>A1240/'Orbit Info'!$G$10</f>
        <v>13.07424781</v>
      </c>
      <c r="C1240" s="13">
        <f t="shared" si="2"/>
        <v>0</v>
      </c>
      <c r="D1240" s="13">
        <f t="shared" si="3"/>
        <v>1</v>
      </c>
      <c r="E1240" s="13">
        <f t="shared" si="4"/>
        <v>0</v>
      </c>
      <c r="F1240" s="13">
        <f t="shared" si="5"/>
        <v>0</v>
      </c>
      <c r="G1240" s="13">
        <f t="shared" si="6"/>
        <v>1</v>
      </c>
      <c r="H1240" s="13">
        <f>'Orbit Info'!C1239*((C1240*$O$2)+(D1240*$O$3)+(E1240*$O$4)+(F1240*$O$5))</f>
        <v>15.628032</v>
      </c>
      <c r="I1240" s="13">
        <f t="shared" si="7"/>
        <v>8.62426</v>
      </c>
      <c r="J1240" s="18">
        <f t="shared" si="8"/>
        <v>0.1167295333</v>
      </c>
      <c r="K1240" s="18">
        <f t="shared" si="10"/>
        <v>84.10301793</v>
      </c>
      <c r="L1240" s="4"/>
      <c r="M1240" s="4"/>
      <c r="N1240" s="4"/>
      <c r="O1240" s="4"/>
      <c r="P1240" s="4"/>
      <c r="Q1240" s="4"/>
      <c r="R1240" s="4"/>
      <c r="S1240" s="4"/>
      <c r="T1240" s="4"/>
      <c r="U1240" s="4"/>
      <c r="V1240" s="4"/>
      <c r="W1240" s="4"/>
    </row>
    <row r="1241" ht="15.75" customHeight="1">
      <c r="A1241" s="13">
        <f t="shared" si="9"/>
        <v>1238</v>
      </c>
      <c r="B1241" s="18">
        <f>A1241/'Orbit Info'!$G$10</f>
        <v>13.08481713</v>
      </c>
      <c r="C1241" s="13">
        <f t="shared" si="2"/>
        <v>0</v>
      </c>
      <c r="D1241" s="13">
        <f t="shared" si="3"/>
        <v>1</v>
      </c>
      <c r="E1241" s="13">
        <f t="shared" si="4"/>
        <v>0</v>
      </c>
      <c r="F1241" s="13">
        <f t="shared" si="5"/>
        <v>0</v>
      </c>
      <c r="G1241" s="13">
        <f t="shared" si="6"/>
        <v>1</v>
      </c>
      <c r="H1241" s="13">
        <f>'Orbit Info'!C1240*((C1241*$O$2)+(D1241*$O$3)+(E1241*$O$4)+(F1241*$O$5))</f>
        <v>15.628032</v>
      </c>
      <c r="I1241" s="13">
        <f t="shared" si="7"/>
        <v>8.62426</v>
      </c>
      <c r="J1241" s="18">
        <f t="shared" si="8"/>
        <v>0.1167295333</v>
      </c>
      <c r="K1241" s="18">
        <f t="shared" si="10"/>
        <v>84.21974747</v>
      </c>
      <c r="L1241" s="4"/>
      <c r="M1241" s="4"/>
      <c r="N1241" s="4"/>
      <c r="O1241" s="4"/>
      <c r="P1241" s="4"/>
      <c r="Q1241" s="4"/>
      <c r="R1241" s="4"/>
      <c r="S1241" s="4"/>
      <c r="T1241" s="4"/>
      <c r="U1241" s="4"/>
      <c r="V1241" s="4"/>
      <c r="W1241" s="4"/>
    </row>
    <row r="1242" ht="15.75" customHeight="1">
      <c r="A1242" s="13">
        <f t="shared" si="9"/>
        <v>1239</v>
      </c>
      <c r="B1242" s="18">
        <f>A1242/'Orbit Info'!$G$10</f>
        <v>13.09538645</v>
      </c>
      <c r="C1242" s="13">
        <f t="shared" si="2"/>
        <v>0</v>
      </c>
      <c r="D1242" s="13">
        <f t="shared" si="3"/>
        <v>1</v>
      </c>
      <c r="E1242" s="13">
        <f t="shared" si="4"/>
        <v>0</v>
      </c>
      <c r="F1242" s="13">
        <f t="shared" si="5"/>
        <v>0</v>
      </c>
      <c r="G1242" s="13">
        <f t="shared" si="6"/>
        <v>1</v>
      </c>
      <c r="H1242" s="13">
        <f>'Orbit Info'!C1241*((C1242*$O$2)+(D1242*$O$3)+(E1242*$O$4)+(F1242*$O$5))</f>
        <v>15.628032</v>
      </c>
      <c r="I1242" s="13">
        <f t="shared" si="7"/>
        <v>8.62426</v>
      </c>
      <c r="J1242" s="18">
        <f t="shared" si="8"/>
        <v>0.1167295333</v>
      </c>
      <c r="K1242" s="18">
        <f t="shared" si="10"/>
        <v>84.336477</v>
      </c>
      <c r="L1242" s="4"/>
      <c r="M1242" s="4"/>
      <c r="N1242" s="4"/>
      <c r="O1242" s="4"/>
      <c r="P1242" s="4"/>
      <c r="Q1242" s="4"/>
      <c r="R1242" s="4"/>
      <c r="S1242" s="4"/>
      <c r="T1242" s="4"/>
      <c r="U1242" s="4"/>
      <c r="V1242" s="4"/>
      <c r="W1242" s="4"/>
    </row>
    <row r="1243" ht="15.75" customHeight="1">
      <c r="A1243" s="13">
        <f t="shared" si="9"/>
        <v>1240</v>
      </c>
      <c r="B1243" s="18">
        <f>A1243/'Orbit Info'!$G$10</f>
        <v>13.10595577</v>
      </c>
      <c r="C1243" s="13">
        <f t="shared" si="2"/>
        <v>0</v>
      </c>
      <c r="D1243" s="13">
        <f t="shared" si="3"/>
        <v>1</v>
      </c>
      <c r="E1243" s="13">
        <f t="shared" si="4"/>
        <v>0</v>
      </c>
      <c r="F1243" s="13">
        <f t="shared" si="5"/>
        <v>0</v>
      </c>
      <c r="G1243" s="13">
        <f t="shared" si="6"/>
        <v>1</v>
      </c>
      <c r="H1243" s="13">
        <f>'Orbit Info'!C1242*((C1243*$O$2)+(D1243*$O$3)+(E1243*$O$4)+(F1243*$O$5))</f>
        <v>15.628032</v>
      </c>
      <c r="I1243" s="13">
        <f t="shared" si="7"/>
        <v>8.62426</v>
      </c>
      <c r="J1243" s="18">
        <f t="shared" si="8"/>
        <v>0.1167295333</v>
      </c>
      <c r="K1243" s="18">
        <f t="shared" si="10"/>
        <v>84.45320653</v>
      </c>
      <c r="L1243" s="4"/>
      <c r="M1243" s="4"/>
      <c r="N1243" s="4"/>
      <c r="O1243" s="4"/>
      <c r="P1243" s="4"/>
      <c r="Q1243" s="4"/>
      <c r="R1243" s="4"/>
      <c r="S1243" s="4"/>
      <c r="T1243" s="4"/>
      <c r="U1243" s="4"/>
      <c r="V1243" s="4"/>
      <c r="W1243" s="4"/>
    </row>
    <row r="1244" ht="15.75" customHeight="1">
      <c r="A1244" s="13">
        <f t="shared" si="9"/>
        <v>1241</v>
      </c>
      <c r="B1244" s="18">
        <f>A1244/'Orbit Info'!$G$10</f>
        <v>13.11652508</v>
      </c>
      <c r="C1244" s="13">
        <f t="shared" si="2"/>
        <v>0</v>
      </c>
      <c r="D1244" s="13">
        <f t="shared" si="3"/>
        <v>1</v>
      </c>
      <c r="E1244" s="13">
        <f t="shared" si="4"/>
        <v>0</v>
      </c>
      <c r="F1244" s="13">
        <f t="shared" si="5"/>
        <v>0</v>
      </c>
      <c r="G1244" s="13">
        <f t="shared" si="6"/>
        <v>1</v>
      </c>
      <c r="H1244" s="13">
        <f>'Orbit Info'!C1243*((C1244*$O$2)+(D1244*$O$3)+(E1244*$O$4)+(F1244*$O$5))</f>
        <v>15.628032</v>
      </c>
      <c r="I1244" s="13">
        <f t="shared" si="7"/>
        <v>8.62426</v>
      </c>
      <c r="J1244" s="18">
        <f t="shared" si="8"/>
        <v>0.1167295333</v>
      </c>
      <c r="K1244" s="18">
        <f t="shared" si="10"/>
        <v>84.56993607</v>
      </c>
      <c r="L1244" s="4"/>
      <c r="M1244" s="4"/>
      <c r="N1244" s="4"/>
      <c r="O1244" s="4"/>
      <c r="P1244" s="4"/>
      <c r="Q1244" s="4"/>
      <c r="R1244" s="4"/>
      <c r="S1244" s="4"/>
      <c r="T1244" s="4"/>
      <c r="U1244" s="4"/>
      <c r="V1244" s="4"/>
      <c r="W1244" s="4"/>
    </row>
    <row r="1245" ht="15.75" customHeight="1">
      <c r="A1245" s="13">
        <f t="shared" si="9"/>
        <v>1242</v>
      </c>
      <c r="B1245" s="18">
        <f>A1245/'Orbit Info'!$G$10</f>
        <v>13.1270944</v>
      </c>
      <c r="C1245" s="13">
        <f t="shared" si="2"/>
        <v>0</v>
      </c>
      <c r="D1245" s="13">
        <f t="shared" si="3"/>
        <v>1</v>
      </c>
      <c r="E1245" s="13">
        <f t="shared" si="4"/>
        <v>0</v>
      </c>
      <c r="F1245" s="13">
        <f t="shared" si="5"/>
        <v>0</v>
      </c>
      <c r="G1245" s="13">
        <f t="shared" si="6"/>
        <v>1</v>
      </c>
      <c r="H1245" s="13">
        <f>'Orbit Info'!C1244*((C1245*$O$2)+(D1245*$O$3)+(E1245*$O$4)+(F1245*$O$5))</f>
        <v>15.628032</v>
      </c>
      <c r="I1245" s="13">
        <f t="shared" si="7"/>
        <v>8.62426</v>
      </c>
      <c r="J1245" s="18">
        <f t="shared" si="8"/>
        <v>0.1167295333</v>
      </c>
      <c r="K1245" s="18">
        <f t="shared" si="10"/>
        <v>84.6866656</v>
      </c>
      <c r="L1245" s="4"/>
      <c r="M1245" s="4"/>
      <c r="N1245" s="4"/>
      <c r="O1245" s="4"/>
      <c r="P1245" s="4"/>
      <c r="Q1245" s="4"/>
      <c r="R1245" s="4"/>
      <c r="S1245" s="4"/>
      <c r="T1245" s="4"/>
      <c r="U1245" s="4"/>
      <c r="V1245" s="4"/>
      <c r="W1245" s="4"/>
    </row>
    <row r="1246" ht="15.75" customHeight="1">
      <c r="A1246" s="13">
        <f t="shared" si="9"/>
        <v>1243</v>
      </c>
      <c r="B1246" s="18">
        <f>A1246/'Orbit Info'!$G$10</f>
        <v>13.13766372</v>
      </c>
      <c r="C1246" s="13">
        <f t="shared" si="2"/>
        <v>0</v>
      </c>
      <c r="D1246" s="13">
        <f t="shared" si="3"/>
        <v>1</v>
      </c>
      <c r="E1246" s="13">
        <f t="shared" si="4"/>
        <v>0</v>
      </c>
      <c r="F1246" s="13">
        <f t="shared" si="5"/>
        <v>0</v>
      </c>
      <c r="G1246" s="13">
        <f t="shared" si="6"/>
        <v>1</v>
      </c>
      <c r="H1246" s="13">
        <f>'Orbit Info'!C1245*((C1246*$O$2)+(D1246*$O$3)+(E1246*$O$4)+(F1246*$O$5))</f>
        <v>15.628032</v>
      </c>
      <c r="I1246" s="13">
        <f t="shared" si="7"/>
        <v>8.62426</v>
      </c>
      <c r="J1246" s="18">
        <f t="shared" si="8"/>
        <v>0.1167295333</v>
      </c>
      <c r="K1246" s="18">
        <f t="shared" si="10"/>
        <v>84.80339513</v>
      </c>
      <c r="L1246" s="4"/>
      <c r="M1246" s="4"/>
      <c r="N1246" s="4"/>
      <c r="O1246" s="4"/>
      <c r="P1246" s="4"/>
      <c r="Q1246" s="4"/>
      <c r="R1246" s="4"/>
      <c r="S1246" s="4"/>
      <c r="T1246" s="4"/>
      <c r="U1246" s="4"/>
      <c r="V1246" s="4"/>
      <c r="W1246" s="4"/>
    </row>
    <row r="1247" ht="15.75" customHeight="1">
      <c r="A1247" s="13">
        <f t="shared" si="9"/>
        <v>1244</v>
      </c>
      <c r="B1247" s="18">
        <f>A1247/'Orbit Info'!$G$10</f>
        <v>13.14823304</v>
      </c>
      <c r="C1247" s="13">
        <f t="shared" si="2"/>
        <v>0</v>
      </c>
      <c r="D1247" s="13">
        <f t="shared" si="3"/>
        <v>1</v>
      </c>
      <c r="E1247" s="13">
        <f t="shared" si="4"/>
        <v>0</v>
      </c>
      <c r="F1247" s="13">
        <f t="shared" si="5"/>
        <v>0</v>
      </c>
      <c r="G1247" s="13">
        <f t="shared" si="6"/>
        <v>1</v>
      </c>
      <c r="H1247" s="13">
        <f>'Orbit Info'!C1246*((C1247*$O$2)+(D1247*$O$3)+(E1247*$O$4)+(F1247*$O$5))</f>
        <v>15.628032</v>
      </c>
      <c r="I1247" s="13">
        <f t="shared" si="7"/>
        <v>8.62426</v>
      </c>
      <c r="J1247" s="18">
        <f t="shared" si="8"/>
        <v>0.1167295333</v>
      </c>
      <c r="K1247" s="18">
        <f t="shared" si="10"/>
        <v>84.92012467</v>
      </c>
      <c r="L1247" s="4"/>
      <c r="M1247" s="4"/>
      <c r="N1247" s="4"/>
      <c r="O1247" s="4"/>
      <c r="P1247" s="4"/>
      <c r="Q1247" s="4"/>
      <c r="R1247" s="4"/>
      <c r="S1247" s="4"/>
      <c r="T1247" s="4"/>
      <c r="U1247" s="4"/>
      <c r="V1247" s="4"/>
      <c r="W1247" s="4"/>
    </row>
    <row r="1248" ht="15.75" customHeight="1">
      <c r="A1248" s="13">
        <f t="shared" si="9"/>
        <v>1245</v>
      </c>
      <c r="B1248" s="18">
        <f>A1248/'Orbit Info'!$G$10</f>
        <v>13.15880236</v>
      </c>
      <c r="C1248" s="13">
        <f t="shared" si="2"/>
        <v>0</v>
      </c>
      <c r="D1248" s="13">
        <f t="shared" si="3"/>
        <v>1</v>
      </c>
      <c r="E1248" s="13">
        <f t="shared" si="4"/>
        <v>0</v>
      </c>
      <c r="F1248" s="13">
        <f t="shared" si="5"/>
        <v>0</v>
      </c>
      <c r="G1248" s="13">
        <f t="shared" si="6"/>
        <v>1</v>
      </c>
      <c r="H1248" s="13">
        <f>'Orbit Info'!C1247*((C1248*$O$2)+(D1248*$O$3)+(E1248*$O$4)+(F1248*$O$5))</f>
        <v>15.628032</v>
      </c>
      <c r="I1248" s="13">
        <f t="shared" si="7"/>
        <v>8.62426</v>
      </c>
      <c r="J1248" s="18">
        <f t="shared" si="8"/>
        <v>0.1167295333</v>
      </c>
      <c r="K1248" s="18">
        <f t="shared" si="10"/>
        <v>85.0368542</v>
      </c>
      <c r="L1248" s="4"/>
      <c r="M1248" s="4"/>
      <c r="N1248" s="4"/>
      <c r="O1248" s="4"/>
      <c r="P1248" s="4"/>
      <c r="Q1248" s="4"/>
      <c r="R1248" s="4"/>
      <c r="S1248" s="4"/>
      <c r="T1248" s="4"/>
      <c r="U1248" s="4"/>
      <c r="V1248" s="4"/>
      <c r="W1248" s="4"/>
    </row>
    <row r="1249" ht="15.75" customHeight="1">
      <c r="A1249" s="13">
        <f t="shared" si="9"/>
        <v>1246</v>
      </c>
      <c r="B1249" s="18">
        <f>A1249/'Orbit Info'!$G$10</f>
        <v>13.16937168</v>
      </c>
      <c r="C1249" s="13">
        <f t="shared" si="2"/>
        <v>0</v>
      </c>
      <c r="D1249" s="13">
        <f t="shared" si="3"/>
        <v>1</v>
      </c>
      <c r="E1249" s="13">
        <f t="shared" si="4"/>
        <v>0</v>
      </c>
      <c r="F1249" s="13">
        <f t="shared" si="5"/>
        <v>0</v>
      </c>
      <c r="G1249" s="13">
        <f t="shared" si="6"/>
        <v>1</v>
      </c>
      <c r="H1249" s="13">
        <f>'Orbit Info'!C1248*((C1249*$O$2)+(D1249*$O$3)+(E1249*$O$4)+(F1249*$O$5))</f>
        <v>15.628032</v>
      </c>
      <c r="I1249" s="13">
        <f t="shared" si="7"/>
        <v>8.62426</v>
      </c>
      <c r="J1249" s="18">
        <f t="shared" si="8"/>
        <v>0.1167295333</v>
      </c>
      <c r="K1249" s="18">
        <f t="shared" si="10"/>
        <v>85.15358373</v>
      </c>
      <c r="L1249" s="4"/>
      <c r="M1249" s="4"/>
      <c r="N1249" s="4"/>
      <c r="O1249" s="4"/>
      <c r="P1249" s="4"/>
      <c r="Q1249" s="4"/>
      <c r="R1249" s="4"/>
      <c r="S1249" s="4"/>
      <c r="T1249" s="4"/>
      <c r="U1249" s="4"/>
      <c r="V1249" s="4"/>
      <c r="W1249" s="4"/>
    </row>
    <row r="1250" ht="15.75" customHeight="1">
      <c r="A1250" s="13">
        <f t="shared" si="9"/>
        <v>1247</v>
      </c>
      <c r="B1250" s="18">
        <f>A1250/'Orbit Info'!$G$10</f>
        <v>13.179941</v>
      </c>
      <c r="C1250" s="13">
        <f t="shared" si="2"/>
        <v>0</v>
      </c>
      <c r="D1250" s="13">
        <f t="shared" si="3"/>
        <v>1</v>
      </c>
      <c r="E1250" s="13">
        <f t="shared" si="4"/>
        <v>0</v>
      </c>
      <c r="F1250" s="13">
        <f t="shared" si="5"/>
        <v>0</v>
      </c>
      <c r="G1250" s="13">
        <f t="shared" si="6"/>
        <v>1</v>
      </c>
      <c r="H1250" s="13">
        <f>'Orbit Info'!C1249*((C1250*$O$2)+(D1250*$O$3)+(E1250*$O$4)+(F1250*$O$5))</f>
        <v>15.628032</v>
      </c>
      <c r="I1250" s="13">
        <f t="shared" si="7"/>
        <v>8.62426</v>
      </c>
      <c r="J1250" s="18">
        <f t="shared" si="8"/>
        <v>0.1167295333</v>
      </c>
      <c r="K1250" s="18">
        <f t="shared" si="10"/>
        <v>85.27031327</v>
      </c>
      <c r="L1250" s="4"/>
      <c r="M1250" s="4"/>
      <c r="N1250" s="4"/>
      <c r="O1250" s="4"/>
      <c r="P1250" s="4"/>
      <c r="Q1250" s="4"/>
      <c r="R1250" s="4"/>
      <c r="S1250" s="4"/>
      <c r="T1250" s="4"/>
      <c r="U1250" s="4"/>
      <c r="V1250" s="4"/>
      <c r="W1250" s="4"/>
    </row>
    <row r="1251" ht="15.75" customHeight="1">
      <c r="A1251" s="13">
        <f t="shared" si="9"/>
        <v>1248</v>
      </c>
      <c r="B1251" s="18">
        <f>A1251/'Orbit Info'!$G$10</f>
        <v>13.19051032</v>
      </c>
      <c r="C1251" s="13">
        <f t="shared" si="2"/>
        <v>0</v>
      </c>
      <c r="D1251" s="13">
        <f t="shared" si="3"/>
        <v>1</v>
      </c>
      <c r="E1251" s="13">
        <f t="shared" si="4"/>
        <v>0</v>
      </c>
      <c r="F1251" s="13">
        <f t="shared" si="5"/>
        <v>0</v>
      </c>
      <c r="G1251" s="13">
        <f t="shared" si="6"/>
        <v>1</v>
      </c>
      <c r="H1251" s="13">
        <f>'Orbit Info'!C1250*((C1251*$O$2)+(D1251*$O$3)+(E1251*$O$4)+(F1251*$O$5))</f>
        <v>15.628032</v>
      </c>
      <c r="I1251" s="13">
        <f t="shared" si="7"/>
        <v>8.62426</v>
      </c>
      <c r="J1251" s="18">
        <f t="shared" si="8"/>
        <v>0.1167295333</v>
      </c>
      <c r="K1251" s="18">
        <f t="shared" si="10"/>
        <v>85.3870428</v>
      </c>
      <c r="L1251" s="4"/>
      <c r="M1251" s="4"/>
      <c r="N1251" s="4"/>
      <c r="O1251" s="4"/>
      <c r="P1251" s="4"/>
      <c r="Q1251" s="4"/>
      <c r="R1251" s="4"/>
      <c r="S1251" s="4"/>
      <c r="T1251" s="4"/>
      <c r="U1251" s="4"/>
      <c r="V1251" s="4"/>
      <c r="W1251" s="4"/>
    </row>
    <row r="1252" ht="15.75" customHeight="1">
      <c r="A1252" s="13">
        <f t="shared" si="9"/>
        <v>1249</v>
      </c>
      <c r="B1252" s="18">
        <f>A1252/'Orbit Info'!$G$10</f>
        <v>13.20107964</v>
      </c>
      <c r="C1252" s="13">
        <f t="shared" si="2"/>
        <v>0</v>
      </c>
      <c r="D1252" s="13">
        <f t="shared" si="3"/>
        <v>1</v>
      </c>
      <c r="E1252" s="13">
        <f t="shared" si="4"/>
        <v>0</v>
      </c>
      <c r="F1252" s="13">
        <f t="shared" si="5"/>
        <v>0</v>
      </c>
      <c r="G1252" s="13">
        <f t="shared" si="6"/>
        <v>1</v>
      </c>
      <c r="H1252" s="13">
        <f>'Orbit Info'!C1251*((C1252*$O$2)+(D1252*$O$3)+(E1252*$O$4)+(F1252*$O$5))</f>
        <v>15.628032</v>
      </c>
      <c r="I1252" s="13">
        <f t="shared" si="7"/>
        <v>8.62426</v>
      </c>
      <c r="J1252" s="18">
        <f t="shared" si="8"/>
        <v>0.1167295333</v>
      </c>
      <c r="K1252" s="18">
        <f t="shared" si="10"/>
        <v>85.50377233</v>
      </c>
      <c r="L1252" s="4"/>
      <c r="M1252" s="4"/>
      <c r="N1252" s="4"/>
      <c r="O1252" s="4"/>
      <c r="P1252" s="4"/>
      <c r="Q1252" s="4"/>
      <c r="R1252" s="4"/>
      <c r="S1252" s="4"/>
      <c r="T1252" s="4"/>
      <c r="U1252" s="4"/>
      <c r="V1252" s="4"/>
      <c r="W1252" s="4"/>
    </row>
    <row r="1253" ht="15.75" customHeight="1">
      <c r="A1253" s="13">
        <f t="shared" si="9"/>
        <v>1250</v>
      </c>
      <c r="B1253" s="18">
        <f>A1253/'Orbit Info'!$G$10</f>
        <v>13.21164896</v>
      </c>
      <c r="C1253" s="13">
        <f t="shared" si="2"/>
        <v>0</v>
      </c>
      <c r="D1253" s="13">
        <f t="shared" si="3"/>
        <v>1</v>
      </c>
      <c r="E1253" s="13">
        <f t="shared" si="4"/>
        <v>0</v>
      </c>
      <c r="F1253" s="13">
        <f t="shared" si="5"/>
        <v>0</v>
      </c>
      <c r="G1253" s="13">
        <f t="shared" si="6"/>
        <v>1</v>
      </c>
      <c r="H1253" s="13">
        <f>'Orbit Info'!C1252*((C1253*$O$2)+(D1253*$O$3)+(E1253*$O$4)+(F1253*$O$5))</f>
        <v>15.628032</v>
      </c>
      <c r="I1253" s="13">
        <f t="shared" si="7"/>
        <v>8.62426</v>
      </c>
      <c r="J1253" s="18">
        <f t="shared" si="8"/>
        <v>0.1167295333</v>
      </c>
      <c r="K1253" s="18">
        <f t="shared" si="10"/>
        <v>85.62050187</v>
      </c>
      <c r="L1253" s="4"/>
      <c r="M1253" s="4"/>
      <c r="N1253" s="4"/>
      <c r="O1253" s="4"/>
      <c r="P1253" s="4"/>
      <c r="Q1253" s="4"/>
      <c r="R1253" s="4"/>
      <c r="S1253" s="4"/>
      <c r="T1253" s="4"/>
      <c r="U1253" s="4"/>
      <c r="V1253" s="4"/>
      <c r="W1253" s="4"/>
    </row>
    <row r="1254" ht="15.75" customHeight="1">
      <c r="A1254" s="13">
        <f t="shared" si="9"/>
        <v>1251</v>
      </c>
      <c r="B1254" s="18">
        <f>A1254/'Orbit Info'!$G$10</f>
        <v>13.22221828</v>
      </c>
      <c r="C1254" s="13">
        <f t="shared" si="2"/>
        <v>0</v>
      </c>
      <c r="D1254" s="13">
        <f t="shared" si="3"/>
        <v>1</v>
      </c>
      <c r="E1254" s="13">
        <f t="shared" si="4"/>
        <v>0</v>
      </c>
      <c r="F1254" s="13">
        <f t="shared" si="5"/>
        <v>0</v>
      </c>
      <c r="G1254" s="13">
        <f t="shared" si="6"/>
        <v>1</v>
      </c>
      <c r="H1254" s="13">
        <f>'Orbit Info'!C1253*((C1254*$O$2)+(D1254*$O$3)+(E1254*$O$4)+(F1254*$O$5))</f>
        <v>15.628032</v>
      </c>
      <c r="I1254" s="13">
        <f t="shared" si="7"/>
        <v>8.62426</v>
      </c>
      <c r="J1254" s="18">
        <f t="shared" si="8"/>
        <v>0.1167295333</v>
      </c>
      <c r="K1254" s="18">
        <f t="shared" si="10"/>
        <v>85.7372314</v>
      </c>
      <c r="L1254" s="4"/>
      <c r="M1254" s="4"/>
      <c r="N1254" s="4"/>
      <c r="O1254" s="4"/>
      <c r="P1254" s="4"/>
      <c r="Q1254" s="4"/>
      <c r="R1254" s="4"/>
      <c r="S1254" s="4"/>
      <c r="T1254" s="4"/>
      <c r="U1254" s="4"/>
      <c r="V1254" s="4"/>
      <c r="W1254" s="4"/>
    </row>
    <row r="1255" ht="15.75" customHeight="1">
      <c r="A1255" s="13">
        <f t="shared" si="9"/>
        <v>1252</v>
      </c>
      <c r="B1255" s="18">
        <f>A1255/'Orbit Info'!$G$10</f>
        <v>13.2327876</v>
      </c>
      <c r="C1255" s="13">
        <f t="shared" si="2"/>
        <v>0</v>
      </c>
      <c r="D1255" s="13">
        <f t="shared" si="3"/>
        <v>1</v>
      </c>
      <c r="E1255" s="13">
        <f t="shared" si="4"/>
        <v>0</v>
      </c>
      <c r="F1255" s="13">
        <f t="shared" si="5"/>
        <v>0</v>
      </c>
      <c r="G1255" s="13">
        <f t="shared" si="6"/>
        <v>1</v>
      </c>
      <c r="H1255" s="13">
        <f>'Orbit Info'!C1254*((C1255*$O$2)+(D1255*$O$3)+(E1255*$O$4)+(F1255*$O$5))</f>
        <v>15.628032</v>
      </c>
      <c r="I1255" s="13">
        <f t="shared" si="7"/>
        <v>8.62426</v>
      </c>
      <c r="J1255" s="18">
        <f t="shared" si="8"/>
        <v>0.1167295333</v>
      </c>
      <c r="K1255" s="18">
        <f t="shared" si="10"/>
        <v>85.85396093</v>
      </c>
      <c r="L1255" s="4"/>
      <c r="M1255" s="4"/>
      <c r="N1255" s="4"/>
      <c r="O1255" s="4"/>
      <c r="P1255" s="4"/>
      <c r="Q1255" s="4"/>
      <c r="R1255" s="4"/>
      <c r="S1255" s="4"/>
      <c r="T1255" s="4"/>
      <c r="U1255" s="4"/>
      <c r="V1255" s="4"/>
      <c r="W1255" s="4"/>
    </row>
    <row r="1256" ht="15.75" customHeight="1">
      <c r="A1256" s="13">
        <f t="shared" si="9"/>
        <v>1253</v>
      </c>
      <c r="B1256" s="18">
        <f>A1256/'Orbit Info'!$G$10</f>
        <v>13.24335691</v>
      </c>
      <c r="C1256" s="13">
        <f t="shared" si="2"/>
        <v>0</v>
      </c>
      <c r="D1256" s="13">
        <f t="shared" si="3"/>
        <v>1</v>
      </c>
      <c r="E1256" s="13">
        <f t="shared" si="4"/>
        <v>0</v>
      </c>
      <c r="F1256" s="13">
        <f t="shared" si="5"/>
        <v>0</v>
      </c>
      <c r="G1256" s="13">
        <f t="shared" si="6"/>
        <v>1</v>
      </c>
      <c r="H1256" s="13">
        <f>'Orbit Info'!C1255*((C1256*$O$2)+(D1256*$O$3)+(E1256*$O$4)+(F1256*$O$5))</f>
        <v>15.628032</v>
      </c>
      <c r="I1256" s="13">
        <f t="shared" si="7"/>
        <v>8.62426</v>
      </c>
      <c r="J1256" s="18">
        <f t="shared" si="8"/>
        <v>0.1167295333</v>
      </c>
      <c r="K1256" s="18">
        <f t="shared" si="10"/>
        <v>85.97069047</v>
      </c>
      <c r="L1256" s="4"/>
      <c r="M1256" s="4"/>
      <c r="N1256" s="4"/>
      <c r="O1256" s="4"/>
      <c r="P1256" s="4"/>
      <c r="Q1256" s="4"/>
      <c r="R1256" s="4"/>
      <c r="S1256" s="4"/>
      <c r="T1256" s="4"/>
      <c r="U1256" s="4"/>
      <c r="V1256" s="4"/>
      <c r="W1256" s="4"/>
    </row>
    <row r="1257" ht="15.75" customHeight="1">
      <c r="A1257" s="13">
        <f t="shared" si="9"/>
        <v>1254</v>
      </c>
      <c r="B1257" s="18">
        <f>A1257/'Orbit Info'!$G$10</f>
        <v>13.25392623</v>
      </c>
      <c r="C1257" s="13">
        <f t="shared" si="2"/>
        <v>0</v>
      </c>
      <c r="D1257" s="13">
        <f t="shared" si="3"/>
        <v>1</v>
      </c>
      <c r="E1257" s="13">
        <f t="shared" si="4"/>
        <v>0</v>
      </c>
      <c r="F1257" s="13">
        <f t="shared" si="5"/>
        <v>0</v>
      </c>
      <c r="G1257" s="13">
        <f t="shared" si="6"/>
        <v>1</v>
      </c>
      <c r="H1257" s="13">
        <f>'Orbit Info'!C1256*((C1257*$O$2)+(D1257*$O$3)+(E1257*$O$4)+(F1257*$O$5))</f>
        <v>15.628032</v>
      </c>
      <c r="I1257" s="13">
        <f t="shared" si="7"/>
        <v>8.62426</v>
      </c>
      <c r="J1257" s="18">
        <f t="shared" si="8"/>
        <v>0.1167295333</v>
      </c>
      <c r="K1257" s="18">
        <f t="shared" si="10"/>
        <v>86.08742</v>
      </c>
      <c r="L1257" s="4"/>
      <c r="M1257" s="4"/>
      <c r="N1257" s="4"/>
      <c r="O1257" s="4"/>
      <c r="P1257" s="4"/>
      <c r="Q1257" s="4"/>
      <c r="R1257" s="4"/>
      <c r="S1257" s="4"/>
      <c r="T1257" s="4"/>
      <c r="U1257" s="4"/>
      <c r="V1257" s="4"/>
      <c r="W1257" s="4"/>
    </row>
    <row r="1258" ht="15.75" customHeight="1">
      <c r="A1258" s="13">
        <f t="shared" si="9"/>
        <v>1255</v>
      </c>
      <c r="B1258" s="18">
        <f>A1258/'Orbit Info'!$G$10</f>
        <v>13.26449555</v>
      </c>
      <c r="C1258" s="13">
        <f t="shared" si="2"/>
        <v>0</v>
      </c>
      <c r="D1258" s="13">
        <f t="shared" si="3"/>
        <v>1</v>
      </c>
      <c r="E1258" s="13">
        <f t="shared" si="4"/>
        <v>0</v>
      </c>
      <c r="F1258" s="13">
        <f t="shared" si="5"/>
        <v>0</v>
      </c>
      <c r="G1258" s="13">
        <f t="shared" si="6"/>
        <v>1</v>
      </c>
      <c r="H1258" s="13">
        <f>'Orbit Info'!C1257*((C1258*$O$2)+(D1258*$O$3)+(E1258*$O$4)+(F1258*$O$5))</f>
        <v>15.628032</v>
      </c>
      <c r="I1258" s="13">
        <f t="shared" si="7"/>
        <v>8.62426</v>
      </c>
      <c r="J1258" s="18">
        <f t="shared" si="8"/>
        <v>0.1167295333</v>
      </c>
      <c r="K1258" s="18">
        <f t="shared" si="10"/>
        <v>86.20414953</v>
      </c>
      <c r="L1258" s="4"/>
      <c r="M1258" s="4"/>
      <c r="N1258" s="4"/>
      <c r="O1258" s="4"/>
      <c r="P1258" s="4"/>
      <c r="Q1258" s="4"/>
      <c r="R1258" s="4"/>
      <c r="S1258" s="4"/>
      <c r="T1258" s="4"/>
      <c r="U1258" s="4"/>
      <c r="V1258" s="4"/>
      <c r="W1258" s="4"/>
    </row>
    <row r="1259" ht="15.75" customHeight="1">
      <c r="A1259" s="13">
        <f t="shared" si="9"/>
        <v>1256</v>
      </c>
      <c r="B1259" s="18">
        <f>A1259/'Orbit Info'!$G$10</f>
        <v>13.27506487</v>
      </c>
      <c r="C1259" s="13">
        <f t="shared" si="2"/>
        <v>0</v>
      </c>
      <c r="D1259" s="13">
        <f t="shared" si="3"/>
        <v>1</v>
      </c>
      <c r="E1259" s="13">
        <f t="shared" si="4"/>
        <v>0</v>
      </c>
      <c r="F1259" s="13">
        <f t="shared" si="5"/>
        <v>0</v>
      </c>
      <c r="G1259" s="13">
        <f t="shared" si="6"/>
        <v>1</v>
      </c>
      <c r="H1259" s="13">
        <f>'Orbit Info'!C1258*((C1259*$O$2)+(D1259*$O$3)+(E1259*$O$4)+(F1259*$O$5))</f>
        <v>15.628032</v>
      </c>
      <c r="I1259" s="13">
        <f t="shared" si="7"/>
        <v>8.62426</v>
      </c>
      <c r="J1259" s="18">
        <f t="shared" si="8"/>
        <v>0.1167295333</v>
      </c>
      <c r="K1259" s="18">
        <f t="shared" si="10"/>
        <v>86.32087907</v>
      </c>
      <c r="L1259" s="4"/>
      <c r="M1259" s="4"/>
      <c r="N1259" s="4"/>
      <c r="O1259" s="4"/>
      <c r="P1259" s="4"/>
      <c r="Q1259" s="4"/>
      <c r="R1259" s="4"/>
      <c r="S1259" s="4"/>
      <c r="T1259" s="4"/>
      <c r="U1259" s="4"/>
      <c r="V1259" s="4"/>
      <c r="W1259" s="4"/>
    </row>
    <row r="1260" ht="15.75" customHeight="1">
      <c r="A1260" s="13">
        <f t="shared" si="9"/>
        <v>1257</v>
      </c>
      <c r="B1260" s="18">
        <f>A1260/'Orbit Info'!$G$10</f>
        <v>13.28563419</v>
      </c>
      <c r="C1260" s="13">
        <f t="shared" si="2"/>
        <v>0</v>
      </c>
      <c r="D1260" s="13">
        <f t="shared" si="3"/>
        <v>1</v>
      </c>
      <c r="E1260" s="13">
        <f t="shared" si="4"/>
        <v>0</v>
      </c>
      <c r="F1260" s="13">
        <f t="shared" si="5"/>
        <v>0</v>
      </c>
      <c r="G1260" s="13">
        <f t="shared" si="6"/>
        <v>1</v>
      </c>
      <c r="H1260" s="13">
        <f>'Orbit Info'!C1259*((C1260*$O$2)+(D1260*$O$3)+(E1260*$O$4)+(F1260*$O$5))</f>
        <v>15.628032</v>
      </c>
      <c r="I1260" s="13">
        <f t="shared" si="7"/>
        <v>8.62426</v>
      </c>
      <c r="J1260" s="18">
        <f t="shared" si="8"/>
        <v>0.1167295333</v>
      </c>
      <c r="K1260" s="18">
        <f t="shared" si="10"/>
        <v>86.4376086</v>
      </c>
      <c r="L1260" s="4"/>
      <c r="M1260" s="4"/>
      <c r="N1260" s="4"/>
      <c r="O1260" s="4"/>
      <c r="P1260" s="4"/>
      <c r="Q1260" s="4"/>
      <c r="R1260" s="4"/>
      <c r="S1260" s="4"/>
      <c r="T1260" s="4"/>
      <c r="U1260" s="4"/>
      <c r="V1260" s="4"/>
      <c r="W1260" s="4"/>
    </row>
    <row r="1261" ht="15.75" customHeight="1">
      <c r="A1261" s="13">
        <f t="shared" si="9"/>
        <v>1258</v>
      </c>
      <c r="B1261" s="18">
        <f>A1261/'Orbit Info'!$G$10</f>
        <v>13.29620351</v>
      </c>
      <c r="C1261" s="13">
        <f t="shared" si="2"/>
        <v>0</v>
      </c>
      <c r="D1261" s="13">
        <f t="shared" si="3"/>
        <v>1</v>
      </c>
      <c r="E1261" s="13">
        <f t="shared" si="4"/>
        <v>0</v>
      </c>
      <c r="F1261" s="13">
        <f t="shared" si="5"/>
        <v>0</v>
      </c>
      <c r="G1261" s="13">
        <f t="shared" si="6"/>
        <v>1</v>
      </c>
      <c r="H1261" s="13">
        <f>'Orbit Info'!C1260*((C1261*$O$2)+(D1261*$O$3)+(E1261*$O$4)+(F1261*$O$5))</f>
        <v>15.628032</v>
      </c>
      <c r="I1261" s="13">
        <f t="shared" si="7"/>
        <v>8.62426</v>
      </c>
      <c r="J1261" s="18">
        <f t="shared" si="8"/>
        <v>0.1167295333</v>
      </c>
      <c r="K1261" s="18">
        <f t="shared" si="10"/>
        <v>86.55433813</v>
      </c>
      <c r="L1261" s="4"/>
      <c r="M1261" s="4"/>
      <c r="N1261" s="4"/>
      <c r="O1261" s="4"/>
      <c r="P1261" s="4"/>
      <c r="Q1261" s="4"/>
      <c r="R1261" s="4"/>
      <c r="S1261" s="4"/>
      <c r="T1261" s="4"/>
      <c r="U1261" s="4"/>
      <c r="V1261" s="4"/>
      <c r="W1261" s="4"/>
    </row>
    <row r="1262" ht="15.75" customHeight="1">
      <c r="A1262" s="13">
        <f t="shared" si="9"/>
        <v>1259</v>
      </c>
      <c r="B1262" s="18">
        <f>A1262/'Orbit Info'!$G$10</f>
        <v>13.30677283</v>
      </c>
      <c r="C1262" s="13">
        <f t="shared" si="2"/>
        <v>0</v>
      </c>
      <c r="D1262" s="13">
        <f t="shared" si="3"/>
        <v>1</v>
      </c>
      <c r="E1262" s="13">
        <f t="shared" si="4"/>
        <v>0</v>
      </c>
      <c r="F1262" s="13">
        <f t="shared" si="5"/>
        <v>0</v>
      </c>
      <c r="G1262" s="13">
        <f t="shared" si="6"/>
        <v>1</v>
      </c>
      <c r="H1262" s="13">
        <f>'Orbit Info'!C1261*((C1262*$O$2)+(D1262*$O$3)+(E1262*$O$4)+(F1262*$O$5))</f>
        <v>15.628032</v>
      </c>
      <c r="I1262" s="13">
        <f t="shared" si="7"/>
        <v>8.62426</v>
      </c>
      <c r="J1262" s="18">
        <f t="shared" si="8"/>
        <v>0.1167295333</v>
      </c>
      <c r="K1262" s="18">
        <f t="shared" si="10"/>
        <v>86.67106767</v>
      </c>
      <c r="L1262" s="4"/>
      <c r="M1262" s="4"/>
      <c r="N1262" s="4"/>
      <c r="O1262" s="4"/>
      <c r="P1262" s="4"/>
      <c r="Q1262" s="4"/>
      <c r="R1262" s="4"/>
      <c r="S1262" s="4"/>
      <c r="T1262" s="4"/>
      <c r="U1262" s="4"/>
      <c r="V1262" s="4"/>
      <c r="W1262" s="4"/>
    </row>
    <row r="1263" ht="15.75" customHeight="1">
      <c r="A1263" s="13">
        <f t="shared" si="9"/>
        <v>1260</v>
      </c>
      <c r="B1263" s="18">
        <f>A1263/'Orbit Info'!$G$10</f>
        <v>13.31734215</v>
      </c>
      <c r="C1263" s="13">
        <f t="shared" si="2"/>
        <v>0</v>
      </c>
      <c r="D1263" s="13">
        <f t="shared" si="3"/>
        <v>1</v>
      </c>
      <c r="E1263" s="13">
        <f t="shared" si="4"/>
        <v>0</v>
      </c>
      <c r="F1263" s="13">
        <f t="shared" si="5"/>
        <v>0</v>
      </c>
      <c r="G1263" s="13">
        <f t="shared" si="6"/>
        <v>1</v>
      </c>
      <c r="H1263" s="13">
        <f>'Orbit Info'!C1262*((C1263*$O$2)+(D1263*$O$3)+(E1263*$O$4)+(F1263*$O$5))</f>
        <v>15.628032</v>
      </c>
      <c r="I1263" s="13">
        <f t="shared" si="7"/>
        <v>8.62426</v>
      </c>
      <c r="J1263" s="18">
        <f t="shared" si="8"/>
        <v>0.1167295333</v>
      </c>
      <c r="K1263" s="18">
        <f t="shared" si="10"/>
        <v>86.7877972</v>
      </c>
      <c r="L1263" s="4"/>
      <c r="M1263" s="4"/>
      <c r="N1263" s="4"/>
      <c r="O1263" s="4"/>
      <c r="P1263" s="4"/>
      <c r="Q1263" s="4"/>
      <c r="R1263" s="4"/>
      <c r="S1263" s="4"/>
      <c r="T1263" s="4"/>
      <c r="U1263" s="4"/>
      <c r="V1263" s="4"/>
      <c r="W1263" s="4"/>
    </row>
    <row r="1264" ht="15.75" customHeight="1">
      <c r="A1264" s="13">
        <f t="shared" si="9"/>
        <v>1261</v>
      </c>
      <c r="B1264" s="18">
        <f>A1264/'Orbit Info'!$G$10</f>
        <v>13.32791147</v>
      </c>
      <c r="C1264" s="13">
        <f t="shared" si="2"/>
        <v>0</v>
      </c>
      <c r="D1264" s="13">
        <f t="shared" si="3"/>
        <v>1</v>
      </c>
      <c r="E1264" s="13">
        <f t="shared" si="4"/>
        <v>0</v>
      </c>
      <c r="F1264" s="13">
        <f t="shared" si="5"/>
        <v>0</v>
      </c>
      <c r="G1264" s="13">
        <f t="shared" si="6"/>
        <v>1</v>
      </c>
      <c r="H1264" s="13">
        <f>'Orbit Info'!C1263*((C1264*$O$2)+(D1264*$O$3)+(E1264*$O$4)+(F1264*$O$5))</f>
        <v>15.628032</v>
      </c>
      <c r="I1264" s="13">
        <f t="shared" si="7"/>
        <v>8.62426</v>
      </c>
      <c r="J1264" s="18">
        <f t="shared" si="8"/>
        <v>0.1167295333</v>
      </c>
      <c r="K1264" s="18">
        <f t="shared" si="10"/>
        <v>86.90452673</v>
      </c>
      <c r="L1264" s="4"/>
      <c r="M1264" s="4"/>
      <c r="N1264" s="4"/>
      <c r="O1264" s="4"/>
      <c r="P1264" s="4"/>
      <c r="Q1264" s="4"/>
      <c r="R1264" s="4"/>
      <c r="S1264" s="4"/>
      <c r="T1264" s="4"/>
      <c r="U1264" s="4"/>
      <c r="V1264" s="4"/>
      <c r="W1264" s="4"/>
    </row>
    <row r="1265" ht="15.75" customHeight="1">
      <c r="A1265" s="13">
        <f t="shared" si="9"/>
        <v>1262</v>
      </c>
      <c r="B1265" s="18">
        <f>A1265/'Orbit Info'!$G$10</f>
        <v>13.33848079</v>
      </c>
      <c r="C1265" s="13">
        <f t="shared" si="2"/>
        <v>0</v>
      </c>
      <c r="D1265" s="13">
        <f t="shared" si="3"/>
        <v>1</v>
      </c>
      <c r="E1265" s="13">
        <f t="shared" si="4"/>
        <v>0</v>
      </c>
      <c r="F1265" s="13">
        <f t="shared" si="5"/>
        <v>0</v>
      </c>
      <c r="G1265" s="13">
        <f t="shared" si="6"/>
        <v>1</v>
      </c>
      <c r="H1265" s="13">
        <f>'Orbit Info'!C1264*((C1265*$O$2)+(D1265*$O$3)+(E1265*$O$4)+(F1265*$O$5))</f>
        <v>15.628032</v>
      </c>
      <c r="I1265" s="13">
        <f t="shared" si="7"/>
        <v>8.62426</v>
      </c>
      <c r="J1265" s="18">
        <f t="shared" si="8"/>
        <v>0.1167295333</v>
      </c>
      <c r="K1265" s="18">
        <f t="shared" si="10"/>
        <v>87.02125627</v>
      </c>
      <c r="L1265" s="4"/>
      <c r="M1265" s="4"/>
      <c r="N1265" s="4"/>
      <c r="O1265" s="4"/>
      <c r="P1265" s="4"/>
      <c r="Q1265" s="4"/>
      <c r="R1265" s="4"/>
      <c r="S1265" s="4"/>
      <c r="T1265" s="4"/>
      <c r="U1265" s="4"/>
      <c r="V1265" s="4"/>
      <c r="W1265" s="4"/>
    </row>
    <row r="1266" ht="15.75" customHeight="1">
      <c r="A1266" s="13">
        <f t="shared" si="9"/>
        <v>1263</v>
      </c>
      <c r="B1266" s="18">
        <f>A1266/'Orbit Info'!$G$10</f>
        <v>13.34905011</v>
      </c>
      <c r="C1266" s="13">
        <f t="shared" si="2"/>
        <v>0</v>
      </c>
      <c r="D1266" s="13">
        <f t="shared" si="3"/>
        <v>1</v>
      </c>
      <c r="E1266" s="13">
        <f t="shared" si="4"/>
        <v>0</v>
      </c>
      <c r="F1266" s="13">
        <f t="shared" si="5"/>
        <v>0</v>
      </c>
      <c r="G1266" s="13">
        <f t="shared" si="6"/>
        <v>1</v>
      </c>
      <c r="H1266" s="13">
        <f>'Orbit Info'!C1265*((C1266*$O$2)+(D1266*$O$3)+(E1266*$O$4)+(F1266*$O$5))</f>
        <v>15.628032</v>
      </c>
      <c r="I1266" s="13">
        <f t="shared" si="7"/>
        <v>8.62426</v>
      </c>
      <c r="J1266" s="18">
        <f t="shared" si="8"/>
        <v>0.1167295333</v>
      </c>
      <c r="K1266" s="18">
        <f t="shared" si="10"/>
        <v>87.1379858</v>
      </c>
      <c r="L1266" s="4"/>
      <c r="M1266" s="4"/>
      <c r="N1266" s="4"/>
      <c r="O1266" s="4"/>
      <c r="P1266" s="4"/>
      <c r="Q1266" s="4"/>
      <c r="R1266" s="4"/>
      <c r="S1266" s="4"/>
      <c r="T1266" s="4"/>
      <c r="U1266" s="4"/>
      <c r="V1266" s="4"/>
      <c r="W1266" s="4"/>
    </row>
    <row r="1267" ht="15.75" customHeight="1">
      <c r="A1267" s="13">
        <f t="shared" si="9"/>
        <v>1264</v>
      </c>
      <c r="B1267" s="18">
        <f>A1267/'Orbit Info'!$G$10</f>
        <v>13.35961943</v>
      </c>
      <c r="C1267" s="13">
        <f t="shared" si="2"/>
        <v>0</v>
      </c>
      <c r="D1267" s="13">
        <f t="shared" si="3"/>
        <v>1</v>
      </c>
      <c r="E1267" s="13">
        <f t="shared" si="4"/>
        <v>0</v>
      </c>
      <c r="F1267" s="13">
        <f t="shared" si="5"/>
        <v>0</v>
      </c>
      <c r="G1267" s="13">
        <f t="shared" si="6"/>
        <v>1</v>
      </c>
      <c r="H1267" s="13">
        <f>'Orbit Info'!C1266*((C1267*$O$2)+(D1267*$O$3)+(E1267*$O$4)+(F1267*$O$5))</f>
        <v>15.628032</v>
      </c>
      <c r="I1267" s="13">
        <f t="shared" si="7"/>
        <v>8.62426</v>
      </c>
      <c r="J1267" s="18">
        <f t="shared" si="8"/>
        <v>0.1167295333</v>
      </c>
      <c r="K1267" s="18">
        <f t="shared" si="10"/>
        <v>87.25471533</v>
      </c>
      <c r="L1267" s="4"/>
      <c r="M1267" s="4"/>
      <c r="N1267" s="4"/>
      <c r="O1267" s="4"/>
      <c r="P1267" s="4"/>
      <c r="Q1267" s="4"/>
      <c r="R1267" s="4"/>
      <c r="S1267" s="4"/>
      <c r="T1267" s="4"/>
      <c r="U1267" s="4"/>
      <c r="V1267" s="4"/>
      <c r="W1267" s="4"/>
    </row>
    <row r="1268" ht="15.75" customHeight="1">
      <c r="A1268" s="13">
        <f t="shared" si="9"/>
        <v>1265</v>
      </c>
      <c r="B1268" s="18">
        <f>A1268/'Orbit Info'!$G$10</f>
        <v>13.37018874</v>
      </c>
      <c r="C1268" s="13">
        <f t="shared" si="2"/>
        <v>0</v>
      </c>
      <c r="D1268" s="13">
        <f t="shared" si="3"/>
        <v>1</v>
      </c>
      <c r="E1268" s="13">
        <f t="shared" si="4"/>
        <v>0</v>
      </c>
      <c r="F1268" s="13">
        <f t="shared" si="5"/>
        <v>0</v>
      </c>
      <c r="G1268" s="13">
        <f t="shared" si="6"/>
        <v>1</v>
      </c>
      <c r="H1268" s="13">
        <f>'Orbit Info'!C1267*((C1268*$O$2)+(D1268*$O$3)+(E1268*$O$4)+(F1268*$O$5))</f>
        <v>15.628032</v>
      </c>
      <c r="I1268" s="13">
        <f t="shared" si="7"/>
        <v>8.62426</v>
      </c>
      <c r="J1268" s="18">
        <f t="shared" si="8"/>
        <v>0.1167295333</v>
      </c>
      <c r="K1268" s="18">
        <f t="shared" si="10"/>
        <v>87.37144487</v>
      </c>
      <c r="L1268" s="4"/>
      <c r="M1268" s="4"/>
      <c r="N1268" s="4"/>
      <c r="O1268" s="4"/>
      <c r="P1268" s="4"/>
      <c r="Q1268" s="4"/>
      <c r="R1268" s="4"/>
      <c r="S1268" s="4"/>
      <c r="T1268" s="4"/>
      <c r="U1268" s="4"/>
      <c r="V1268" s="4"/>
      <c r="W1268" s="4"/>
    </row>
    <row r="1269" ht="15.75" customHeight="1">
      <c r="A1269" s="13">
        <f t="shared" si="9"/>
        <v>1266</v>
      </c>
      <c r="B1269" s="18">
        <f>A1269/'Orbit Info'!$G$10</f>
        <v>13.38075806</v>
      </c>
      <c r="C1269" s="13">
        <f t="shared" si="2"/>
        <v>0</v>
      </c>
      <c r="D1269" s="13">
        <f t="shared" si="3"/>
        <v>1</v>
      </c>
      <c r="E1269" s="13">
        <f t="shared" si="4"/>
        <v>0</v>
      </c>
      <c r="F1269" s="13">
        <f t="shared" si="5"/>
        <v>0</v>
      </c>
      <c r="G1269" s="13">
        <f t="shared" si="6"/>
        <v>1</v>
      </c>
      <c r="H1269" s="13">
        <f>'Orbit Info'!C1268*((C1269*$O$2)+(D1269*$O$3)+(E1269*$O$4)+(F1269*$O$5))</f>
        <v>15.628032</v>
      </c>
      <c r="I1269" s="13">
        <f t="shared" si="7"/>
        <v>8.62426</v>
      </c>
      <c r="J1269" s="18">
        <f t="shared" si="8"/>
        <v>0.1167295333</v>
      </c>
      <c r="K1269" s="18">
        <f t="shared" si="10"/>
        <v>87.4881744</v>
      </c>
      <c r="L1269" s="4"/>
      <c r="M1269" s="4"/>
      <c r="N1269" s="4"/>
      <c r="O1269" s="4"/>
      <c r="P1269" s="4"/>
      <c r="Q1269" s="4"/>
      <c r="R1269" s="4"/>
      <c r="S1269" s="4"/>
      <c r="T1269" s="4"/>
      <c r="U1269" s="4"/>
      <c r="V1269" s="4"/>
      <c r="W1269" s="4"/>
    </row>
    <row r="1270" ht="15.75" customHeight="1">
      <c r="A1270" s="13">
        <f t="shared" si="9"/>
        <v>1267</v>
      </c>
      <c r="B1270" s="18">
        <f>A1270/'Orbit Info'!$G$10</f>
        <v>13.39132738</v>
      </c>
      <c r="C1270" s="13">
        <f t="shared" si="2"/>
        <v>0</v>
      </c>
      <c r="D1270" s="13">
        <f t="shared" si="3"/>
        <v>1</v>
      </c>
      <c r="E1270" s="13">
        <f t="shared" si="4"/>
        <v>0</v>
      </c>
      <c r="F1270" s="13">
        <f t="shared" si="5"/>
        <v>0</v>
      </c>
      <c r="G1270" s="13">
        <f t="shared" si="6"/>
        <v>1</v>
      </c>
      <c r="H1270" s="13">
        <f>'Orbit Info'!C1269*((C1270*$O$2)+(D1270*$O$3)+(E1270*$O$4)+(F1270*$O$5))</f>
        <v>15.628032</v>
      </c>
      <c r="I1270" s="13">
        <f t="shared" si="7"/>
        <v>8.62426</v>
      </c>
      <c r="J1270" s="18">
        <f t="shared" si="8"/>
        <v>0.1167295333</v>
      </c>
      <c r="K1270" s="18">
        <f t="shared" si="10"/>
        <v>87.60490393</v>
      </c>
      <c r="L1270" s="4"/>
      <c r="M1270" s="4"/>
      <c r="N1270" s="4"/>
      <c r="O1270" s="4"/>
      <c r="P1270" s="4"/>
      <c r="Q1270" s="4"/>
      <c r="R1270" s="4"/>
      <c r="S1270" s="4"/>
      <c r="T1270" s="4"/>
      <c r="U1270" s="4"/>
      <c r="V1270" s="4"/>
      <c r="W1270" s="4"/>
    </row>
    <row r="1271" ht="15.75" customHeight="1">
      <c r="A1271" s="13">
        <f t="shared" si="9"/>
        <v>1268</v>
      </c>
      <c r="B1271" s="18">
        <f>A1271/'Orbit Info'!$G$10</f>
        <v>13.4018967</v>
      </c>
      <c r="C1271" s="13">
        <f t="shared" si="2"/>
        <v>0</v>
      </c>
      <c r="D1271" s="13">
        <f t="shared" si="3"/>
        <v>1</v>
      </c>
      <c r="E1271" s="13">
        <f t="shared" si="4"/>
        <v>0</v>
      </c>
      <c r="F1271" s="13">
        <f t="shared" si="5"/>
        <v>0</v>
      </c>
      <c r="G1271" s="13">
        <f t="shared" si="6"/>
        <v>1</v>
      </c>
      <c r="H1271" s="13">
        <f>'Orbit Info'!C1270*((C1271*$O$2)+(D1271*$O$3)+(E1271*$O$4)+(F1271*$O$5))</f>
        <v>15.628032</v>
      </c>
      <c r="I1271" s="13">
        <f t="shared" si="7"/>
        <v>8.62426</v>
      </c>
      <c r="J1271" s="18">
        <f t="shared" si="8"/>
        <v>0.1167295333</v>
      </c>
      <c r="K1271" s="18">
        <f t="shared" si="10"/>
        <v>87.72163347</v>
      </c>
      <c r="L1271" s="4"/>
      <c r="M1271" s="4"/>
      <c r="N1271" s="4"/>
      <c r="O1271" s="4"/>
      <c r="P1271" s="4"/>
      <c r="Q1271" s="4"/>
      <c r="R1271" s="4"/>
      <c r="S1271" s="4"/>
      <c r="T1271" s="4"/>
      <c r="U1271" s="4"/>
      <c r="V1271" s="4"/>
      <c r="W1271" s="4"/>
    </row>
    <row r="1272" ht="15.75" customHeight="1">
      <c r="A1272" s="13">
        <f t="shared" si="9"/>
        <v>1269</v>
      </c>
      <c r="B1272" s="18">
        <f>A1272/'Orbit Info'!$G$10</f>
        <v>13.41246602</v>
      </c>
      <c r="C1272" s="13">
        <f t="shared" si="2"/>
        <v>0</v>
      </c>
      <c r="D1272" s="13">
        <f t="shared" si="3"/>
        <v>1</v>
      </c>
      <c r="E1272" s="13">
        <f t="shared" si="4"/>
        <v>0</v>
      </c>
      <c r="F1272" s="13">
        <f t="shared" si="5"/>
        <v>0</v>
      </c>
      <c r="G1272" s="13">
        <f t="shared" si="6"/>
        <v>1</v>
      </c>
      <c r="H1272" s="13">
        <f>'Orbit Info'!C1271*((C1272*$O$2)+(D1272*$O$3)+(E1272*$O$4)+(F1272*$O$5))</f>
        <v>15.628032</v>
      </c>
      <c r="I1272" s="13">
        <f t="shared" si="7"/>
        <v>8.62426</v>
      </c>
      <c r="J1272" s="18">
        <f t="shared" si="8"/>
        <v>0.1167295333</v>
      </c>
      <c r="K1272" s="18">
        <f t="shared" si="10"/>
        <v>87.838363</v>
      </c>
      <c r="L1272" s="4"/>
      <c r="M1272" s="4"/>
      <c r="N1272" s="4"/>
      <c r="O1272" s="4"/>
      <c r="P1272" s="4"/>
      <c r="Q1272" s="4"/>
      <c r="R1272" s="4"/>
      <c r="S1272" s="4"/>
      <c r="T1272" s="4"/>
      <c r="U1272" s="4"/>
      <c r="V1272" s="4"/>
      <c r="W1272" s="4"/>
    </row>
    <row r="1273" ht="15.75" customHeight="1">
      <c r="A1273" s="13">
        <f t="shared" si="9"/>
        <v>1270</v>
      </c>
      <c r="B1273" s="18">
        <f>A1273/'Orbit Info'!$G$10</f>
        <v>13.42303534</v>
      </c>
      <c r="C1273" s="13">
        <f t="shared" si="2"/>
        <v>0</v>
      </c>
      <c r="D1273" s="13">
        <f t="shared" si="3"/>
        <v>1</v>
      </c>
      <c r="E1273" s="13">
        <f t="shared" si="4"/>
        <v>0</v>
      </c>
      <c r="F1273" s="13">
        <f t="shared" si="5"/>
        <v>0</v>
      </c>
      <c r="G1273" s="13">
        <f t="shared" si="6"/>
        <v>1</v>
      </c>
      <c r="H1273" s="13">
        <f>'Orbit Info'!C1272*((C1273*$O$2)+(D1273*$O$3)+(E1273*$O$4)+(F1273*$O$5))</f>
        <v>15.628032</v>
      </c>
      <c r="I1273" s="13">
        <f t="shared" si="7"/>
        <v>8.62426</v>
      </c>
      <c r="J1273" s="18">
        <f t="shared" si="8"/>
        <v>0.1167295333</v>
      </c>
      <c r="K1273" s="18">
        <f t="shared" si="10"/>
        <v>87.95509253</v>
      </c>
      <c r="L1273" s="4"/>
      <c r="M1273" s="4"/>
      <c r="N1273" s="4"/>
      <c r="O1273" s="4"/>
      <c r="P1273" s="4"/>
      <c r="Q1273" s="4"/>
      <c r="R1273" s="4"/>
      <c r="S1273" s="4"/>
      <c r="T1273" s="4"/>
      <c r="U1273" s="4"/>
      <c r="V1273" s="4"/>
      <c r="W1273" s="4"/>
    </row>
    <row r="1274" ht="15.75" customHeight="1">
      <c r="A1274" s="13">
        <f t="shared" si="9"/>
        <v>1271</v>
      </c>
      <c r="B1274" s="18">
        <f>A1274/'Orbit Info'!$G$10</f>
        <v>13.43360466</v>
      </c>
      <c r="C1274" s="13">
        <f t="shared" si="2"/>
        <v>0</v>
      </c>
      <c r="D1274" s="13">
        <f t="shared" si="3"/>
        <v>1</v>
      </c>
      <c r="E1274" s="13">
        <f t="shared" si="4"/>
        <v>0</v>
      </c>
      <c r="F1274" s="13">
        <f t="shared" si="5"/>
        <v>0</v>
      </c>
      <c r="G1274" s="13">
        <f t="shared" si="6"/>
        <v>1</v>
      </c>
      <c r="H1274" s="13">
        <f>'Orbit Info'!C1273*((C1274*$O$2)+(D1274*$O$3)+(E1274*$O$4)+(F1274*$O$5))</f>
        <v>15.628032</v>
      </c>
      <c r="I1274" s="13">
        <f t="shared" si="7"/>
        <v>8.62426</v>
      </c>
      <c r="J1274" s="18">
        <f t="shared" si="8"/>
        <v>0.1167295333</v>
      </c>
      <c r="K1274" s="18">
        <f t="shared" si="10"/>
        <v>88.07182207</v>
      </c>
      <c r="L1274" s="4"/>
      <c r="M1274" s="4"/>
      <c r="N1274" s="4"/>
      <c r="O1274" s="4"/>
      <c r="P1274" s="4"/>
      <c r="Q1274" s="4"/>
      <c r="R1274" s="4"/>
      <c r="S1274" s="4"/>
      <c r="T1274" s="4"/>
      <c r="U1274" s="4"/>
      <c r="V1274" s="4"/>
      <c r="W1274" s="4"/>
    </row>
    <row r="1275" ht="15.75" customHeight="1">
      <c r="A1275" s="13">
        <f t="shared" si="9"/>
        <v>1272</v>
      </c>
      <c r="B1275" s="18">
        <f>A1275/'Orbit Info'!$G$10</f>
        <v>13.44417398</v>
      </c>
      <c r="C1275" s="13">
        <f t="shared" si="2"/>
        <v>0</v>
      </c>
      <c r="D1275" s="13">
        <f t="shared" si="3"/>
        <v>1</v>
      </c>
      <c r="E1275" s="13">
        <f t="shared" si="4"/>
        <v>0</v>
      </c>
      <c r="F1275" s="13">
        <f t="shared" si="5"/>
        <v>0</v>
      </c>
      <c r="G1275" s="13">
        <f t="shared" si="6"/>
        <v>1</v>
      </c>
      <c r="H1275" s="13">
        <f>'Orbit Info'!C1274*((C1275*$O$2)+(D1275*$O$3)+(E1275*$O$4)+(F1275*$O$5))</f>
        <v>15.628032</v>
      </c>
      <c r="I1275" s="13">
        <f t="shared" si="7"/>
        <v>8.62426</v>
      </c>
      <c r="J1275" s="18">
        <f t="shared" si="8"/>
        <v>0.1167295333</v>
      </c>
      <c r="K1275" s="18">
        <f t="shared" si="10"/>
        <v>88.1885516</v>
      </c>
      <c r="L1275" s="4"/>
      <c r="M1275" s="4"/>
      <c r="N1275" s="4"/>
      <c r="O1275" s="4"/>
      <c r="P1275" s="4"/>
      <c r="Q1275" s="4"/>
      <c r="R1275" s="4"/>
      <c r="S1275" s="4"/>
      <c r="T1275" s="4"/>
      <c r="U1275" s="4"/>
      <c r="V1275" s="4"/>
      <c r="W1275" s="4"/>
    </row>
    <row r="1276" ht="15.75" customHeight="1">
      <c r="A1276" s="13">
        <f t="shared" si="9"/>
        <v>1273</v>
      </c>
      <c r="B1276" s="18">
        <f>A1276/'Orbit Info'!$G$10</f>
        <v>13.4547433</v>
      </c>
      <c r="C1276" s="13">
        <f t="shared" si="2"/>
        <v>0</v>
      </c>
      <c r="D1276" s="13">
        <f t="shared" si="3"/>
        <v>1</v>
      </c>
      <c r="E1276" s="13">
        <f t="shared" si="4"/>
        <v>0</v>
      </c>
      <c r="F1276" s="13">
        <f t="shared" si="5"/>
        <v>0</v>
      </c>
      <c r="G1276" s="13">
        <f t="shared" si="6"/>
        <v>1</v>
      </c>
      <c r="H1276" s="13">
        <f>'Orbit Info'!C1275*((C1276*$O$2)+(D1276*$O$3)+(E1276*$O$4)+(F1276*$O$5))</f>
        <v>15.628032</v>
      </c>
      <c r="I1276" s="13">
        <f t="shared" si="7"/>
        <v>8.62426</v>
      </c>
      <c r="J1276" s="18">
        <f t="shared" si="8"/>
        <v>0.1167295333</v>
      </c>
      <c r="K1276" s="18">
        <f t="shared" si="10"/>
        <v>88.2</v>
      </c>
      <c r="L1276" s="4"/>
      <c r="M1276" s="4"/>
      <c r="N1276" s="4"/>
      <c r="O1276" s="4"/>
      <c r="P1276" s="4"/>
      <c r="Q1276" s="4"/>
      <c r="R1276" s="4"/>
      <c r="S1276" s="4"/>
      <c r="T1276" s="4"/>
      <c r="U1276" s="4"/>
      <c r="V1276" s="4"/>
      <c r="W1276" s="4"/>
    </row>
    <row r="1277" ht="15.75" customHeight="1">
      <c r="A1277" s="13">
        <f t="shared" si="9"/>
        <v>1274</v>
      </c>
      <c r="B1277" s="18">
        <f>A1277/'Orbit Info'!$G$10</f>
        <v>13.46531262</v>
      </c>
      <c r="C1277" s="13">
        <f t="shared" si="2"/>
        <v>0</v>
      </c>
      <c r="D1277" s="13">
        <f t="shared" si="3"/>
        <v>1</v>
      </c>
      <c r="E1277" s="13">
        <f t="shared" si="4"/>
        <v>0</v>
      </c>
      <c r="F1277" s="13">
        <f t="shared" si="5"/>
        <v>0</v>
      </c>
      <c r="G1277" s="13">
        <f t="shared" si="6"/>
        <v>1</v>
      </c>
      <c r="H1277" s="13">
        <f>'Orbit Info'!C1276*((C1277*$O$2)+(D1277*$O$3)+(E1277*$O$4)+(F1277*$O$5))</f>
        <v>15.628032</v>
      </c>
      <c r="I1277" s="13">
        <f t="shared" si="7"/>
        <v>8.62426</v>
      </c>
      <c r="J1277" s="18">
        <f t="shared" si="8"/>
        <v>0.1167295333</v>
      </c>
      <c r="K1277" s="18">
        <f t="shared" si="10"/>
        <v>88.2</v>
      </c>
      <c r="L1277" s="4"/>
      <c r="M1277" s="4"/>
      <c r="N1277" s="4"/>
      <c r="O1277" s="4"/>
      <c r="P1277" s="4"/>
      <c r="Q1277" s="4"/>
      <c r="R1277" s="4"/>
      <c r="S1277" s="4"/>
      <c r="T1277" s="4"/>
      <c r="U1277" s="4"/>
      <c r="V1277" s="4"/>
      <c r="W1277" s="4"/>
    </row>
    <row r="1278" ht="15.75" customHeight="1">
      <c r="A1278" s="13">
        <f t="shared" si="9"/>
        <v>1275</v>
      </c>
      <c r="B1278" s="18">
        <f>A1278/'Orbit Info'!$G$10</f>
        <v>13.47588194</v>
      </c>
      <c r="C1278" s="13">
        <f t="shared" si="2"/>
        <v>0</v>
      </c>
      <c r="D1278" s="13">
        <f t="shared" si="3"/>
        <v>1</v>
      </c>
      <c r="E1278" s="13">
        <f t="shared" si="4"/>
        <v>0</v>
      </c>
      <c r="F1278" s="13">
        <f t="shared" si="5"/>
        <v>0</v>
      </c>
      <c r="G1278" s="13">
        <f t="shared" si="6"/>
        <v>1</v>
      </c>
      <c r="H1278" s="13">
        <f>'Orbit Info'!C1277*((C1278*$O$2)+(D1278*$O$3)+(E1278*$O$4)+(F1278*$O$5))</f>
        <v>15.628032</v>
      </c>
      <c r="I1278" s="13">
        <f t="shared" si="7"/>
        <v>8.62426</v>
      </c>
      <c r="J1278" s="18">
        <f t="shared" si="8"/>
        <v>0.1167295333</v>
      </c>
      <c r="K1278" s="18">
        <f t="shared" si="10"/>
        <v>88.2</v>
      </c>
      <c r="L1278" s="4"/>
      <c r="M1278" s="4"/>
      <c r="N1278" s="4"/>
      <c r="O1278" s="4"/>
      <c r="P1278" s="4"/>
      <c r="Q1278" s="4"/>
      <c r="R1278" s="4"/>
      <c r="S1278" s="4"/>
      <c r="T1278" s="4"/>
      <c r="U1278" s="4"/>
      <c r="V1278" s="4"/>
      <c r="W1278" s="4"/>
    </row>
    <row r="1279" ht="15.75" customHeight="1">
      <c r="A1279" s="13">
        <f t="shared" si="9"/>
        <v>1276</v>
      </c>
      <c r="B1279" s="18">
        <f>A1279/'Orbit Info'!$G$10</f>
        <v>13.48645126</v>
      </c>
      <c r="C1279" s="13">
        <f t="shared" si="2"/>
        <v>0</v>
      </c>
      <c r="D1279" s="13">
        <f t="shared" si="3"/>
        <v>1</v>
      </c>
      <c r="E1279" s="13">
        <f t="shared" si="4"/>
        <v>0</v>
      </c>
      <c r="F1279" s="13">
        <f t="shared" si="5"/>
        <v>0</v>
      </c>
      <c r="G1279" s="13">
        <f t="shared" si="6"/>
        <v>1</v>
      </c>
      <c r="H1279" s="13">
        <f>'Orbit Info'!C1278*((C1279*$O$2)+(D1279*$O$3)+(E1279*$O$4)+(F1279*$O$5))</f>
        <v>15.628032</v>
      </c>
      <c r="I1279" s="13">
        <f t="shared" si="7"/>
        <v>8.62426</v>
      </c>
      <c r="J1279" s="18">
        <f t="shared" si="8"/>
        <v>0.1167295333</v>
      </c>
      <c r="K1279" s="18">
        <f t="shared" si="10"/>
        <v>88.2</v>
      </c>
      <c r="L1279" s="4"/>
      <c r="M1279" s="4"/>
      <c r="N1279" s="4"/>
      <c r="O1279" s="4"/>
      <c r="P1279" s="4"/>
      <c r="Q1279" s="4"/>
      <c r="R1279" s="4"/>
      <c r="S1279" s="4"/>
      <c r="T1279" s="4"/>
      <c r="U1279" s="4"/>
      <c r="V1279" s="4"/>
      <c r="W1279" s="4"/>
    </row>
    <row r="1280" ht="15.75" customHeight="1">
      <c r="A1280" s="13">
        <f t="shared" si="9"/>
        <v>1277</v>
      </c>
      <c r="B1280" s="18">
        <f>A1280/'Orbit Info'!$G$10</f>
        <v>13.49702057</v>
      </c>
      <c r="C1280" s="13">
        <f t="shared" si="2"/>
        <v>0</v>
      </c>
      <c r="D1280" s="13">
        <f t="shared" si="3"/>
        <v>1</v>
      </c>
      <c r="E1280" s="13">
        <f t="shared" si="4"/>
        <v>0</v>
      </c>
      <c r="F1280" s="13">
        <f t="shared" si="5"/>
        <v>0</v>
      </c>
      <c r="G1280" s="13">
        <f t="shared" si="6"/>
        <v>1</v>
      </c>
      <c r="H1280" s="13">
        <f>'Orbit Info'!C1279*((C1280*$O$2)+(D1280*$O$3)+(E1280*$O$4)+(F1280*$O$5))</f>
        <v>15.628032</v>
      </c>
      <c r="I1280" s="13">
        <f t="shared" si="7"/>
        <v>8.62426</v>
      </c>
      <c r="J1280" s="18">
        <f t="shared" si="8"/>
        <v>0.1167295333</v>
      </c>
      <c r="K1280" s="18">
        <f t="shared" si="10"/>
        <v>88.2</v>
      </c>
      <c r="L1280" s="4"/>
      <c r="M1280" s="4"/>
      <c r="N1280" s="4"/>
      <c r="O1280" s="4"/>
      <c r="P1280" s="4"/>
      <c r="Q1280" s="4"/>
      <c r="R1280" s="4"/>
      <c r="S1280" s="4"/>
      <c r="T1280" s="4"/>
      <c r="U1280" s="4"/>
      <c r="V1280" s="4"/>
      <c r="W1280" s="4"/>
    </row>
    <row r="1281" ht="15.75" customHeight="1">
      <c r="A1281" s="13">
        <f t="shared" si="9"/>
        <v>1278</v>
      </c>
      <c r="B1281" s="18">
        <f>A1281/'Orbit Info'!$G$10</f>
        <v>13.50758989</v>
      </c>
      <c r="C1281" s="13">
        <f t="shared" si="2"/>
        <v>0</v>
      </c>
      <c r="D1281" s="13">
        <f t="shared" si="3"/>
        <v>1</v>
      </c>
      <c r="E1281" s="13">
        <f t="shared" si="4"/>
        <v>0</v>
      </c>
      <c r="F1281" s="13">
        <f t="shared" si="5"/>
        <v>0</v>
      </c>
      <c r="G1281" s="13">
        <f t="shared" si="6"/>
        <v>1</v>
      </c>
      <c r="H1281" s="13">
        <f>'Orbit Info'!C1280*((C1281*$O$2)+(D1281*$O$3)+(E1281*$O$4)+(F1281*$O$5))</f>
        <v>15.628032</v>
      </c>
      <c r="I1281" s="13">
        <f t="shared" si="7"/>
        <v>8.62426</v>
      </c>
      <c r="J1281" s="18">
        <f t="shared" si="8"/>
        <v>0.1167295333</v>
      </c>
      <c r="K1281" s="18">
        <f t="shared" si="10"/>
        <v>88.2</v>
      </c>
      <c r="L1281" s="4"/>
      <c r="M1281" s="4"/>
      <c r="N1281" s="4"/>
      <c r="O1281" s="4"/>
      <c r="P1281" s="4"/>
      <c r="Q1281" s="4"/>
      <c r="R1281" s="4"/>
      <c r="S1281" s="4"/>
      <c r="T1281" s="4"/>
      <c r="U1281" s="4"/>
      <c r="V1281" s="4"/>
      <c r="W1281" s="4"/>
    </row>
    <row r="1282" ht="15.75" customHeight="1">
      <c r="A1282" s="13">
        <f t="shared" si="9"/>
        <v>1279</v>
      </c>
      <c r="B1282" s="18">
        <f>A1282/'Orbit Info'!$G$10</f>
        <v>13.51815921</v>
      </c>
      <c r="C1282" s="13">
        <f t="shared" si="2"/>
        <v>0</v>
      </c>
      <c r="D1282" s="13">
        <f t="shared" si="3"/>
        <v>1</v>
      </c>
      <c r="E1282" s="13">
        <f t="shared" si="4"/>
        <v>0</v>
      </c>
      <c r="F1282" s="13">
        <f t="shared" si="5"/>
        <v>0</v>
      </c>
      <c r="G1282" s="13">
        <f t="shared" si="6"/>
        <v>1</v>
      </c>
      <c r="H1282" s="13">
        <f>'Orbit Info'!C1281*((C1282*$O$2)+(D1282*$O$3)+(E1282*$O$4)+(F1282*$O$5))</f>
        <v>15.628032</v>
      </c>
      <c r="I1282" s="13">
        <f t="shared" si="7"/>
        <v>8.62426</v>
      </c>
      <c r="J1282" s="18">
        <f t="shared" si="8"/>
        <v>0.1167295333</v>
      </c>
      <c r="K1282" s="18">
        <f t="shared" si="10"/>
        <v>88.2</v>
      </c>
      <c r="L1282" s="4"/>
      <c r="M1282" s="4"/>
      <c r="N1282" s="4"/>
      <c r="O1282" s="4"/>
      <c r="P1282" s="4"/>
      <c r="Q1282" s="4"/>
      <c r="R1282" s="4"/>
      <c r="S1282" s="4"/>
      <c r="T1282" s="4"/>
      <c r="U1282" s="4"/>
      <c r="V1282" s="4"/>
      <c r="W1282" s="4"/>
    </row>
    <row r="1283" ht="15.75" customHeight="1">
      <c r="A1283" s="13">
        <f t="shared" si="9"/>
        <v>1280</v>
      </c>
      <c r="B1283" s="18">
        <f>A1283/'Orbit Info'!$G$10</f>
        <v>13.52872853</v>
      </c>
      <c r="C1283" s="13">
        <f t="shared" si="2"/>
        <v>0</v>
      </c>
      <c r="D1283" s="13">
        <f t="shared" si="3"/>
        <v>1</v>
      </c>
      <c r="E1283" s="13">
        <f t="shared" si="4"/>
        <v>0</v>
      </c>
      <c r="F1283" s="13">
        <f t="shared" si="5"/>
        <v>0</v>
      </c>
      <c r="G1283" s="13">
        <f t="shared" si="6"/>
        <v>1</v>
      </c>
      <c r="H1283" s="13">
        <f>'Orbit Info'!C1282*((C1283*$O$2)+(D1283*$O$3)+(E1283*$O$4)+(F1283*$O$5))</f>
        <v>15.628032</v>
      </c>
      <c r="I1283" s="13">
        <f t="shared" si="7"/>
        <v>8.62426</v>
      </c>
      <c r="J1283" s="18">
        <f t="shared" si="8"/>
        <v>0.1167295333</v>
      </c>
      <c r="K1283" s="18">
        <f t="shared" si="10"/>
        <v>88.2</v>
      </c>
      <c r="L1283" s="4"/>
      <c r="M1283" s="4"/>
      <c r="N1283" s="4"/>
      <c r="O1283" s="4"/>
      <c r="P1283" s="4"/>
      <c r="Q1283" s="4"/>
      <c r="R1283" s="4"/>
      <c r="S1283" s="4"/>
      <c r="T1283" s="4"/>
      <c r="U1283" s="4"/>
      <c r="V1283" s="4"/>
      <c r="W1283" s="4"/>
    </row>
    <row r="1284" ht="15.75" customHeight="1">
      <c r="A1284" s="13">
        <f t="shared" si="9"/>
        <v>1281</v>
      </c>
      <c r="B1284" s="18">
        <f>A1284/'Orbit Info'!$G$10</f>
        <v>13.53929785</v>
      </c>
      <c r="C1284" s="13">
        <f t="shared" si="2"/>
        <v>0</v>
      </c>
      <c r="D1284" s="13">
        <f t="shared" si="3"/>
        <v>1</v>
      </c>
      <c r="E1284" s="13">
        <f t="shared" si="4"/>
        <v>0</v>
      </c>
      <c r="F1284" s="13">
        <f t="shared" si="5"/>
        <v>0</v>
      </c>
      <c r="G1284" s="13">
        <f t="shared" si="6"/>
        <v>1</v>
      </c>
      <c r="H1284" s="13">
        <f>'Orbit Info'!C1283*((C1284*$O$2)+(D1284*$O$3)+(E1284*$O$4)+(F1284*$O$5))</f>
        <v>15.628032</v>
      </c>
      <c r="I1284" s="13">
        <f t="shared" si="7"/>
        <v>8.62426</v>
      </c>
      <c r="J1284" s="18">
        <f t="shared" si="8"/>
        <v>0.1167295333</v>
      </c>
      <c r="K1284" s="18">
        <f t="shared" si="10"/>
        <v>88.2</v>
      </c>
      <c r="L1284" s="4"/>
      <c r="M1284" s="4"/>
      <c r="N1284" s="4"/>
      <c r="O1284" s="4"/>
      <c r="P1284" s="4"/>
      <c r="Q1284" s="4"/>
      <c r="R1284" s="4"/>
      <c r="S1284" s="4"/>
      <c r="T1284" s="4"/>
      <c r="U1284" s="4"/>
      <c r="V1284" s="4"/>
      <c r="W1284" s="4"/>
    </row>
    <row r="1285" ht="15.75" customHeight="1">
      <c r="A1285" s="13">
        <f t="shared" si="9"/>
        <v>1282</v>
      </c>
      <c r="B1285" s="18">
        <f>A1285/'Orbit Info'!$G$10</f>
        <v>13.54986717</v>
      </c>
      <c r="C1285" s="13">
        <f t="shared" si="2"/>
        <v>0</v>
      </c>
      <c r="D1285" s="13">
        <f t="shared" si="3"/>
        <v>1</v>
      </c>
      <c r="E1285" s="13">
        <f t="shared" si="4"/>
        <v>0</v>
      </c>
      <c r="F1285" s="13">
        <f t="shared" si="5"/>
        <v>0</v>
      </c>
      <c r="G1285" s="13">
        <f t="shared" si="6"/>
        <v>1</v>
      </c>
      <c r="H1285" s="13">
        <f>'Orbit Info'!C1284*((C1285*$O$2)+(D1285*$O$3)+(E1285*$O$4)+(F1285*$O$5))</f>
        <v>15.628032</v>
      </c>
      <c r="I1285" s="13">
        <f t="shared" si="7"/>
        <v>8.62426</v>
      </c>
      <c r="J1285" s="18">
        <f t="shared" si="8"/>
        <v>0.1167295333</v>
      </c>
      <c r="K1285" s="18">
        <f t="shared" si="10"/>
        <v>88.2</v>
      </c>
      <c r="L1285" s="4"/>
      <c r="M1285" s="4"/>
      <c r="N1285" s="4"/>
      <c r="O1285" s="4"/>
      <c r="P1285" s="4"/>
      <c r="Q1285" s="4"/>
      <c r="R1285" s="4"/>
      <c r="S1285" s="4"/>
      <c r="T1285" s="4"/>
      <c r="U1285" s="4"/>
      <c r="V1285" s="4"/>
      <c r="W1285" s="4"/>
    </row>
    <row r="1286" ht="15.75" customHeight="1">
      <c r="A1286" s="13">
        <f t="shared" si="9"/>
        <v>1283</v>
      </c>
      <c r="B1286" s="18">
        <f>A1286/'Orbit Info'!$G$10</f>
        <v>13.56043649</v>
      </c>
      <c r="C1286" s="13">
        <f t="shared" si="2"/>
        <v>0</v>
      </c>
      <c r="D1286" s="13">
        <f t="shared" si="3"/>
        <v>1</v>
      </c>
      <c r="E1286" s="13">
        <f t="shared" si="4"/>
        <v>0</v>
      </c>
      <c r="F1286" s="13">
        <f t="shared" si="5"/>
        <v>0</v>
      </c>
      <c r="G1286" s="13">
        <f t="shared" si="6"/>
        <v>1</v>
      </c>
      <c r="H1286" s="13">
        <f>'Orbit Info'!C1285*((C1286*$O$2)+(D1286*$O$3)+(E1286*$O$4)+(F1286*$O$5))</f>
        <v>15.628032</v>
      </c>
      <c r="I1286" s="13">
        <f t="shared" si="7"/>
        <v>8.62426</v>
      </c>
      <c r="J1286" s="18">
        <f t="shared" si="8"/>
        <v>0.1167295333</v>
      </c>
      <c r="K1286" s="18">
        <f t="shared" si="10"/>
        <v>88.2</v>
      </c>
      <c r="L1286" s="4"/>
      <c r="M1286" s="4"/>
      <c r="N1286" s="4"/>
      <c r="O1286" s="4"/>
      <c r="P1286" s="4"/>
      <c r="Q1286" s="4"/>
      <c r="R1286" s="4"/>
      <c r="S1286" s="4"/>
      <c r="T1286" s="4"/>
      <c r="U1286" s="4"/>
      <c r="V1286" s="4"/>
      <c r="W1286" s="4"/>
    </row>
    <row r="1287" ht="15.75" customHeight="1">
      <c r="A1287" s="13">
        <f t="shared" si="9"/>
        <v>1284</v>
      </c>
      <c r="B1287" s="18">
        <f>A1287/'Orbit Info'!$G$10</f>
        <v>13.57100581</v>
      </c>
      <c r="C1287" s="13">
        <f t="shared" si="2"/>
        <v>0</v>
      </c>
      <c r="D1287" s="13">
        <f t="shared" si="3"/>
        <v>1</v>
      </c>
      <c r="E1287" s="13">
        <f t="shared" si="4"/>
        <v>0</v>
      </c>
      <c r="F1287" s="13">
        <f t="shared" si="5"/>
        <v>0</v>
      </c>
      <c r="G1287" s="13">
        <f t="shared" si="6"/>
        <v>1</v>
      </c>
      <c r="H1287" s="13">
        <f>'Orbit Info'!C1286*((C1287*$O$2)+(D1287*$O$3)+(E1287*$O$4)+(F1287*$O$5))</f>
        <v>15.628032</v>
      </c>
      <c r="I1287" s="13">
        <f t="shared" si="7"/>
        <v>8.62426</v>
      </c>
      <c r="J1287" s="18">
        <f t="shared" si="8"/>
        <v>0.1167295333</v>
      </c>
      <c r="K1287" s="18">
        <f t="shared" si="10"/>
        <v>88.2</v>
      </c>
      <c r="L1287" s="4"/>
      <c r="M1287" s="4"/>
      <c r="N1287" s="4"/>
      <c r="O1287" s="4"/>
      <c r="P1287" s="4"/>
      <c r="Q1287" s="4"/>
      <c r="R1287" s="4"/>
      <c r="S1287" s="4"/>
      <c r="T1287" s="4"/>
      <c r="U1287" s="4"/>
      <c r="V1287" s="4"/>
      <c r="W1287" s="4"/>
    </row>
    <row r="1288" ht="15.75" customHeight="1">
      <c r="A1288" s="13">
        <f t="shared" si="9"/>
        <v>1285</v>
      </c>
      <c r="B1288" s="18">
        <f>A1288/'Orbit Info'!$G$10</f>
        <v>13.58157513</v>
      </c>
      <c r="C1288" s="13">
        <f t="shared" si="2"/>
        <v>0</v>
      </c>
      <c r="D1288" s="13">
        <f t="shared" si="3"/>
        <v>1</v>
      </c>
      <c r="E1288" s="13">
        <f t="shared" si="4"/>
        <v>0</v>
      </c>
      <c r="F1288" s="13">
        <f t="shared" si="5"/>
        <v>0</v>
      </c>
      <c r="G1288" s="13">
        <f t="shared" si="6"/>
        <v>1</v>
      </c>
      <c r="H1288" s="13">
        <f>'Orbit Info'!C1287*((C1288*$O$2)+(D1288*$O$3)+(E1288*$O$4)+(F1288*$O$5))</f>
        <v>15.628032</v>
      </c>
      <c r="I1288" s="13">
        <f t="shared" si="7"/>
        <v>8.62426</v>
      </c>
      <c r="J1288" s="18">
        <f t="shared" si="8"/>
        <v>0.1167295333</v>
      </c>
      <c r="K1288" s="18">
        <f t="shared" si="10"/>
        <v>88.2</v>
      </c>
      <c r="L1288" s="4"/>
      <c r="M1288" s="4"/>
      <c r="N1288" s="4"/>
      <c r="O1288" s="4"/>
      <c r="P1288" s="4"/>
      <c r="Q1288" s="4"/>
      <c r="R1288" s="4"/>
      <c r="S1288" s="4"/>
      <c r="T1288" s="4"/>
      <c r="U1288" s="4"/>
      <c r="V1288" s="4"/>
      <c r="W1288" s="4"/>
    </row>
    <row r="1289" ht="15.75" customHeight="1">
      <c r="A1289" s="13">
        <f t="shared" si="9"/>
        <v>1286</v>
      </c>
      <c r="B1289" s="18">
        <f>A1289/'Orbit Info'!$G$10</f>
        <v>13.59214445</v>
      </c>
      <c r="C1289" s="13">
        <f t="shared" si="2"/>
        <v>0</v>
      </c>
      <c r="D1289" s="13">
        <f t="shared" si="3"/>
        <v>1</v>
      </c>
      <c r="E1289" s="13">
        <f t="shared" si="4"/>
        <v>0</v>
      </c>
      <c r="F1289" s="13">
        <f t="shared" si="5"/>
        <v>0</v>
      </c>
      <c r="G1289" s="13">
        <f t="shared" si="6"/>
        <v>1</v>
      </c>
      <c r="H1289" s="13">
        <f>'Orbit Info'!C1288*((C1289*$O$2)+(D1289*$O$3)+(E1289*$O$4)+(F1289*$O$5))</f>
        <v>15.628032</v>
      </c>
      <c r="I1289" s="13">
        <f t="shared" si="7"/>
        <v>8.62426</v>
      </c>
      <c r="J1289" s="18">
        <f t="shared" si="8"/>
        <v>0.1167295333</v>
      </c>
      <c r="K1289" s="18">
        <f t="shared" si="10"/>
        <v>88.2</v>
      </c>
      <c r="L1289" s="4"/>
      <c r="M1289" s="4"/>
      <c r="N1289" s="4"/>
      <c r="O1289" s="4"/>
      <c r="P1289" s="4"/>
      <c r="Q1289" s="4"/>
      <c r="R1289" s="4"/>
      <c r="S1289" s="4"/>
      <c r="T1289" s="4"/>
      <c r="U1289" s="4"/>
      <c r="V1289" s="4"/>
      <c r="W1289" s="4"/>
    </row>
    <row r="1290" ht="15.75" customHeight="1">
      <c r="A1290" s="13">
        <f t="shared" si="9"/>
        <v>1287</v>
      </c>
      <c r="B1290" s="18">
        <f>A1290/'Orbit Info'!$G$10</f>
        <v>13.60271377</v>
      </c>
      <c r="C1290" s="13">
        <f t="shared" si="2"/>
        <v>0</v>
      </c>
      <c r="D1290" s="13">
        <f t="shared" si="3"/>
        <v>1</v>
      </c>
      <c r="E1290" s="13">
        <f t="shared" si="4"/>
        <v>0</v>
      </c>
      <c r="F1290" s="13">
        <f t="shared" si="5"/>
        <v>0</v>
      </c>
      <c r="G1290" s="13">
        <f t="shared" si="6"/>
        <v>1</v>
      </c>
      <c r="H1290" s="13">
        <f>'Orbit Info'!C1289*((C1290*$O$2)+(D1290*$O$3)+(E1290*$O$4)+(F1290*$O$5))</f>
        <v>15.628032</v>
      </c>
      <c r="I1290" s="13">
        <f t="shared" si="7"/>
        <v>8.62426</v>
      </c>
      <c r="J1290" s="18">
        <f t="shared" si="8"/>
        <v>0.1167295333</v>
      </c>
      <c r="K1290" s="18">
        <f t="shared" si="10"/>
        <v>88.2</v>
      </c>
      <c r="L1290" s="4"/>
      <c r="M1290" s="4"/>
      <c r="N1290" s="4"/>
      <c r="O1290" s="4"/>
      <c r="P1290" s="4"/>
      <c r="Q1290" s="4"/>
      <c r="R1290" s="4"/>
      <c r="S1290" s="4"/>
      <c r="T1290" s="4"/>
      <c r="U1290" s="4"/>
      <c r="V1290" s="4"/>
      <c r="W1290" s="4"/>
    </row>
    <row r="1291" ht="15.75" customHeight="1">
      <c r="A1291" s="13">
        <f t="shared" si="9"/>
        <v>1288</v>
      </c>
      <c r="B1291" s="18">
        <f>A1291/'Orbit Info'!$G$10</f>
        <v>13.61328309</v>
      </c>
      <c r="C1291" s="13">
        <f t="shared" si="2"/>
        <v>0</v>
      </c>
      <c r="D1291" s="13">
        <f t="shared" si="3"/>
        <v>1</v>
      </c>
      <c r="E1291" s="13">
        <f t="shared" si="4"/>
        <v>0</v>
      </c>
      <c r="F1291" s="13">
        <f t="shared" si="5"/>
        <v>0</v>
      </c>
      <c r="G1291" s="13">
        <f t="shared" si="6"/>
        <v>1</v>
      </c>
      <c r="H1291" s="13">
        <f>'Orbit Info'!C1290*((C1291*$O$2)+(D1291*$O$3)+(E1291*$O$4)+(F1291*$O$5))</f>
        <v>15.628032</v>
      </c>
      <c r="I1291" s="13">
        <f t="shared" si="7"/>
        <v>8.62426</v>
      </c>
      <c r="J1291" s="18">
        <f t="shared" si="8"/>
        <v>0.1167295333</v>
      </c>
      <c r="K1291" s="18">
        <f t="shared" si="10"/>
        <v>88.2</v>
      </c>
      <c r="L1291" s="4"/>
      <c r="M1291" s="4"/>
      <c r="N1291" s="4"/>
      <c r="O1291" s="4"/>
      <c r="P1291" s="4"/>
      <c r="Q1291" s="4"/>
      <c r="R1291" s="4"/>
      <c r="S1291" s="4"/>
      <c r="T1291" s="4"/>
      <c r="U1291" s="4"/>
      <c r="V1291" s="4"/>
      <c r="W1291" s="4"/>
    </row>
    <row r="1292" ht="15.75" customHeight="1">
      <c r="A1292" s="13">
        <f t="shared" si="9"/>
        <v>1289</v>
      </c>
      <c r="B1292" s="18">
        <f>A1292/'Orbit Info'!$G$10</f>
        <v>13.6238524</v>
      </c>
      <c r="C1292" s="13">
        <f t="shared" si="2"/>
        <v>0</v>
      </c>
      <c r="D1292" s="13">
        <f t="shared" si="3"/>
        <v>1</v>
      </c>
      <c r="E1292" s="13">
        <f t="shared" si="4"/>
        <v>0</v>
      </c>
      <c r="F1292" s="13">
        <f t="shared" si="5"/>
        <v>0</v>
      </c>
      <c r="G1292" s="13">
        <f t="shared" si="6"/>
        <v>1</v>
      </c>
      <c r="H1292" s="13">
        <f>'Orbit Info'!C1291*((C1292*$O$2)+(D1292*$O$3)+(E1292*$O$4)+(F1292*$O$5))</f>
        <v>0</v>
      </c>
      <c r="I1292" s="13">
        <f t="shared" si="7"/>
        <v>8.62426</v>
      </c>
      <c r="J1292" s="18">
        <f t="shared" si="8"/>
        <v>-0.1437376667</v>
      </c>
      <c r="K1292" s="18">
        <f t="shared" si="10"/>
        <v>88.05626233</v>
      </c>
      <c r="L1292" s="4"/>
      <c r="M1292" s="4"/>
      <c r="N1292" s="4"/>
      <c r="O1292" s="4"/>
      <c r="P1292" s="4"/>
      <c r="Q1292" s="4"/>
      <c r="R1292" s="4"/>
      <c r="S1292" s="4"/>
      <c r="T1292" s="4"/>
      <c r="U1292" s="4"/>
      <c r="V1292" s="4"/>
      <c r="W1292" s="4"/>
    </row>
    <row r="1293" ht="15.75" customHeight="1">
      <c r="A1293" s="13">
        <f t="shared" si="9"/>
        <v>1290</v>
      </c>
      <c r="B1293" s="18">
        <f>A1293/'Orbit Info'!$G$10</f>
        <v>13.63442172</v>
      </c>
      <c r="C1293" s="13">
        <f t="shared" si="2"/>
        <v>0</v>
      </c>
      <c r="D1293" s="13">
        <f t="shared" si="3"/>
        <v>1</v>
      </c>
      <c r="E1293" s="13">
        <f t="shared" si="4"/>
        <v>0</v>
      </c>
      <c r="F1293" s="13">
        <f t="shared" si="5"/>
        <v>0</v>
      </c>
      <c r="G1293" s="13">
        <f t="shared" si="6"/>
        <v>1</v>
      </c>
      <c r="H1293" s="13">
        <f>'Orbit Info'!C1292*((C1293*$O$2)+(D1293*$O$3)+(E1293*$O$4)+(F1293*$O$5))</f>
        <v>0</v>
      </c>
      <c r="I1293" s="13">
        <f t="shared" si="7"/>
        <v>8.62426</v>
      </c>
      <c r="J1293" s="18">
        <f t="shared" si="8"/>
        <v>-0.1437376667</v>
      </c>
      <c r="K1293" s="18">
        <f t="shared" si="10"/>
        <v>87.91252467</v>
      </c>
      <c r="L1293" s="4"/>
      <c r="M1293" s="4"/>
      <c r="N1293" s="4"/>
      <c r="O1293" s="4"/>
      <c r="P1293" s="4"/>
      <c r="Q1293" s="4"/>
      <c r="R1293" s="4"/>
      <c r="S1293" s="4"/>
      <c r="T1293" s="4"/>
      <c r="U1293" s="4"/>
      <c r="V1293" s="4"/>
      <c r="W1293" s="4"/>
    </row>
    <row r="1294" ht="15.75" customHeight="1">
      <c r="A1294" s="13">
        <f t="shared" si="9"/>
        <v>1291</v>
      </c>
      <c r="B1294" s="18">
        <f>A1294/'Orbit Info'!$G$10</f>
        <v>13.64499104</v>
      </c>
      <c r="C1294" s="13">
        <f t="shared" si="2"/>
        <v>0</v>
      </c>
      <c r="D1294" s="13">
        <f t="shared" si="3"/>
        <v>1</v>
      </c>
      <c r="E1294" s="13">
        <f t="shared" si="4"/>
        <v>0</v>
      </c>
      <c r="F1294" s="13">
        <f t="shared" si="5"/>
        <v>0</v>
      </c>
      <c r="G1294" s="13">
        <f t="shared" si="6"/>
        <v>1</v>
      </c>
      <c r="H1294" s="13">
        <f>'Orbit Info'!C1293*((C1294*$O$2)+(D1294*$O$3)+(E1294*$O$4)+(F1294*$O$5))</f>
        <v>0</v>
      </c>
      <c r="I1294" s="13">
        <f t="shared" si="7"/>
        <v>8.62426</v>
      </c>
      <c r="J1294" s="18">
        <f t="shared" si="8"/>
        <v>-0.1437376667</v>
      </c>
      <c r="K1294" s="18">
        <f t="shared" si="10"/>
        <v>87.768787</v>
      </c>
      <c r="L1294" s="4"/>
      <c r="M1294" s="4"/>
      <c r="N1294" s="4"/>
      <c r="O1294" s="4"/>
      <c r="P1294" s="4"/>
      <c r="Q1294" s="4"/>
      <c r="R1294" s="4"/>
      <c r="S1294" s="4"/>
      <c r="T1294" s="4"/>
      <c r="U1294" s="4"/>
      <c r="V1294" s="4"/>
      <c r="W1294" s="4"/>
    </row>
    <row r="1295" ht="15.75" customHeight="1">
      <c r="A1295" s="13">
        <f t="shared" si="9"/>
        <v>1292</v>
      </c>
      <c r="B1295" s="18">
        <f>A1295/'Orbit Info'!$G$10</f>
        <v>13.65556036</v>
      </c>
      <c r="C1295" s="13">
        <f t="shared" si="2"/>
        <v>0</v>
      </c>
      <c r="D1295" s="13">
        <f t="shared" si="3"/>
        <v>1</v>
      </c>
      <c r="E1295" s="13">
        <f t="shared" si="4"/>
        <v>0</v>
      </c>
      <c r="F1295" s="13">
        <f t="shared" si="5"/>
        <v>0</v>
      </c>
      <c r="G1295" s="13">
        <f t="shared" si="6"/>
        <v>1</v>
      </c>
      <c r="H1295" s="13">
        <f>'Orbit Info'!C1294*((C1295*$O$2)+(D1295*$O$3)+(E1295*$O$4)+(F1295*$O$5))</f>
        <v>0</v>
      </c>
      <c r="I1295" s="13">
        <f t="shared" si="7"/>
        <v>8.62426</v>
      </c>
      <c r="J1295" s="18">
        <f t="shared" si="8"/>
        <v>-0.1437376667</v>
      </c>
      <c r="K1295" s="18">
        <f t="shared" si="10"/>
        <v>87.62504933</v>
      </c>
      <c r="L1295" s="4"/>
      <c r="M1295" s="4"/>
      <c r="N1295" s="4"/>
      <c r="O1295" s="4"/>
      <c r="P1295" s="4"/>
      <c r="Q1295" s="4"/>
      <c r="R1295" s="4"/>
      <c r="S1295" s="4"/>
      <c r="T1295" s="4"/>
      <c r="U1295" s="4"/>
      <c r="V1295" s="4"/>
      <c r="W1295" s="4"/>
    </row>
    <row r="1296" ht="15.75" customHeight="1">
      <c r="A1296" s="13">
        <f t="shared" si="9"/>
        <v>1293</v>
      </c>
      <c r="B1296" s="18">
        <f>A1296/'Orbit Info'!$G$10</f>
        <v>13.66612968</v>
      </c>
      <c r="C1296" s="13">
        <f t="shared" si="2"/>
        <v>0</v>
      </c>
      <c r="D1296" s="13">
        <f t="shared" si="3"/>
        <v>1</v>
      </c>
      <c r="E1296" s="13">
        <f t="shared" si="4"/>
        <v>0</v>
      </c>
      <c r="F1296" s="13">
        <f t="shared" si="5"/>
        <v>0</v>
      </c>
      <c r="G1296" s="13">
        <f t="shared" si="6"/>
        <v>1</v>
      </c>
      <c r="H1296" s="13">
        <f>'Orbit Info'!C1295*((C1296*$O$2)+(D1296*$O$3)+(E1296*$O$4)+(F1296*$O$5))</f>
        <v>0</v>
      </c>
      <c r="I1296" s="13">
        <f t="shared" si="7"/>
        <v>8.62426</v>
      </c>
      <c r="J1296" s="18">
        <f t="shared" si="8"/>
        <v>-0.1437376667</v>
      </c>
      <c r="K1296" s="18">
        <f t="shared" si="10"/>
        <v>87.48131167</v>
      </c>
      <c r="L1296" s="4"/>
      <c r="M1296" s="4"/>
      <c r="N1296" s="4"/>
      <c r="O1296" s="4"/>
      <c r="P1296" s="4"/>
      <c r="Q1296" s="4"/>
      <c r="R1296" s="4"/>
      <c r="S1296" s="4"/>
      <c r="T1296" s="4"/>
      <c r="U1296" s="4"/>
      <c r="V1296" s="4"/>
      <c r="W1296" s="4"/>
    </row>
    <row r="1297" ht="15.75" customHeight="1">
      <c r="A1297" s="13">
        <f t="shared" si="9"/>
        <v>1294</v>
      </c>
      <c r="B1297" s="18">
        <f>A1297/'Orbit Info'!$G$10</f>
        <v>13.676699</v>
      </c>
      <c r="C1297" s="13">
        <f t="shared" si="2"/>
        <v>0</v>
      </c>
      <c r="D1297" s="13">
        <f t="shared" si="3"/>
        <v>1</v>
      </c>
      <c r="E1297" s="13">
        <f t="shared" si="4"/>
        <v>0</v>
      </c>
      <c r="F1297" s="13">
        <f t="shared" si="5"/>
        <v>0</v>
      </c>
      <c r="G1297" s="13">
        <f t="shared" si="6"/>
        <v>1</v>
      </c>
      <c r="H1297" s="13">
        <f>'Orbit Info'!C1296*((C1297*$O$2)+(D1297*$O$3)+(E1297*$O$4)+(F1297*$O$5))</f>
        <v>0</v>
      </c>
      <c r="I1297" s="13">
        <f t="shared" si="7"/>
        <v>8.62426</v>
      </c>
      <c r="J1297" s="18">
        <f t="shared" si="8"/>
        <v>-0.1437376667</v>
      </c>
      <c r="K1297" s="18">
        <f t="shared" si="10"/>
        <v>87.337574</v>
      </c>
      <c r="L1297" s="4"/>
      <c r="M1297" s="4"/>
      <c r="N1297" s="4"/>
      <c r="O1297" s="4"/>
      <c r="P1297" s="4"/>
      <c r="Q1297" s="4"/>
      <c r="R1297" s="4"/>
      <c r="S1297" s="4"/>
      <c r="T1297" s="4"/>
      <c r="U1297" s="4"/>
      <c r="V1297" s="4"/>
      <c r="W1297" s="4"/>
    </row>
    <row r="1298" ht="15.75" customHeight="1">
      <c r="A1298" s="13">
        <f t="shared" si="9"/>
        <v>1295</v>
      </c>
      <c r="B1298" s="18">
        <f>A1298/'Orbit Info'!$G$10</f>
        <v>13.68726832</v>
      </c>
      <c r="C1298" s="13">
        <f t="shared" si="2"/>
        <v>0</v>
      </c>
      <c r="D1298" s="13">
        <f t="shared" si="3"/>
        <v>1</v>
      </c>
      <c r="E1298" s="13">
        <f t="shared" si="4"/>
        <v>0</v>
      </c>
      <c r="F1298" s="13">
        <f t="shared" si="5"/>
        <v>0</v>
      </c>
      <c r="G1298" s="13">
        <f t="shared" si="6"/>
        <v>1</v>
      </c>
      <c r="H1298" s="13">
        <f>'Orbit Info'!C1297*((C1298*$O$2)+(D1298*$O$3)+(E1298*$O$4)+(F1298*$O$5))</f>
        <v>0</v>
      </c>
      <c r="I1298" s="13">
        <f t="shared" si="7"/>
        <v>8.62426</v>
      </c>
      <c r="J1298" s="18">
        <f t="shared" si="8"/>
        <v>-0.1437376667</v>
      </c>
      <c r="K1298" s="18">
        <f t="shared" si="10"/>
        <v>87.19383633</v>
      </c>
      <c r="L1298" s="4"/>
      <c r="M1298" s="4"/>
      <c r="N1298" s="4"/>
      <c r="O1298" s="4"/>
      <c r="P1298" s="4"/>
      <c r="Q1298" s="4"/>
      <c r="R1298" s="4"/>
      <c r="S1298" s="4"/>
      <c r="T1298" s="4"/>
      <c r="U1298" s="4"/>
      <c r="V1298" s="4"/>
      <c r="W1298" s="4"/>
    </row>
    <row r="1299" ht="15.75" customHeight="1">
      <c r="A1299" s="13">
        <f t="shared" si="9"/>
        <v>1296</v>
      </c>
      <c r="B1299" s="18">
        <f>A1299/'Orbit Info'!$G$10</f>
        <v>13.69783764</v>
      </c>
      <c r="C1299" s="13">
        <f t="shared" si="2"/>
        <v>0</v>
      </c>
      <c r="D1299" s="13">
        <f t="shared" si="3"/>
        <v>1</v>
      </c>
      <c r="E1299" s="13">
        <f t="shared" si="4"/>
        <v>0</v>
      </c>
      <c r="F1299" s="13">
        <f t="shared" si="5"/>
        <v>0</v>
      </c>
      <c r="G1299" s="13">
        <f t="shared" si="6"/>
        <v>1</v>
      </c>
      <c r="H1299" s="13">
        <f>'Orbit Info'!C1298*((C1299*$O$2)+(D1299*$O$3)+(E1299*$O$4)+(F1299*$O$5))</f>
        <v>0</v>
      </c>
      <c r="I1299" s="13">
        <f t="shared" si="7"/>
        <v>8.62426</v>
      </c>
      <c r="J1299" s="18">
        <f t="shared" si="8"/>
        <v>-0.1437376667</v>
      </c>
      <c r="K1299" s="18">
        <f t="shared" si="10"/>
        <v>87.05009867</v>
      </c>
      <c r="L1299" s="4"/>
      <c r="M1299" s="4"/>
      <c r="N1299" s="4"/>
      <c r="O1299" s="4"/>
      <c r="P1299" s="4"/>
      <c r="Q1299" s="4"/>
      <c r="R1299" s="4"/>
      <c r="S1299" s="4"/>
      <c r="T1299" s="4"/>
      <c r="U1299" s="4"/>
      <c r="V1299" s="4"/>
      <c r="W1299" s="4"/>
    </row>
    <row r="1300" ht="15.75" customHeight="1">
      <c r="A1300" s="13">
        <f t="shared" si="9"/>
        <v>1297</v>
      </c>
      <c r="B1300" s="18">
        <f>A1300/'Orbit Info'!$G$10</f>
        <v>13.70840696</v>
      </c>
      <c r="C1300" s="13">
        <f t="shared" si="2"/>
        <v>0</v>
      </c>
      <c r="D1300" s="13">
        <f t="shared" si="3"/>
        <v>1</v>
      </c>
      <c r="E1300" s="13">
        <f t="shared" si="4"/>
        <v>0</v>
      </c>
      <c r="F1300" s="13">
        <f t="shared" si="5"/>
        <v>0</v>
      </c>
      <c r="G1300" s="13">
        <f t="shared" si="6"/>
        <v>1</v>
      </c>
      <c r="H1300" s="13">
        <f>'Orbit Info'!C1299*((C1300*$O$2)+(D1300*$O$3)+(E1300*$O$4)+(F1300*$O$5))</f>
        <v>0</v>
      </c>
      <c r="I1300" s="13">
        <f t="shared" si="7"/>
        <v>8.62426</v>
      </c>
      <c r="J1300" s="18">
        <f t="shared" si="8"/>
        <v>-0.1437376667</v>
      </c>
      <c r="K1300" s="18">
        <f t="shared" si="10"/>
        <v>86.906361</v>
      </c>
      <c r="L1300" s="4"/>
      <c r="M1300" s="4"/>
      <c r="N1300" s="4"/>
      <c r="O1300" s="4"/>
      <c r="P1300" s="4"/>
      <c r="Q1300" s="4"/>
      <c r="R1300" s="4"/>
      <c r="S1300" s="4"/>
      <c r="T1300" s="4"/>
      <c r="U1300" s="4"/>
      <c r="V1300" s="4"/>
      <c r="W1300" s="4"/>
    </row>
    <row r="1301" ht="15.75" customHeight="1">
      <c r="A1301" s="13">
        <f t="shared" si="9"/>
        <v>1298</v>
      </c>
      <c r="B1301" s="18">
        <f>A1301/'Orbit Info'!$G$10</f>
        <v>13.71897628</v>
      </c>
      <c r="C1301" s="13">
        <f t="shared" si="2"/>
        <v>0</v>
      </c>
      <c r="D1301" s="13">
        <f t="shared" si="3"/>
        <v>1</v>
      </c>
      <c r="E1301" s="13">
        <f t="shared" si="4"/>
        <v>0</v>
      </c>
      <c r="F1301" s="13">
        <f t="shared" si="5"/>
        <v>0</v>
      </c>
      <c r="G1301" s="13">
        <f t="shared" si="6"/>
        <v>1</v>
      </c>
      <c r="H1301" s="13">
        <f>'Orbit Info'!C1300*((C1301*$O$2)+(D1301*$O$3)+(E1301*$O$4)+(F1301*$O$5))</f>
        <v>0</v>
      </c>
      <c r="I1301" s="13">
        <f t="shared" si="7"/>
        <v>8.62426</v>
      </c>
      <c r="J1301" s="18">
        <f t="shared" si="8"/>
        <v>-0.1437376667</v>
      </c>
      <c r="K1301" s="18">
        <f t="shared" si="10"/>
        <v>86.76262333</v>
      </c>
      <c r="L1301" s="4"/>
      <c r="M1301" s="4"/>
      <c r="N1301" s="4"/>
      <c r="O1301" s="4"/>
      <c r="P1301" s="4"/>
      <c r="Q1301" s="4"/>
      <c r="R1301" s="4"/>
      <c r="S1301" s="4"/>
      <c r="T1301" s="4"/>
      <c r="U1301" s="4"/>
      <c r="V1301" s="4"/>
      <c r="W1301" s="4"/>
    </row>
    <row r="1302" ht="15.75" customHeight="1">
      <c r="A1302" s="13">
        <f t="shared" si="9"/>
        <v>1299</v>
      </c>
      <c r="B1302" s="18">
        <f>A1302/'Orbit Info'!$G$10</f>
        <v>13.7295456</v>
      </c>
      <c r="C1302" s="13">
        <f t="shared" si="2"/>
        <v>0</v>
      </c>
      <c r="D1302" s="13">
        <f t="shared" si="3"/>
        <v>1</v>
      </c>
      <c r="E1302" s="13">
        <f t="shared" si="4"/>
        <v>0</v>
      </c>
      <c r="F1302" s="13">
        <f t="shared" si="5"/>
        <v>0</v>
      </c>
      <c r="G1302" s="13">
        <f t="shared" si="6"/>
        <v>1</v>
      </c>
      <c r="H1302" s="13">
        <f>'Orbit Info'!C1301*((C1302*$O$2)+(D1302*$O$3)+(E1302*$O$4)+(F1302*$O$5))</f>
        <v>0</v>
      </c>
      <c r="I1302" s="13">
        <f t="shared" si="7"/>
        <v>8.62426</v>
      </c>
      <c r="J1302" s="18">
        <f t="shared" si="8"/>
        <v>-0.1437376667</v>
      </c>
      <c r="K1302" s="18">
        <f t="shared" si="10"/>
        <v>86.61888567</v>
      </c>
      <c r="L1302" s="4"/>
      <c r="M1302" s="4"/>
      <c r="N1302" s="4"/>
      <c r="O1302" s="4"/>
      <c r="P1302" s="4"/>
      <c r="Q1302" s="4"/>
      <c r="R1302" s="4"/>
      <c r="S1302" s="4"/>
      <c r="T1302" s="4"/>
      <c r="U1302" s="4"/>
      <c r="V1302" s="4"/>
      <c r="W1302" s="4"/>
    </row>
    <row r="1303" ht="15.75" customHeight="1">
      <c r="A1303" s="13">
        <f t="shared" si="9"/>
        <v>1300</v>
      </c>
      <c r="B1303" s="18">
        <f>A1303/'Orbit Info'!$G$10</f>
        <v>13.74011492</v>
      </c>
      <c r="C1303" s="13">
        <f t="shared" si="2"/>
        <v>0</v>
      </c>
      <c r="D1303" s="13">
        <f t="shared" si="3"/>
        <v>1</v>
      </c>
      <c r="E1303" s="13">
        <f t="shared" si="4"/>
        <v>0</v>
      </c>
      <c r="F1303" s="13">
        <f t="shared" si="5"/>
        <v>0</v>
      </c>
      <c r="G1303" s="13">
        <f t="shared" si="6"/>
        <v>1</v>
      </c>
      <c r="H1303" s="13">
        <f>'Orbit Info'!C1302*((C1303*$O$2)+(D1303*$O$3)+(E1303*$O$4)+(F1303*$O$5))</f>
        <v>0</v>
      </c>
      <c r="I1303" s="13">
        <f t="shared" si="7"/>
        <v>8.62426</v>
      </c>
      <c r="J1303" s="18">
        <f t="shared" si="8"/>
        <v>-0.1437376667</v>
      </c>
      <c r="K1303" s="18">
        <f t="shared" si="10"/>
        <v>86.475148</v>
      </c>
      <c r="L1303" s="4"/>
      <c r="M1303" s="4"/>
      <c r="N1303" s="4"/>
      <c r="O1303" s="4"/>
      <c r="P1303" s="4"/>
      <c r="Q1303" s="4"/>
      <c r="R1303" s="4"/>
      <c r="S1303" s="4"/>
      <c r="T1303" s="4"/>
      <c r="U1303" s="4"/>
      <c r="V1303" s="4"/>
      <c r="W1303" s="4"/>
    </row>
    <row r="1304" ht="15.75" customHeight="1">
      <c r="A1304" s="13">
        <f t="shared" si="9"/>
        <v>1301</v>
      </c>
      <c r="B1304" s="18">
        <f>A1304/'Orbit Info'!$G$10</f>
        <v>13.75068423</v>
      </c>
      <c r="C1304" s="13">
        <f t="shared" si="2"/>
        <v>0</v>
      </c>
      <c r="D1304" s="13">
        <f t="shared" si="3"/>
        <v>0</v>
      </c>
      <c r="E1304" s="13">
        <f t="shared" si="4"/>
        <v>1</v>
      </c>
      <c r="F1304" s="13">
        <f t="shared" si="5"/>
        <v>0</v>
      </c>
      <c r="G1304" s="13">
        <f t="shared" si="6"/>
        <v>1</v>
      </c>
      <c r="H1304" s="13">
        <f>'Orbit Info'!C1303*((C1304*$O$2)+(D1304*$O$3)+(E1304*$O$4)+(F1304*$O$5))</f>
        <v>0</v>
      </c>
      <c r="I1304" s="13">
        <f t="shared" si="7"/>
        <v>17.54526</v>
      </c>
      <c r="J1304" s="18">
        <f t="shared" si="8"/>
        <v>-0.292421</v>
      </c>
      <c r="K1304" s="18">
        <f t="shared" si="10"/>
        <v>86.182727</v>
      </c>
      <c r="L1304" s="4"/>
      <c r="M1304" s="4"/>
      <c r="N1304" s="4"/>
      <c r="O1304" s="4"/>
      <c r="P1304" s="4"/>
      <c r="Q1304" s="4"/>
      <c r="R1304" s="4"/>
      <c r="S1304" s="4"/>
      <c r="T1304" s="4"/>
      <c r="U1304" s="4"/>
      <c r="V1304" s="4"/>
      <c r="W1304" s="4"/>
    </row>
    <row r="1305" ht="15.75" customHeight="1">
      <c r="A1305" s="13">
        <f t="shared" si="9"/>
        <v>1302</v>
      </c>
      <c r="B1305" s="18">
        <f>A1305/'Orbit Info'!$G$10</f>
        <v>13.76125355</v>
      </c>
      <c r="C1305" s="13">
        <f t="shared" si="2"/>
        <v>0</v>
      </c>
      <c r="D1305" s="13">
        <f t="shared" si="3"/>
        <v>0</v>
      </c>
      <c r="E1305" s="13">
        <f t="shared" si="4"/>
        <v>1</v>
      </c>
      <c r="F1305" s="13">
        <f t="shared" si="5"/>
        <v>0</v>
      </c>
      <c r="G1305" s="13">
        <f t="shared" si="6"/>
        <v>1</v>
      </c>
      <c r="H1305" s="13">
        <f>'Orbit Info'!C1304*((C1305*$O$2)+(D1305*$O$3)+(E1305*$O$4)+(F1305*$O$5))</f>
        <v>0</v>
      </c>
      <c r="I1305" s="13">
        <f t="shared" si="7"/>
        <v>17.54526</v>
      </c>
      <c r="J1305" s="18">
        <f t="shared" si="8"/>
        <v>-0.292421</v>
      </c>
      <c r="K1305" s="18">
        <f t="shared" si="10"/>
        <v>85.890306</v>
      </c>
      <c r="L1305" s="4"/>
      <c r="M1305" s="4"/>
      <c r="N1305" s="4"/>
      <c r="O1305" s="4"/>
      <c r="P1305" s="4"/>
      <c r="Q1305" s="4"/>
      <c r="R1305" s="4"/>
      <c r="S1305" s="4"/>
      <c r="T1305" s="4"/>
      <c r="U1305" s="4"/>
      <c r="V1305" s="4"/>
      <c r="W1305" s="4"/>
    </row>
    <row r="1306" ht="15.75" customHeight="1">
      <c r="A1306" s="13">
        <f t="shared" si="9"/>
        <v>1303</v>
      </c>
      <c r="B1306" s="18">
        <f>A1306/'Orbit Info'!$G$10</f>
        <v>13.77182287</v>
      </c>
      <c r="C1306" s="13">
        <f t="shared" si="2"/>
        <v>0</v>
      </c>
      <c r="D1306" s="13">
        <f t="shared" si="3"/>
        <v>0</v>
      </c>
      <c r="E1306" s="13">
        <f t="shared" si="4"/>
        <v>1</v>
      </c>
      <c r="F1306" s="13">
        <f t="shared" si="5"/>
        <v>0</v>
      </c>
      <c r="G1306" s="13">
        <f t="shared" si="6"/>
        <v>1</v>
      </c>
      <c r="H1306" s="13">
        <f>'Orbit Info'!C1305*((C1306*$O$2)+(D1306*$O$3)+(E1306*$O$4)+(F1306*$O$5))</f>
        <v>0</v>
      </c>
      <c r="I1306" s="13">
        <f t="shared" si="7"/>
        <v>17.54526</v>
      </c>
      <c r="J1306" s="18">
        <f t="shared" si="8"/>
        <v>-0.292421</v>
      </c>
      <c r="K1306" s="18">
        <f t="shared" si="10"/>
        <v>85.597885</v>
      </c>
      <c r="L1306" s="4"/>
      <c r="M1306" s="4"/>
      <c r="N1306" s="4"/>
      <c r="O1306" s="4"/>
      <c r="P1306" s="4"/>
      <c r="Q1306" s="4"/>
      <c r="R1306" s="4"/>
      <c r="S1306" s="4"/>
      <c r="T1306" s="4"/>
      <c r="U1306" s="4"/>
      <c r="V1306" s="4"/>
      <c r="W1306" s="4"/>
    </row>
    <row r="1307" ht="15.75" customHeight="1">
      <c r="A1307" s="13">
        <f t="shared" si="9"/>
        <v>1304</v>
      </c>
      <c r="B1307" s="18">
        <f>A1307/'Orbit Info'!$G$10</f>
        <v>13.78239219</v>
      </c>
      <c r="C1307" s="13">
        <f t="shared" si="2"/>
        <v>0</v>
      </c>
      <c r="D1307" s="13">
        <f t="shared" si="3"/>
        <v>0</v>
      </c>
      <c r="E1307" s="13">
        <f t="shared" si="4"/>
        <v>1</v>
      </c>
      <c r="F1307" s="13">
        <f t="shared" si="5"/>
        <v>0</v>
      </c>
      <c r="G1307" s="13">
        <f t="shared" si="6"/>
        <v>1</v>
      </c>
      <c r="H1307" s="13">
        <f>'Orbit Info'!C1306*((C1307*$O$2)+(D1307*$O$3)+(E1307*$O$4)+(F1307*$O$5))</f>
        <v>0</v>
      </c>
      <c r="I1307" s="13">
        <f t="shared" si="7"/>
        <v>17.54526</v>
      </c>
      <c r="J1307" s="18">
        <f t="shared" si="8"/>
        <v>-0.292421</v>
      </c>
      <c r="K1307" s="18">
        <f t="shared" si="10"/>
        <v>85.305464</v>
      </c>
      <c r="L1307" s="4"/>
      <c r="M1307" s="4"/>
      <c r="N1307" s="4"/>
      <c r="O1307" s="4"/>
      <c r="P1307" s="4"/>
      <c r="Q1307" s="4"/>
      <c r="R1307" s="4"/>
      <c r="S1307" s="4"/>
      <c r="T1307" s="4"/>
      <c r="U1307" s="4"/>
      <c r="V1307" s="4"/>
      <c r="W1307" s="4"/>
    </row>
    <row r="1308" ht="15.75" customHeight="1">
      <c r="A1308" s="13">
        <f t="shared" si="9"/>
        <v>1305</v>
      </c>
      <c r="B1308" s="18">
        <f>A1308/'Orbit Info'!$G$10</f>
        <v>13.79296151</v>
      </c>
      <c r="C1308" s="13">
        <f t="shared" si="2"/>
        <v>0</v>
      </c>
      <c r="D1308" s="13">
        <f t="shared" si="3"/>
        <v>0</v>
      </c>
      <c r="E1308" s="13">
        <f t="shared" si="4"/>
        <v>1</v>
      </c>
      <c r="F1308" s="13">
        <f t="shared" si="5"/>
        <v>0</v>
      </c>
      <c r="G1308" s="13">
        <f t="shared" si="6"/>
        <v>1</v>
      </c>
      <c r="H1308" s="13">
        <f>'Orbit Info'!C1307*((C1308*$O$2)+(D1308*$O$3)+(E1308*$O$4)+(F1308*$O$5))</f>
        <v>0</v>
      </c>
      <c r="I1308" s="13">
        <f t="shared" si="7"/>
        <v>17.54526</v>
      </c>
      <c r="J1308" s="18">
        <f t="shared" si="8"/>
        <v>-0.292421</v>
      </c>
      <c r="K1308" s="18">
        <f t="shared" si="10"/>
        <v>85.013043</v>
      </c>
      <c r="L1308" s="4"/>
      <c r="M1308" s="4"/>
      <c r="N1308" s="4"/>
      <c r="O1308" s="4"/>
      <c r="P1308" s="4"/>
      <c r="Q1308" s="4"/>
      <c r="R1308" s="4"/>
      <c r="S1308" s="4"/>
      <c r="T1308" s="4"/>
      <c r="U1308" s="4"/>
      <c r="V1308" s="4"/>
      <c r="W1308" s="4"/>
    </row>
    <row r="1309" ht="15.75" customHeight="1">
      <c r="A1309" s="13">
        <f t="shared" si="9"/>
        <v>1306</v>
      </c>
      <c r="B1309" s="18">
        <f>A1309/'Orbit Info'!$G$10</f>
        <v>13.80353083</v>
      </c>
      <c r="C1309" s="13">
        <f t="shared" si="2"/>
        <v>0</v>
      </c>
      <c r="D1309" s="13">
        <f t="shared" si="3"/>
        <v>0</v>
      </c>
      <c r="E1309" s="13">
        <f t="shared" si="4"/>
        <v>1</v>
      </c>
      <c r="F1309" s="13">
        <f t="shared" si="5"/>
        <v>0</v>
      </c>
      <c r="G1309" s="13">
        <f t="shared" si="6"/>
        <v>1</v>
      </c>
      <c r="H1309" s="13">
        <f>'Orbit Info'!C1308*((C1309*$O$2)+(D1309*$O$3)+(E1309*$O$4)+(F1309*$O$5))</f>
        <v>0</v>
      </c>
      <c r="I1309" s="13">
        <f t="shared" si="7"/>
        <v>17.54526</v>
      </c>
      <c r="J1309" s="18">
        <f t="shared" si="8"/>
        <v>-0.292421</v>
      </c>
      <c r="K1309" s="18">
        <f t="shared" si="10"/>
        <v>84.720622</v>
      </c>
      <c r="L1309" s="4"/>
      <c r="M1309" s="4"/>
      <c r="N1309" s="4"/>
      <c r="O1309" s="4"/>
      <c r="P1309" s="4"/>
      <c r="Q1309" s="4"/>
      <c r="R1309" s="4"/>
      <c r="S1309" s="4"/>
      <c r="T1309" s="4"/>
      <c r="U1309" s="4"/>
      <c r="V1309" s="4"/>
      <c r="W1309" s="4"/>
    </row>
    <row r="1310" ht="15.75" customHeight="1">
      <c r="A1310" s="13">
        <f t="shared" si="9"/>
        <v>1307</v>
      </c>
      <c r="B1310" s="18">
        <f>A1310/'Orbit Info'!$G$10</f>
        <v>13.81410015</v>
      </c>
      <c r="C1310" s="13">
        <f t="shared" si="2"/>
        <v>0</v>
      </c>
      <c r="D1310" s="13">
        <f t="shared" si="3"/>
        <v>0</v>
      </c>
      <c r="E1310" s="13">
        <f t="shared" si="4"/>
        <v>1</v>
      </c>
      <c r="F1310" s="13">
        <f t="shared" si="5"/>
        <v>0</v>
      </c>
      <c r="G1310" s="13">
        <f t="shared" si="6"/>
        <v>1</v>
      </c>
      <c r="H1310" s="13">
        <f>'Orbit Info'!C1309*((C1310*$O$2)+(D1310*$O$3)+(E1310*$O$4)+(F1310*$O$5))</f>
        <v>0</v>
      </c>
      <c r="I1310" s="13">
        <f t="shared" si="7"/>
        <v>17.54526</v>
      </c>
      <c r="J1310" s="18">
        <f t="shared" si="8"/>
        <v>-0.292421</v>
      </c>
      <c r="K1310" s="18">
        <f t="shared" si="10"/>
        <v>84.428201</v>
      </c>
      <c r="L1310" s="4"/>
      <c r="M1310" s="4"/>
      <c r="N1310" s="4"/>
      <c r="O1310" s="4"/>
      <c r="P1310" s="4"/>
      <c r="Q1310" s="4"/>
      <c r="R1310" s="4"/>
      <c r="S1310" s="4"/>
      <c r="T1310" s="4"/>
      <c r="U1310" s="4"/>
      <c r="V1310" s="4"/>
      <c r="W1310" s="4"/>
    </row>
    <row r="1311" ht="15.75" customHeight="1">
      <c r="A1311" s="13">
        <f t="shared" si="9"/>
        <v>1308</v>
      </c>
      <c r="B1311" s="18">
        <f>A1311/'Orbit Info'!$G$10</f>
        <v>13.82466947</v>
      </c>
      <c r="C1311" s="13">
        <f t="shared" si="2"/>
        <v>0</v>
      </c>
      <c r="D1311" s="13">
        <f t="shared" si="3"/>
        <v>0</v>
      </c>
      <c r="E1311" s="13">
        <f t="shared" si="4"/>
        <v>1</v>
      </c>
      <c r="F1311" s="13">
        <f t="shared" si="5"/>
        <v>0</v>
      </c>
      <c r="G1311" s="13">
        <f t="shared" si="6"/>
        <v>1</v>
      </c>
      <c r="H1311" s="13">
        <f>'Orbit Info'!C1310*((C1311*$O$2)+(D1311*$O$3)+(E1311*$O$4)+(F1311*$O$5))</f>
        <v>0</v>
      </c>
      <c r="I1311" s="13">
        <f t="shared" si="7"/>
        <v>17.54526</v>
      </c>
      <c r="J1311" s="18">
        <f t="shared" si="8"/>
        <v>-0.292421</v>
      </c>
      <c r="K1311" s="18">
        <f t="shared" si="10"/>
        <v>84.13578</v>
      </c>
      <c r="L1311" s="4"/>
      <c r="M1311" s="4"/>
      <c r="N1311" s="4"/>
      <c r="O1311" s="4"/>
      <c r="P1311" s="4"/>
      <c r="Q1311" s="4"/>
      <c r="R1311" s="4"/>
      <c r="S1311" s="4"/>
      <c r="T1311" s="4"/>
      <c r="U1311" s="4"/>
      <c r="V1311" s="4"/>
      <c r="W1311" s="4"/>
    </row>
    <row r="1312" ht="15.75" customHeight="1">
      <c r="A1312" s="13">
        <f t="shared" si="9"/>
        <v>1309</v>
      </c>
      <c r="B1312" s="18">
        <f>A1312/'Orbit Info'!$G$10</f>
        <v>13.83523879</v>
      </c>
      <c r="C1312" s="13">
        <f t="shared" si="2"/>
        <v>0</v>
      </c>
      <c r="D1312" s="13">
        <f t="shared" si="3"/>
        <v>0</v>
      </c>
      <c r="E1312" s="13">
        <f t="shared" si="4"/>
        <v>1</v>
      </c>
      <c r="F1312" s="13">
        <f t="shared" si="5"/>
        <v>0</v>
      </c>
      <c r="G1312" s="13">
        <f t="shared" si="6"/>
        <v>1</v>
      </c>
      <c r="H1312" s="13">
        <f>'Orbit Info'!C1311*((C1312*$O$2)+(D1312*$O$3)+(E1312*$O$4)+(F1312*$O$5))</f>
        <v>0</v>
      </c>
      <c r="I1312" s="13">
        <f t="shared" si="7"/>
        <v>17.54526</v>
      </c>
      <c r="J1312" s="18">
        <f t="shared" si="8"/>
        <v>-0.292421</v>
      </c>
      <c r="K1312" s="18">
        <f t="shared" si="10"/>
        <v>83.843359</v>
      </c>
      <c r="L1312" s="4"/>
      <c r="M1312" s="4"/>
      <c r="N1312" s="4"/>
      <c r="O1312" s="4"/>
      <c r="P1312" s="4"/>
      <c r="Q1312" s="4"/>
      <c r="R1312" s="4"/>
      <c r="S1312" s="4"/>
      <c r="T1312" s="4"/>
      <c r="U1312" s="4"/>
      <c r="V1312" s="4"/>
      <c r="W1312" s="4"/>
    </row>
    <row r="1313" ht="15.75" customHeight="1">
      <c r="A1313" s="13">
        <f t="shared" si="9"/>
        <v>1310</v>
      </c>
      <c r="B1313" s="18">
        <f>A1313/'Orbit Info'!$G$10</f>
        <v>13.84580811</v>
      </c>
      <c r="C1313" s="13">
        <f t="shared" si="2"/>
        <v>0</v>
      </c>
      <c r="D1313" s="13">
        <f t="shared" si="3"/>
        <v>0</v>
      </c>
      <c r="E1313" s="13">
        <f t="shared" si="4"/>
        <v>1</v>
      </c>
      <c r="F1313" s="13">
        <f t="shared" si="5"/>
        <v>0</v>
      </c>
      <c r="G1313" s="13">
        <f t="shared" si="6"/>
        <v>1</v>
      </c>
      <c r="H1313" s="13">
        <f>'Orbit Info'!C1312*((C1313*$O$2)+(D1313*$O$3)+(E1313*$O$4)+(F1313*$O$5))</f>
        <v>0</v>
      </c>
      <c r="I1313" s="13">
        <f t="shared" si="7"/>
        <v>17.54526</v>
      </c>
      <c r="J1313" s="18">
        <f t="shared" si="8"/>
        <v>-0.292421</v>
      </c>
      <c r="K1313" s="18">
        <f t="shared" si="10"/>
        <v>83.550938</v>
      </c>
      <c r="L1313" s="4"/>
      <c r="M1313" s="4"/>
      <c r="N1313" s="4"/>
      <c r="O1313" s="4"/>
      <c r="P1313" s="4"/>
      <c r="Q1313" s="4"/>
      <c r="R1313" s="4"/>
      <c r="S1313" s="4"/>
      <c r="T1313" s="4"/>
      <c r="U1313" s="4"/>
      <c r="V1313" s="4"/>
      <c r="W1313" s="4"/>
    </row>
    <row r="1314" ht="15.75" customHeight="1">
      <c r="A1314" s="13">
        <f t="shared" si="9"/>
        <v>1311</v>
      </c>
      <c r="B1314" s="18">
        <f>A1314/'Orbit Info'!$G$10</f>
        <v>13.85637743</v>
      </c>
      <c r="C1314" s="13">
        <f t="shared" si="2"/>
        <v>0</v>
      </c>
      <c r="D1314" s="13">
        <f t="shared" si="3"/>
        <v>0</v>
      </c>
      <c r="E1314" s="13">
        <f t="shared" si="4"/>
        <v>1</v>
      </c>
      <c r="F1314" s="13">
        <f t="shared" si="5"/>
        <v>0</v>
      </c>
      <c r="G1314" s="13">
        <f t="shared" si="6"/>
        <v>1</v>
      </c>
      <c r="H1314" s="13">
        <f>'Orbit Info'!C1313*((C1314*$O$2)+(D1314*$O$3)+(E1314*$O$4)+(F1314*$O$5))</f>
        <v>0</v>
      </c>
      <c r="I1314" s="13">
        <f t="shared" si="7"/>
        <v>17.54526</v>
      </c>
      <c r="J1314" s="18">
        <f t="shared" si="8"/>
        <v>-0.292421</v>
      </c>
      <c r="K1314" s="18">
        <f t="shared" si="10"/>
        <v>83.258517</v>
      </c>
      <c r="L1314" s="4"/>
      <c r="M1314" s="4"/>
      <c r="N1314" s="4"/>
      <c r="O1314" s="4"/>
      <c r="P1314" s="4"/>
      <c r="Q1314" s="4"/>
      <c r="R1314" s="4"/>
      <c r="S1314" s="4"/>
      <c r="T1314" s="4"/>
      <c r="U1314" s="4"/>
      <c r="V1314" s="4"/>
      <c r="W1314" s="4"/>
    </row>
    <row r="1315" ht="15.75" customHeight="1">
      <c r="A1315" s="13">
        <f t="shared" si="9"/>
        <v>1312</v>
      </c>
      <c r="B1315" s="18">
        <f>A1315/'Orbit Info'!$G$10</f>
        <v>13.86694675</v>
      </c>
      <c r="C1315" s="13">
        <f t="shared" si="2"/>
        <v>0</v>
      </c>
      <c r="D1315" s="13">
        <f t="shared" si="3"/>
        <v>0</v>
      </c>
      <c r="E1315" s="13">
        <f t="shared" si="4"/>
        <v>1</v>
      </c>
      <c r="F1315" s="13">
        <f t="shared" si="5"/>
        <v>0</v>
      </c>
      <c r="G1315" s="13">
        <f t="shared" si="6"/>
        <v>1</v>
      </c>
      <c r="H1315" s="13">
        <f>'Orbit Info'!C1314*((C1315*$O$2)+(D1315*$O$3)+(E1315*$O$4)+(F1315*$O$5))</f>
        <v>0</v>
      </c>
      <c r="I1315" s="13">
        <f t="shared" si="7"/>
        <v>17.54526</v>
      </c>
      <c r="J1315" s="18">
        <f t="shared" si="8"/>
        <v>-0.292421</v>
      </c>
      <c r="K1315" s="18">
        <f t="shared" si="10"/>
        <v>82.966096</v>
      </c>
      <c r="L1315" s="4"/>
      <c r="M1315" s="4"/>
      <c r="N1315" s="4"/>
      <c r="O1315" s="4"/>
      <c r="P1315" s="4"/>
      <c r="Q1315" s="4"/>
      <c r="R1315" s="4"/>
      <c r="S1315" s="4"/>
      <c r="T1315" s="4"/>
      <c r="U1315" s="4"/>
      <c r="V1315" s="4"/>
      <c r="W1315" s="4"/>
    </row>
    <row r="1316" ht="15.75" customHeight="1">
      <c r="A1316" s="13">
        <f t="shared" si="9"/>
        <v>1313</v>
      </c>
      <c r="B1316" s="18">
        <f>A1316/'Orbit Info'!$G$10</f>
        <v>13.87751606</v>
      </c>
      <c r="C1316" s="13">
        <f t="shared" si="2"/>
        <v>0</v>
      </c>
      <c r="D1316" s="13">
        <f t="shared" si="3"/>
        <v>0</v>
      </c>
      <c r="E1316" s="13">
        <f t="shared" si="4"/>
        <v>1</v>
      </c>
      <c r="F1316" s="13">
        <f t="shared" si="5"/>
        <v>0</v>
      </c>
      <c r="G1316" s="13">
        <f t="shared" si="6"/>
        <v>1</v>
      </c>
      <c r="H1316" s="13">
        <f>'Orbit Info'!C1315*((C1316*$O$2)+(D1316*$O$3)+(E1316*$O$4)+(F1316*$O$5))</f>
        <v>0</v>
      </c>
      <c r="I1316" s="13">
        <f t="shared" si="7"/>
        <v>17.54526</v>
      </c>
      <c r="J1316" s="18">
        <f t="shared" si="8"/>
        <v>-0.292421</v>
      </c>
      <c r="K1316" s="18">
        <f t="shared" si="10"/>
        <v>82.673675</v>
      </c>
      <c r="L1316" s="4"/>
      <c r="M1316" s="4"/>
      <c r="N1316" s="4"/>
      <c r="O1316" s="4"/>
      <c r="P1316" s="4"/>
      <c r="Q1316" s="4"/>
      <c r="R1316" s="4"/>
      <c r="S1316" s="4"/>
      <c r="T1316" s="4"/>
      <c r="U1316" s="4"/>
      <c r="V1316" s="4"/>
      <c r="W1316" s="4"/>
    </row>
    <row r="1317" ht="15.75" customHeight="1">
      <c r="A1317" s="13">
        <f t="shared" si="9"/>
        <v>1314</v>
      </c>
      <c r="B1317" s="18">
        <f>A1317/'Orbit Info'!$G$10</f>
        <v>13.88808538</v>
      </c>
      <c r="C1317" s="13">
        <f t="shared" si="2"/>
        <v>0</v>
      </c>
      <c r="D1317" s="13">
        <f t="shared" si="3"/>
        <v>0</v>
      </c>
      <c r="E1317" s="13">
        <f t="shared" si="4"/>
        <v>1</v>
      </c>
      <c r="F1317" s="13">
        <f t="shared" si="5"/>
        <v>0</v>
      </c>
      <c r="G1317" s="13">
        <f t="shared" si="6"/>
        <v>1</v>
      </c>
      <c r="H1317" s="13">
        <f>'Orbit Info'!C1316*((C1317*$O$2)+(D1317*$O$3)+(E1317*$O$4)+(F1317*$O$5))</f>
        <v>0</v>
      </c>
      <c r="I1317" s="13">
        <f t="shared" si="7"/>
        <v>17.54526</v>
      </c>
      <c r="J1317" s="18">
        <f t="shared" si="8"/>
        <v>-0.292421</v>
      </c>
      <c r="K1317" s="18">
        <f t="shared" si="10"/>
        <v>82.381254</v>
      </c>
      <c r="L1317" s="4"/>
      <c r="M1317" s="4"/>
      <c r="N1317" s="4"/>
      <c r="O1317" s="4"/>
      <c r="P1317" s="4"/>
      <c r="Q1317" s="4"/>
      <c r="R1317" s="4"/>
      <c r="S1317" s="4"/>
      <c r="T1317" s="4"/>
      <c r="U1317" s="4"/>
      <c r="V1317" s="4"/>
      <c r="W1317" s="4"/>
    </row>
    <row r="1318" ht="15.75" customHeight="1">
      <c r="A1318" s="13">
        <f t="shared" si="9"/>
        <v>1315</v>
      </c>
      <c r="B1318" s="18">
        <f>A1318/'Orbit Info'!$G$10</f>
        <v>13.8986547</v>
      </c>
      <c r="C1318" s="13">
        <f t="shared" si="2"/>
        <v>0</v>
      </c>
      <c r="D1318" s="13">
        <f t="shared" si="3"/>
        <v>0</v>
      </c>
      <c r="E1318" s="13">
        <f t="shared" si="4"/>
        <v>1</v>
      </c>
      <c r="F1318" s="13">
        <f t="shared" si="5"/>
        <v>0</v>
      </c>
      <c r="G1318" s="13">
        <f t="shared" si="6"/>
        <v>1</v>
      </c>
      <c r="H1318" s="13">
        <f>'Orbit Info'!C1317*((C1318*$O$2)+(D1318*$O$3)+(E1318*$O$4)+(F1318*$O$5))</f>
        <v>0</v>
      </c>
      <c r="I1318" s="13">
        <f t="shared" si="7"/>
        <v>17.54526</v>
      </c>
      <c r="J1318" s="18">
        <f t="shared" si="8"/>
        <v>-0.292421</v>
      </c>
      <c r="K1318" s="18">
        <f t="shared" si="10"/>
        <v>82.088833</v>
      </c>
      <c r="L1318" s="4"/>
      <c r="M1318" s="4"/>
      <c r="N1318" s="4"/>
      <c r="O1318" s="4"/>
      <c r="P1318" s="4"/>
      <c r="Q1318" s="4"/>
      <c r="R1318" s="4"/>
      <c r="S1318" s="4"/>
      <c r="T1318" s="4"/>
      <c r="U1318" s="4"/>
      <c r="V1318" s="4"/>
      <c r="W1318" s="4"/>
    </row>
    <row r="1319" ht="15.75" customHeight="1">
      <c r="A1319" s="13">
        <f t="shared" si="9"/>
        <v>1316</v>
      </c>
      <c r="B1319" s="18">
        <f>A1319/'Orbit Info'!$G$10</f>
        <v>13.90922402</v>
      </c>
      <c r="C1319" s="13">
        <f t="shared" si="2"/>
        <v>0</v>
      </c>
      <c r="D1319" s="13">
        <f t="shared" si="3"/>
        <v>0</v>
      </c>
      <c r="E1319" s="13">
        <f t="shared" si="4"/>
        <v>1</v>
      </c>
      <c r="F1319" s="13">
        <f t="shared" si="5"/>
        <v>0</v>
      </c>
      <c r="G1319" s="13">
        <f t="shared" si="6"/>
        <v>1</v>
      </c>
      <c r="H1319" s="13">
        <f>'Orbit Info'!C1318*((C1319*$O$2)+(D1319*$O$3)+(E1319*$O$4)+(F1319*$O$5))</f>
        <v>0</v>
      </c>
      <c r="I1319" s="13">
        <f t="shared" si="7"/>
        <v>17.54526</v>
      </c>
      <c r="J1319" s="18">
        <f t="shared" si="8"/>
        <v>-0.292421</v>
      </c>
      <c r="K1319" s="18">
        <f t="shared" si="10"/>
        <v>81.796412</v>
      </c>
      <c r="L1319" s="4"/>
      <c r="M1319" s="4"/>
      <c r="N1319" s="4"/>
      <c r="O1319" s="4"/>
      <c r="P1319" s="4"/>
      <c r="Q1319" s="4"/>
      <c r="R1319" s="4"/>
      <c r="S1319" s="4"/>
      <c r="T1319" s="4"/>
      <c r="U1319" s="4"/>
      <c r="V1319" s="4"/>
      <c r="W1319" s="4"/>
    </row>
    <row r="1320" ht="15.75" customHeight="1">
      <c r="A1320" s="13">
        <f t="shared" si="9"/>
        <v>1317</v>
      </c>
      <c r="B1320" s="18">
        <f>A1320/'Orbit Info'!$G$10</f>
        <v>13.91979334</v>
      </c>
      <c r="C1320" s="13">
        <f t="shared" si="2"/>
        <v>0</v>
      </c>
      <c r="D1320" s="13">
        <f t="shared" si="3"/>
        <v>0</v>
      </c>
      <c r="E1320" s="13">
        <f t="shared" si="4"/>
        <v>1</v>
      </c>
      <c r="F1320" s="13">
        <f t="shared" si="5"/>
        <v>0</v>
      </c>
      <c r="G1320" s="13">
        <f t="shared" si="6"/>
        <v>1</v>
      </c>
      <c r="H1320" s="13">
        <f>'Orbit Info'!C1319*((C1320*$O$2)+(D1320*$O$3)+(E1320*$O$4)+(F1320*$O$5))</f>
        <v>0</v>
      </c>
      <c r="I1320" s="13">
        <f t="shared" si="7"/>
        <v>17.54526</v>
      </c>
      <c r="J1320" s="18">
        <f t="shared" si="8"/>
        <v>-0.292421</v>
      </c>
      <c r="K1320" s="18">
        <f t="shared" si="10"/>
        <v>81.503991</v>
      </c>
      <c r="L1320" s="4"/>
      <c r="M1320" s="4"/>
      <c r="N1320" s="4"/>
      <c r="O1320" s="4"/>
      <c r="P1320" s="4"/>
      <c r="Q1320" s="4"/>
      <c r="R1320" s="4"/>
      <c r="S1320" s="4"/>
      <c r="T1320" s="4"/>
      <c r="U1320" s="4"/>
      <c r="V1320" s="4"/>
      <c r="W1320" s="4"/>
    </row>
    <row r="1321" ht="15.75" customHeight="1">
      <c r="A1321" s="13">
        <f t="shared" si="9"/>
        <v>1318</v>
      </c>
      <c r="B1321" s="18">
        <f>A1321/'Orbit Info'!$G$10</f>
        <v>13.93036266</v>
      </c>
      <c r="C1321" s="13">
        <f t="shared" si="2"/>
        <v>0</v>
      </c>
      <c r="D1321" s="13">
        <f t="shared" si="3"/>
        <v>0</v>
      </c>
      <c r="E1321" s="13">
        <f t="shared" si="4"/>
        <v>1</v>
      </c>
      <c r="F1321" s="13">
        <f t="shared" si="5"/>
        <v>0</v>
      </c>
      <c r="G1321" s="13">
        <f t="shared" si="6"/>
        <v>1</v>
      </c>
      <c r="H1321" s="13">
        <f>'Orbit Info'!C1320*((C1321*$O$2)+(D1321*$O$3)+(E1321*$O$4)+(F1321*$O$5))</f>
        <v>0</v>
      </c>
      <c r="I1321" s="13">
        <f t="shared" si="7"/>
        <v>17.54526</v>
      </c>
      <c r="J1321" s="18">
        <f t="shared" si="8"/>
        <v>-0.292421</v>
      </c>
      <c r="K1321" s="18">
        <f t="shared" si="10"/>
        <v>81.21157</v>
      </c>
      <c r="L1321" s="4"/>
      <c r="M1321" s="4"/>
      <c r="N1321" s="4"/>
      <c r="O1321" s="4"/>
      <c r="P1321" s="4"/>
      <c r="Q1321" s="4"/>
      <c r="R1321" s="4"/>
      <c r="S1321" s="4"/>
      <c r="T1321" s="4"/>
      <c r="U1321" s="4"/>
      <c r="V1321" s="4"/>
      <c r="W1321" s="4"/>
    </row>
    <row r="1322" ht="15.75" customHeight="1">
      <c r="A1322" s="13">
        <f t="shared" si="9"/>
        <v>1319</v>
      </c>
      <c r="B1322" s="18">
        <f>A1322/'Orbit Info'!$G$10</f>
        <v>13.94093198</v>
      </c>
      <c r="C1322" s="13">
        <f t="shared" si="2"/>
        <v>0</v>
      </c>
      <c r="D1322" s="13">
        <f t="shared" si="3"/>
        <v>0</v>
      </c>
      <c r="E1322" s="13">
        <f t="shared" si="4"/>
        <v>1</v>
      </c>
      <c r="F1322" s="13">
        <f t="shared" si="5"/>
        <v>0</v>
      </c>
      <c r="G1322" s="13">
        <f t="shared" si="6"/>
        <v>1</v>
      </c>
      <c r="H1322" s="13">
        <f>'Orbit Info'!C1321*((C1322*$O$2)+(D1322*$O$3)+(E1322*$O$4)+(F1322*$O$5))</f>
        <v>0</v>
      </c>
      <c r="I1322" s="13">
        <f t="shared" si="7"/>
        <v>17.54526</v>
      </c>
      <c r="J1322" s="18">
        <f t="shared" si="8"/>
        <v>-0.292421</v>
      </c>
      <c r="K1322" s="18">
        <f t="shared" si="10"/>
        <v>80.919149</v>
      </c>
      <c r="L1322" s="4"/>
      <c r="M1322" s="4"/>
      <c r="N1322" s="4"/>
      <c r="O1322" s="4"/>
      <c r="P1322" s="4"/>
      <c r="Q1322" s="4"/>
      <c r="R1322" s="4"/>
      <c r="S1322" s="4"/>
      <c r="T1322" s="4"/>
      <c r="U1322" s="4"/>
      <c r="V1322" s="4"/>
      <c r="W1322" s="4"/>
    </row>
    <row r="1323" ht="15.75" customHeight="1">
      <c r="A1323" s="13">
        <f t="shared" si="9"/>
        <v>1320</v>
      </c>
      <c r="B1323" s="18">
        <f>A1323/'Orbit Info'!$G$10</f>
        <v>13.9515013</v>
      </c>
      <c r="C1323" s="13">
        <f t="shared" si="2"/>
        <v>0</v>
      </c>
      <c r="D1323" s="13">
        <f t="shared" si="3"/>
        <v>0</v>
      </c>
      <c r="E1323" s="13">
        <f t="shared" si="4"/>
        <v>1</v>
      </c>
      <c r="F1323" s="13">
        <f t="shared" si="5"/>
        <v>0</v>
      </c>
      <c r="G1323" s="13">
        <f t="shared" si="6"/>
        <v>1</v>
      </c>
      <c r="H1323" s="13">
        <f>'Orbit Info'!C1322*((C1323*$O$2)+(D1323*$O$3)+(E1323*$O$4)+(F1323*$O$5))</f>
        <v>0</v>
      </c>
      <c r="I1323" s="13">
        <f t="shared" si="7"/>
        <v>17.54526</v>
      </c>
      <c r="J1323" s="18">
        <f t="shared" si="8"/>
        <v>-0.292421</v>
      </c>
      <c r="K1323" s="18">
        <f t="shared" si="10"/>
        <v>80.626728</v>
      </c>
      <c r="L1323" s="4"/>
      <c r="M1323" s="4"/>
      <c r="N1323" s="4"/>
      <c r="O1323" s="4"/>
      <c r="P1323" s="4"/>
      <c r="Q1323" s="4"/>
      <c r="R1323" s="4"/>
      <c r="S1323" s="4"/>
      <c r="T1323" s="4"/>
      <c r="U1323" s="4"/>
      <c r="V1323" s="4"/>
      <c r="W1323" s="4"/>
    </row>
    <row r="1324" ht="15.75" customHeight="1">
      <c r="A1324" s="13">
        <f t="shared" si="9"/>
        <v>1321</v>
      </c>
      <c r="B1324" s="18">
        <f>A1324/'Orbit Info'!$G$10</f>
        <v>13.96207062</v>
      </c>
      <c r="C1324" s="13">
        <f t="shared" si="2"/>
        <v>0</v>
      </c>
      <c r="D1324" s="13">
        <f t="shared" si="3"/>
        <v>0</v>
      </c>
      <c r="E1324" s="13">
        <f t="shared" si="4"/>
        <v>1</v>
      </c>
      <c r="F1324" s="13">
        <f t="shared" si="5"/>
        <v>0</v>
      </c>
      <c r="G1324" s="13">
        <f t="shared" si="6"/>
        <v>1</v>
      </c>
      <c r="H1324" s="13">
        <f>'Orbit Info'!C1323*((C1324*$O$2)+(D1324*$O$3)+(E1324*$O$4)+(F1324*$O$5))</f>
        <v>0</v>
      </c>
      <c r="I1324" s="13">
        <f t="shared" si="7"/>
        <v>17.54526</v>
      </c>
      <c r="J1324" s="18">
        <f t="shared" si="8"/>
        <v>-0.292421</v>
      </c>
      <c r="K1324" s="18">
        <f t="shared" si="10"/>
        <v>80.334307</v>
      </c>
      <c r="L1324" s="4"/>
      <c r="M1324" s="4"/>
      <c r="N1324" s="4"/>
      <c r="O1324" s="4"/>
      <c r="P1324" s="4"/>
      <c r="Q1324" s="4"/>
      <c r="R1324" s="4"/>
      <c r="S1324" s="4"/>
      <c r="T1324" s="4"/>
      <c r="U1324" s="4"/>
      <c r="V1324" s="4"/>
      <c r="W1324" s="4"/>
    </row>
    <row r="1325" ht="15.75" customHeight="1">
      <c r="A1325" s="13">
        <f t="shared" si="9"/>
        <v>1322</v>
      </c>
      <c r="B1325" s="18">
        <f>A1325/'Orbit Info'!$G$10</f>
        <v>13.97263994</v>
      </c>
      <c r="C1325" s="13">
        <f t="shared" si="2"/>
        <v>0</v>
      </c>
      <c r="D1325" s="13">
        <f t="shared" si="3"/>
        <v>0</v>
      </c>
      <c r="E1325" s="13">
        <f t="shared" si="4"/>
        <v>1</v>
      </c>
      <c r="F1325" s="13">
        <f t="shared" si="5"/>
        <v>0</v>
      </c>
      <c r="G1325" s="13">
        <f t="shared" si="6"/>
        <v>1</v>
      </c>
      <c r="H1325" s="13">
        <f>'Orbit Info'!C1324*((C1325*$O$2)+(D1325*$O$3)+(E1325*$O$4)+(F1325*$O$5))</f>
        <v>0</v>
      </c>
      <c r="I1325" s="13">
        <f t="shared" si="7"/>
        <v>17.54526</v>
      </c>
      <c r="J1325" s="18">
        <f t="shared" si="8"/>
        <v>-0.292421</v>
      </c>
      <c r="K1325" s="18">
        <f t="shared" si="10"/>
        <v>80.041886</v>
      </c>
      <c r="L1325" s="4"/>
      <c r="M1325" s="4"/>
      <c r="N1325" s="4"/>
      <c r="O1325" s="4"/>
      <c r="P1325" s="4"/>
      <c r="Q1325" s="4"/>
      <c r="R1325" s="4"/>
      <c r="S1325" s="4"/>
      <c r="T1325" s="4"/>
      <c r="U1325" s="4"/>
      <c r="V1325" s="4"/>
      <c r="W1325" s="4"/>
    </row>
    <row r="1326" ht="15.75" customHeight="1">
      <c r="A1326" s="13">
        <f t="shared" si="9"/>
        <v>1323</v>
      </c>
      <c r="B1326" s="18">
        <f>A1326/'Orbit Info'!$G$10</f>
        <v>13.98320926</v>
      </c>
      <c r="C1326" s="13">
        <f t="shared" si="2"/>
        <v>0</v>
      </c>
      <c r="D1326" s="13">
        <f t="shared" si="3"/>
        <v>0</v>
      </c>
      <c r="E1326" s="13">
        <f t="shared" si="4"/>
        <v>1</v>
      </c>
      <c r="F1326" s="13">
        <f t="shared" si="5"/>
        <v>0</v>
      </c>
      <c r="G1326" s="13">
        <f t="shared" si="6"/>
        <v>1</v>
      </c>
      <c r="H1326" s="13">
        <f>'Orbit Info'!C1325*((C1326*$O$2)+(D1326*$O$3)+(E1326*$O$4)+(F1326*$O$5))</f>
        <v>0</v>
      </c>
      <c r="I1326" s="13">
        <f t="shared" si="7"/>
        <v>17.54526</v>
      </c>
      <c r="J1326" s="18">
        <f t="shared" si="8"/>
        <v>-0.292421</v>
      </c>
      <c r="K1326" s="18">
        <f t="shared" si="10"/>
        <v>79.749465</v>
      </c>
      <c r="L1326" s="4"/>
      <c r="M1326" s="4"/>
      <c r="N1326" s="4"/>
      <c r="O1326" s="4"/>
      <c r="P1326" s="4"/>
      <c r="Q1326" s="4"/>
      <c r="R1326" s="4"/>
      <c r="S1326" s="4"/>
      <c r="T1326" s="4"/>
      <c r="U1326" s="4"/>
      <c r="V1326" s="4"/>
      <c r="W1326" s="4"/>
    </row>
    <row r="1327" ht="15.75" customHeight="1">
      <c r="A1327" s="13">
        <f t="shared" si="9"/>
        <v>1324</v>
      </c>
      <c r="B1327" s="18">
        <f>A1327/'Orbit Info'!$G$10</f>
        <v>13.99377858</v>
      </c>
      <c r="C1327" s="13">
        <f t="shared" si="2"/>
        <v>0</v>
      </c>
      <c r="D1327" s="13">
        <f t="shared" si="3"/>
        <v>0</v>
      </c>
      <c r="E1327" s="13">
        <f t="shared" si="4"/>
        <v>1</v>
      </c>
      <c r="F1327" s="13">
        <f t="shared" si="5"/>
        <v>0</v>
      </c>
      <c r="G1327" s="13">
        <f t="shared" si="6"/>
        <v>1</v>
      </c>
      <c r="H1327" s="13">
        <f>'Orbit Info'!C1326*((C1327*$O$2)+(D1327*$O$3)+(E1327*$O$4)+(F1327*$O$5))</f>
        <v>0</v>
      </c>
      <c r="I1327" s="13">
        <f t="shared" si="7"/>
        <v>17.54526</v>
      </c>
      <c r="J1327" s="18">
        <f t="shared" si="8"/>
        <v>-0.292421</v>
      </c>
      <c r="K1327" s="18">
        <f t="shared" si="10"/>
        <v>79.457044</v>
      </c>
      <c r="L1327" s="4"/>
      <c r="M1327" s="4"/>
      <c r="N1327" s="4"/>
      <c r="O1327" s="4"/>
      <c r="P1327" s="4"/>
      <c r="Q1327" s="4"/>
      <c r="R1327" s="4"/>
      <c r="S1327" s="4"/>
      <c r="T1327" s="4"/>
      <c r="U1327" s="4"/>
      <c r="V1327" s="4"/>
      <c r="W1327" s="4"/>
    </row>
    <row r="1328" ht="15.75" customHeight="1">
      <c r="A1328" s="13">
        <f t="shared" si="9"/>
        <v>1325</v>
      </c>
      <c r="B1328" s="18">
        <f>A1328/'Orbit Info'!$G$10</f>
        <v>14.00434789</v>
      </c>
      <c r="C1328" s="13">
        <f t="shared" si="2"/>
        <v>0</v>
      </c>
      <c r="D1328" s="13">
        <f t="shared" si="3"/>
        <v>0</v>
      </c>
      <c r="E1328" s="13">
        <f t="shared" si="4"/>
        <v>1</v>
      </c>
      <c r="F1328" s="13">
        <f t="shared" si="5"/>
        <v>0</v>
      </c>
      <c r="G1328" s="13">
        <f t="shared" si="6"/>
        <v>1</v>
      </c>
      <c r="H1328" s="13">
        <f>'Orbit Info'!C1327*((C1328*$O$2)+(D1328*$O$3)+(E1328*$O$4)+(F1328*$O$5))</f>
        <v>11.721024</v>
      </c>
      <c r="I1328" s="13">
        <f t="shared" si="7"/>
        <v>17.54526</v>
      </c>
      <c r="J1328" s="18">
        <f t="shared" si="8"/>
        <v>-0.0970706</v>
      </c>
      <c r="K1328" s="18">
        <f t="shared" si="10"/>
        <v>79.3599734</v>
      </c>
      <c r="L1328" s="4"/>
      <c r="M1328" s="4"/>
      <c r="N1328" s="4"/>
      <c r="O1328" s="4"/>
      <c r="P1328" s="4"/>
      <c r="Q1328" s="4"/>
      <c r="R1328" s="4"/>
      <c r="S1328" s="4"/>
      <c r="T1328" s="4"/>
      <c r="U1328" s="4"/>
      <c r="V1328" s="4"/>
      <c r="W1328" s="4"/>
    </row>
    <row r="1329" ht="15.75" customHeight="1">
      <c r="A1329" s="13">
        <f t="shared" si="9"/>
        <v>1326</v>
      </c>
      <c r="B1329" s="18">
        <f>A1329/'Orbit Info'!$G$10</f>
        <v>14.01491721</v>
      </c>
      <c r="C1329" s="13">
        <f t="shared" si="2"/>
        <v>0</v>
      </c>
      <c r="D1329" s="13">
        <f t="shared" si="3"/>
        <v>0</v>
      </c>
      <c r="E1329" s="13">
        <f t="shared" si="4"/>
        <v>1</v>
      </c>
      <c r="F1329" s="13">
        <f t="shared" si="5"/>
        <v>0</v>
      </c>
      <c r="G1329" s="13">
        <f t="shared" si="6"/>
        <v>1</v>
      </c>
      <c r="H1329" s="13">
        <f>'Orbit Info'!C1328*((C1329*$O$2)+(D1329*$O$3)+(E1329*$O$4)+(F1329*$O$5))</f>
        <v>11.721024</v>
      </c>
      <c r="I1329" s="13">
        <f t="shared" si="7"/>
        <v>17.54526</v>
      </c>
      <c r="J1329" s="18">
        <f t="shared" si="8"/>
        <v>-0.0970706</v>
      </c>
      <c r="K1329" s="18">
        <f t="shared" si="10"/>
        <v>79.2629028</v>
      </c>
      <c r="L1329" s="4"/>
      <c r="M1329" s="4"/>
      <c r="N1329" s="4"/>
      <c r="O1329" s="4"/>
      <c r="P1329" s="4"/>
      <c r="Q1329" s="4"/>
      <c r="R1329" s="4"/>
      <c r="S1329" s="4"/>
      <c r="T1329" s="4"/>
      <c r="U1329" s="4"/>
      <c r="V1329" s="4"/>
      <c r="W1329" s="4"/>
    </row>
    <row r="1330" ht="15.75" customHeight="1">
      <c r="A1330" s="13">
        <f t="shared" si="9"/>
        <v>1327</v>
      </c>
      <c r="B1330" s="18">
        <f>A1330/'Orbit Info'!$G$10</f>
        <v>14.02548653</v>
      </c>
      <c r="C1330" s="13">
        <f t="shared" si="2"/>
        <v>0</v>
      </c>
      <c r="D1330" s="13">
        <f t="shared" si="3"/>
        <v>0</v>
      </c>
      <c r="E1330" s="13">
        <f t="shared" si="4"/>
        <v>1</v>
      </c>
      <c r="F1330" s="13">
        <f t="shared" si="5"/>
        <v>0</v>
      </c>
      <c r="G1330" s="13">
        <f t="shared" si="6"/>
        <v>1</v>
      </c>
      <c r="H1330" s="13">
        <f>'Orbit Info'!C1329*((C1330*$O$2)+(D1330*$O$3)+(E1330*$O$4)+(F1330*$O$5))</f>
        <v>11.721024</v>
      </c>
      <c r="I1330" s="13">
        <f t="shared" si="7"/>
        <v>17.54526</v>
      </c>
      <c r="J1330" s="18">
        <f t="shared" si="8"/>
        <v>-0.0970706</v>
      </c>
      <c r="K1330" s="18">
        <f t="shared" si="10"/>
        <v>79.1658322</v>
      </c>
      <c r="L1330" s="4"/>
      <c r="M1330" s="4"/>
      <c r="N1330" s="4"/>
      <c r="O1330" s="4"/>
      <c r="P1330" s="4"/>
      <c r="Q1330" s="4"/>
      <c r="R1330" s="4"/>
      <c r="S1330" s="4"/>
      <c r="T1330" s="4"/>
      <c r="U1330" s="4"/>
      <c r="V1330" s="4"/>
      <c r="W1330" s="4"/>
    </row>
    <row r="1331" ht="15.75" customHeight="1">
      <c r="A1331" s="13">
        <f t="shared" si="9"/>
        <v>1328</v>
      </c>
      <c r="B1331" s="18">
        <f>A1331/'Orbit Info'!$G$10</f>
        <v>14.03605585</v>
      </c>
      <c r="C1331" s="13">
        <f t="shared" si="2"/>
        <v>0</v>
      </c>
      <c r="D1331" s="13">
        <f t="shared" si="3"/>
        <v>0</v>
      </c>
      <c r="E1331" s="13">
        <f t="shared" si="4"/>
        <v>1</v>
      </c>
      <c r="F1331" s="13">
        <f t="shared" si="5"/>
        <v>0</v>
      </c>
      <c r="G1331" s="13">
        <f t="shared" si="6"/>
        <v>1</v>
      </c>
      <c r="H1331" s="13">
        <f>'Orbit Info'!C1330*((C1331*$O$2)+(D1331*$O$3)+(E1331*$O$4)+(F1331*$O$5))</f>
        <v>11.721024</v>
      </c>
      <c r="I1331" s="13">
        <f t="shared" si="7"/>
        <v>17.54526</v>
      </c>
      <c r="J1331" s="18">
        <f t="shared" si="8"/>
        <v>-0.0970706</v>
      </c>
      <c r="K1331" s="18">
        <f t="shared" si="10"/>
        <v>79.0687616</v>
      </c>
      <c r="L1331" s="4"/>
      <c r="M1331" s="4"/>
      <c r="N1331" s="4"/>
      <c r="O1331" s="4"/>
      <c r="P1331" s="4"/>
      <c r="Q1331" s="4"/>
      <c r="R1331" s="4"/>
      <c r="S1331" s="4"/>
      <c r="T1331" s="4"/>
      <c r="U1331" s="4"/>
      <c r="V1331" s="4"/>
      <c r="W1331" s="4"/>
    </row>
    <row r="1332" ht="15.75" customHeight="1">
      <c r="A1332" s="13">
        <f t="shared" si="9"/>
        <v>1329</v>
      </c>
      <c r="B1332" s="18">
        <f>A1332/'Orbit Info'!$G$10</f>
        <v>14.04662517</v>
      </c>
      <c r="C1332" s="13">
        <f t="shared" si="2"/>
        <v>0</v>
      </c>
      <c r="D1332" s="13">
        <f t="shared" si="3"/>
        <v>0</v>
      </c>
      <c r="E1332" s="13">
        <f t="shared" si="4"/>
        <v>1</v>
      </c>
      <c r="F1332" s="13">
        <f t="shared" si="5"/>
        <v>0</v>
      </c>
      <c r="G1332" s="13">
        <f t="shared" si="6"/>
        <v>1</v>
      </c>
      <c r="H1332" s="13">
        <f>'Orbit Info'!C1331*((C1332*$O$2)+(D1332*$O$3)+(E1332*$O$4)+(F1332*$O$5))</f>
        <v>11.721024</v>
      </c>
      <c r="I1332" s="13">
        <f t="shared" si="7"/>
        <v>17.54526</v>
      </c>
      <c r="J1332" s="18">
        <f t="shared" si="8"/>
        <v>-0.0970706</v>
      </c>
      <c r="K1332" s="18">
        <f t="shared" si="10"/>
        <v>78.971691</v>
      </c>
      <c r="L1332" s="4"/>
      <c r="M1332" s="4"/>
      <c r="N1332" s="4"/>
      <c r="O1332" s="4"/>
      <c r="P1332" s="4"/>
      <c r="Q1332" s="4"/>
      <c r="R1332" s="4"/>
      <c r="S1332" s="4"/>
      <c r="T1332" s="4"/>
      <c r="U1332" s="4"/>
      <c r="V1332" s="4"/>
      <c r="W1332" s="4"/>
    </row>
    <row r="1333" ht="15.75" customHeight="1">
      <c r="A1333" s="13">
        <f t="shared" si="9"/>
        <v>1330</v>
      </c>
      <c r="B1333" s="18">
        <f>A1333/'Orbit Info'!$G$10</f>
        <v>14.05719449</v>
      </c>
      <c r="C1333" s="13">
        <f t="shared" si="2"/>
        <v>0</v>
      </c>
      <c r="D1333" s="13">
        <f t="shared" si="3"/>
        <v>0</v>
      </c>
      <c r="E1333" s="13">
        <f t="shared" si="4"/>
        <v>1</v>
      </c>
      <c r="F1333" s="13">
        <f t="shared" si="5"/>
        <v>0</v>
      </c>
      <c r="G1333" s="13">
        <f t="shared" si="6"/>
        <v>1</v>
      </c>
      <c r="H1333" s="13">
        <f>'Orbit Info'!C1332*((C1333*$O$2)+(D1333*$O$3)+(E1333*$O$4)+(F1333*$O$5))</f>
        <v>11.721024</v>
      </c>
      <c r="I1333" s="13">
        <f t="shared" si="7"/>
        <v>17.54526</v>
      </c>
      <c r="J1333" s="18">
        <f t="shared" si="8"/>
        <v>-0.0970706</v>
      </c>
      <c r="K1333" s="18">
        <f t="shared" si="10"/>
        <v>78.8746204</v>
      </c>
      <c r="L1333" s="4"/>
      <c r="M1333" s="4"/>
      <c r="N1333" s="4"/>
      <c r="O1333" s="4"/>
      <c r="P1333" s="4"/>
      <c r="Q1333" s="4"/>
      <c r="R1333" s="4"/>
      <c r="S1333" s="4"/>
      <c r="T1333" s="4"/>
      <c r="U1333" s="4"/>
      <c r="V1333" s="4"/>
      <c r="W1333" s="4"/>
    </row>
    <row r="1334" ht="15.75" customHeight="1">
      <c r="A1334" s="13">
        <f t="shared" si="9"/>
        <v>1331</v>
      </c>
      <c r="B1334" s="18">
        <f>A1334/'Orbit Info'!$G$10</f>
        <v>14.06776381</v>
      </c>
      <c r="C1334" s="13">
        <f t="shared" si="2"/>
        <v>0</v>
      </c>
      <c r="D1334" s="13">
        <f t="shared" si="3"/>
        <v>0</v>
      </c>
      <c r="E1334" s="13">
        <f t="shared" si="4"/>
        <v>1</v>
      </c>
      <c r="F1334" s="13">
        <f t="shared" si="5"/>
        <v>0</v>
      </c>
      <c r="G1334" s="13">
        <f t="shared" si="6"/>
        <v>1</v>
      </c>
      <c r="H1334" s="13">
        <f>'Orbit Info'!C1333*((C1334*$O$2)+(D1334*$O$3)+(E1334*$O$4)+(F1334*$O$5))</f>
        <v>11.721024</v>
      </c>
      <c r="I1334" s="13">
        <f t="shared" si="7"/>
        <v>17.54526</v>
      </c>
      <c r="J1334" s="18">
        <f t="shared" si="8"/>
        <v>-0.0970706</v>
      </c>
      <c r="K1334" s="18">
        <f t="shared" si="10"/>
        <v>78.7775498</v>
      </c>
      <c r="L1334" s="4"/>
      <c r="M1334" s="4"/>
      <c r="N1334" s="4"/>
      <c r="O1334" s="4"/>
      <c r="P1334" s="4"/>
      <c r="Q1334" s="4"/>
      <c r="R1334" s="4"/>
      <c r="S1334" s="4"/>
      <c r="T1334" s="4"/>
      <c r="U1334" s="4"/>
      <c r="V1334" s="4"/>
      <c r="W1334" s="4"/>
    </row>
    <row r="1335" ht="15.75" customHeight="1">
      <c r="A1335" s="13">
        <f t="shared" si="9"/>
        <v>1332</v>
      </c>
      <c r="B1335" s="18">
        <f>A1335/'Orbit Info'!$G$10</f>
        <v>14.07833313</v>
      </c>
      <c r="C1335" s="13">
        <f t="shared" si="2"/>
        <v>0</v>
      </c>
      <c r="D1335" s="13">
        <f t="shared" si="3"/>
        <v>0</v>
      </c>
      <c r="E1335" s="13">
        <f t="shared" si="4"/>
        <v>1</v>
      </c>
      <c r="F1335" s="13">
        <f t="shared" si="5"/>
        <v>0</v>
      </c>
      <c r="G1335" s="13">
        <f t="shared" si="6"/>
        <v>1</v>
      </c>
      <c r="H1335" s="13">
        <f>'Orbit Info'!C1334*((C1335*$O$2)+(D1335*$O$3)+(E1335*$O$4)+(F1335*$O$5))</f>
        <v>11.721024</v>
      </c>
      <c r="I1335" s="13">
        <f t="shared" si="7"/>
        <v>17.54526</v>
      </c>
      <c r="J1335" s="18">
        <f t="shared" si="8"/>
        <v>-0.0970706</v>
      </c>
      <c r="K1335" s="18">
        <f t="shared" si="10"/>
        <v>78.6804792</v>
      </c>
      <c r="L1335" s="4"/>
      <c r="M1335" s="4"/>
      <c r="N1335" s="4"/>
      <c r="O1335" s="4"/>
      <c r="P1335" s="4"/>
      <c r="Q1335" s="4"/>
      <c r="R1335" s="4"/>
      <c r="S1335" s="4"/>
      <c r="T1335" s="4"/>
      <c r="U1335" s="4"/>
      <c r="V1335" s="4"/>
      <c r="W1335" s="4"/>
    </row>
    <row r="1336" ht="15.75" customHeight="1">
      <c r="A1336" s="13">
        <f t="shared" si="9"/>
        <v>1333</v>
      </c>
      <c r="B1336" s="18">
        <f>A1336/'Orbit Info'!$G$10</f>
        <v>14.08890245</v>
      </c>
      <c r="C1336" s="13">
        <f t="shared" si="2"/>
        <v>0</v>
      </c>
      <c r="D1336" s="13">
        <f t="shared" si="3"/>
        <v>0</v>
      </c>
      <c r="E1336" s="13">
        <f t="shared" si="4"/>
        <v>1</v>
      </c>
      <c r="F1336" s="13">
        <f t="shared" si="5"/>
        <v>0</v>
      </c>
      <c r="G1336" s="13">
        <f t="shared" si="6"/>
        <v>1</v>
      </c>
      <c r="H1336" s="13">
        <f>'Orbit Info'!C1335*((C1336*$O$2)+(D1336*$O$3)+(E1336*$O$4)+(F1336*$O$5))</f>
        <v>11.721024</v>
      </c>
      <c r="I1336" s="13">
        <f t="shared" si="7"/>
        <v>17.54526</v>
      </c>
      <c r="J1336" s="18">
        <f t="shared" si="8"/>
        <v>-0.0970706</v>
      </c>
      <c r="K1336" s="18">
        <f t="shared" si="10"/>
        <v>78.5834086</v>
      </c>
      <c r="L1336" s="4"/>
      <c r="M1336" s="4"/>
      <c r="N1336" s="4"/>
      <c r="O1336" s="4"/>
      <c r="P1336" s="4"/>
      <c r="Q1336" s="4"/>
      <c r="R1336" s="4"/>
      <c r="S1336" s="4"/>
      <c r="T1336" s="4"/>
      <c r="U1336" s="4"/>
      <c r="V1336" s="4"/>
      <c r="W1336" s="4"/>
    </row>
    <row r="1337" ht="15.75" customHeight="1">
      <c r="A1337" s="13">
        <f t="shared" si="9"/>
        <v>1334</v>
      </c>
      <c r="B1337" s="18">
        <f>A1337/'Orbit Info'!$G$10</f>
        <v>14.09947177</v>
      </c>
      <c r="C1337" s="13">
        <f t="shared" si="2"/>
        <v>0</v>
      </c>
      <c r="D1337" s="13">
        <f t="shared" si="3"/>
        <v>0</v>
      </c>
      <c r="E1337" s="13">
        <f t="shared" si="4"/>
        <v>1</v>
      </c>
      <c r="F1337" s="13">
        <f t="shared" si="5"/>
        <v>0</v>
      </c>
      <c r="G1337" s="13">
        <f t="shared" si="6"/>
        <v>1</v>
      </c>
      <c r="H1337" s="13">
        <f>'Orbit Info'!C1336*((C1337*$O$2)+(D1337*$O$3)+(E1337*$O$4)+(F1337*$O$5))</f>
        <v>11.721024</v>
      </c>
      <c r="I1337" s="13">
        <f t="shared" si="7"/>
        <v>17.54526</v>
      </c>
      <c r="J1337" s="18">
        <f t="shared" si="8"/>
        <v>-0.0970706</v>
      </c>
      <c r="K1337" s="18">
        <f t="shared" si="10"/>
        <v>78.486338</v>
      </c>
      <c r="L1337" s="4"/>
      <c r="M1337" s="4"/>
      <c r="N1337" s="4"/>
      <c r="O1337" s="4"/>
      <c r="P1337" s="4"/>
      <c r="Q1337" s="4"/>
      <c r="R1337" s="4"/>
      <c r="S1337" s="4"/>
      <c r="T1337" s="4"/>
      <c r="U1337" s="4"/>
      <c r="V1337" s="4"/>
      <c r="W1337" s="4"/>
    </row>
    <row r="1338" ht="15.75" customHeight="1">
      <c r="A1338" s="13">
        <f t="shared" si="9"/>
        <v>1335</v>
      </c>
      <c r="B1338" s="18">
        <f>A1338/'Orbit Info'!$G$10</f>
        <v>14.11004109</v>
      </c>
      <c r="C1338" s="13">
        <f t="shared" si="2"/>
        <v>0</v>
      </c>
      <c r="D1338" s="13">
        <f t="shared" si="3"/>
        <v>0</v>
      </c>
      <c r="E1338" s="13">
        <f t="shared" si="4"/>
        <v>1</v>
      </c>
      <c r="F1338" s="13">
        <f t="shared" si="5"/>
        <v>0</v>
      </c>
      <c r="G1338" s="13">
        <f t="shared" si="6"/>
        <v>1</v>
      </c>
      <c r="H1338" s="13">
        <f>'Orbit Info'!C1337*((C1338*$O$2)+(D1338*$O$3)+(E1338*$O$4)+(F1338*$O$5))</f>
        <v>11.721024</v>
      </c>
      <c r="I1338" s="13">
        <f t="shared" si="7"/>
        <v>17.54526</v>
      </c>
      <c r="J1338" s="18">
        <f t="shared" si="8"/>
        <v>-0.0970706</v>
      </c>
      <c r="K1338" s="18">
        <f t="shared" si="10"/>
        <v>78.3892674</v>
      </c>
      <c r="L1338" s="4"/>
      <c r="M1338" s="4"/>
      <c r="N1338" s="4"/>
      <c r="O1338" s="4"/>
      <c r="P1338" s="4"/>
      <c r="Q1338" s="4"/>
      <c r="R1338" s="4"/>
      <c r="S1338" s="4"/>
      <c r="T1338" s="4"/>
      <c r="U1338" s="4"/>
      <c r="V1338" s="4"/>
      <c r="W1338" s="4"/>
    </row>
    <row r="1339" ht="15.75" customHeight="1">
      <c r="A1339" s="13">
        <f t="shared" si="9"/>
        <v>1336</v>
      </c>
      <c r="B1339" s="18">
        <f>A1339/'Orbit Info'!$G$10</f>
        <v>14.12061041</v>
      </c>
      <c r="C1339" s="13">
        <f t="shared" si="2"/>
        <v>0</v>
      </c>
      <c r="D1339" s="13">
        <f t="shared" si="3"/>
        <v>0</v>
      </c>
      <c r="E1339" s="13">
        <f t="shared" si="4"/>
        <v>1</v>
      </c>
      <c r="F1339" s="13">
        <f t="shared" si="5"/>
        <v>0</v>
      </c>
      <c r="G1339" s="13">
        <f t="shared" si="6"/>
        <v>1</v>
      </c>
      <c r="H1339" s="13">
        <f>'Orbit Info'!C1338*((C1339*$O$2)+(D1339*$O$3)+(E1339*$O$4)+(F1339*$O$5))</f>
        <v>11.721024</v>
      </c>
      <c r="I1339" s="13">
        <f t="shared" si="7"/>
        <v>17.54526</v>
      </c>
      <c r="J1339" s="18">
        <f t="shared" si="8"/>
        <v>-0.0970706</v>
      </c>
      <c r="K1339" s="18">
        <f t="shared" si="10"/>
        <v>78.2921968</v>
      </c>
      <c r="L1339" s="4"/>
      <c r="M1339" s="4"/>
      <c r="N1339" s="4"/>
      <c r="O1339" s="4"/>
      <c r="P1339" s="4"/>
      <c r="Q1339" s="4"/>
      <c r="R1339" s="4"/>
      <c r="S1339" s="4"/>
      <c r="T1339" s="4"/>
      <c r="U1339" s="4"/>
      <c r="V1339" s="4"/>
      <c r="W1339" s="4"/>
    </row>
    <row r="1340" ht="15.75" customHeight="1">
      <c r="A1340" s="13">
        <f t="shared" si="9"/>
        <v>1337</v>
      </c>
      <c r="B1340" s="18">
        <f>A1340/'Orbit Info'!$G$10</f>
        <v>14.13117972</v>
      </c>
      <c r="C1340" s="13">
        <f t="shared" si="2"/>
        <v>0</v>
      </c>
      <c r="D1340" s="13">
        <f t="shared" si="3"/>
        <v>0</v>
      </c>
      <c r="E1340" s="13">
        <f t="shared" si="4"/>
        <v>1</v>
      </c>
      <c r="F1340" s="13">
        <f t="shared" si="5"/>
        <v>0</v>
      </c>
      <c r="G1340" s="13">
        <f t="shared" si="6"/>
        <v>1</v>
      </c>
      <c r="H1340" s="13">
        <f>'Orbit Info'!C1339*((C1340*$O$2)+(D1340*$O$3)+(E1340*$O$4)+(F1340*$O$5))</f>
        <v>11.721024</v>
      </c>
      <c r="I1340" s="13">
        <f t="shared" si="7"/>
        <v>17.54526</v>
      </c>
      <c r="J1340" s="18">
        <f t="shared" si="8"/>
        <v>-0.0970706</v>
      </c>
      <c r="K1340" s="18">
        <f t="shared" si="10"/>
        <v>78.1951262</v>
      </c>
      <c r="L1340" s="4"/>
      <c r="M1340" s="4"/>
      <c r="N1340" s="4"/>
      <c r="O1340" s="4"/>
      <c r="P1340" s="4"/>
      <c r="Q1340" s="4"/>
      <c r="R1340" s="4"/>
      <c r="S1340" s="4"/>
      <c r="T1340" s="4"/>
      <c r="U1340" s="4"/>
      <c r="V1340" s="4"/>
      <c r="W1340" s="4"/>
    </row>
    <row r="1341" ht="15.75" customHeight="1">
      <c r="A1341" s="13">
        <f t="shared" si="9"/>
        <v>1338</v>
      </c>
      <c r="B1341" s="18">
        <f>A1341/'Orbit Info'!$G$10</f>
        <v>14.14174904</v>
      </c>
      <c r="C1341" s="13">
        <f t="shared" si="2"/>
        <v>0</v>
      </c>
      <c r="D1341" s="13">
        <f t="shared" si="3"/>
        <v>0</v>
      </c>
      <c r="E1341" s="13">
        <f t="shared" si="4"/>
        <v>1</v>
      </c>
      <c r="F1341" s="13">
        <f t="shared" si="5"/>
        <v>0</v>
      </c>
      <c r="G1341" s="13">
        <f t="shared" si="6"/>
        <v>1</v>
      </c>
      <c r="H1341" s="13">
        <f>'Orbit Info'!C1340*((C1341*$O$2)+(D1341*$O$3)+(E1341*$O$4)+(F1341*$O$5))</f>
        <v>11.721024</v>
      </c>
      <c r="I1341" s="13">
        <f t="shared" si="7"/>
        <v>17.54526</v>
      </c>
      <c r="J1341" s="18">
        <f t="shared" si="8"/>
        <v>-0.0970706</v>
      </c>
      <c r="K1341" s="18">
        <f t="shared" si="10"/>
        <v>78.0980556</v>
      </c>
      <c r="L1341" s="4"/>
      <c r="M1341" s="4"/>
      <c r="N1341" s="4"/>
      <c r="O1341" s="4"/>
      <c r="P1341" s="4"/>
      <c r="Q1341" s="4"/>
      <c r="R1341" s="4"/>
      <c r="S1341" s="4"/>
      <c r="T1341" s="4"/>
      <c r="U1341" s="4"/>
      <c r="V1341" s="4"/>
      <c r="W1341" s="4"/>
    </row>
    <row r="1342" ht="15.75" customHeight="1">
      <c r="A1342" s="13">
        <f t="shared" si="9"/>
        <v>1339</v>
      </c>
      <c r="B1342" s="18">
        <f>A1342/'Orbit Info'!$G$10</f>
        <v>14.15231836</v>
      </c>
      <c r="C1342" s="13">
        <f t="shared" si="2"/>
        <v>0</v>
      </c>
      <c r="D1342" s="13">
        <f t="shared" si="3"/>
        <v>0</v>
      </c>
      <c r="E1342" s="13">
        <f t="shared" si="4"/>
        <v>1</v>
      </c>
      <c r="F1342" s="13">
        <f t="shared" si="5"/>
        <v>0</v>
      </c>
      <c r="G1342" s="13">
        <f t="shared" si="6"/>
        <v>1</v>
      </c>
      <c r="H1342" s="13">
        <f>'Orbit Info'!C1341*((C1342*$O$2)+(D1342*$O$3)+(E1342*$O$4)+(F1342*$O$5))</f>
        <v>11.721024</v>
      </c>
      <c r="I1342" s="13">
        <f t="shared" si="7"/>
        <v>17.54526</v>
      </c>
      <c r="J1342" s="18">
        <f t="shared" si="8"/>
        <v>-0.0970706</v>
      </c>
      <c r="K1342" s="18">
        <f t="shared" si="10"/>
        <v>78.000985</v>
      </c>
      <c r="L1342" s="4"/>
      <c r="M1342" s="4"/>
      <c r="N1342" s="4"/>
      <c r="O1342" s="4"/>
      <c r="P1342" s="4"/>
      <c r="Q1342" s="4"/>
      <c r="R1342" s="4"/>
      <c r="S1342" s="4"/>
      <c r="T1342" s="4"/>
      <c r="U1342" s="4"/>
      <c r="V1342" s="4"/>
      <c r="W1342" s="4"/>
    </row>
    <row r="1343" ht="15.75" customHeight="1">
      <c r="A1343" s="13">
        <f t="shared" si="9"/>
        <v>1340</v>
      </c>
      <c r="B1343" s="18">
        <f>A1343/'Orbit Info'!$G$10</f>
        <v>14.16288768</v>
      </c>
      <c r="C1343" s="13">
        <f t="shared" si="2"/>
        <v>0</v>
      </c>
      <c r="D1343" s="13">
        <f t="shared" si="3"/>
        <v>0</v>
      </c>
      <c r="E1343" s="13">
        <f t="shared" si="4"/>
        <v>1</v>
      </c>
      <c r="F1343" s="13">
        <f t="shared" si="5"/>
        <v>0</v>
      </c>
      <c r="G1343" s="13">
        <f t="shared" si="6"/>
        <v>1</v>
      </c>
      <c r="H1343" s="13">
        <f>'Orbit Info'!C1342*((C1343*$O$2)+(D1343*$O$3)+(E1343*$O$4)+(F1343*$O$5))</f>
        <v>11.721024</v>
      </c>
      <c r="I1343" s="13">
        <f t="shared" si="7"/>
        <v>17.54526</v>
      </c>
      <c r="J1343" s="18">
        <f t="shared" si="8"/>
        <v>-0.0970706</v>
      </c>
      <c r="K1343" s="18">
        <f t="shared" si="10"/>
        <v>77.9039144</v>
      </c>
      <c r="L1343" s="4"/>
      <c r="M1343" s="4"/>
      <c r="N1343" s="4"/>
      <c r="O1343" s="4"/>
      <c r="P1343" s="4"/>
      <c r="Q1343" s="4"/>
      <c r="R1343" s="4"/>
      <c r="S1343" s="4"/>
      <c r="T1343" s="4"/>
      <c r="U1343" s="4"/>
      <c r="V1343" s="4"/>
      <c r="W1343" s="4"/>
    </row>
    <row r="1344" ht="15.75" customHeight="1">
      <c r="A1344" s="13">
        <f t="shared" si="9"/>
        <v>1341</v>
      </c>
      <c r="B1344" s="18">
        <f>A1344/'Orbit Info'!$G$10</f>
        <v>14.173457</v>
      </c>
      <c r="C1344" s="13">
        <f t="shared" si="2"/>
        <v>0</v>
      </c>
      <c r="D1344" s="13">
        <f t="shared" si="3"/>
        <v>0</v>
      </c>
      <c r="E1344" s="13">
        <f t="shared" si="4"/>
        <v>1</v>
      </c>
      <c r="F1344" s="13">
        <f t="shared" si="5"/>
        <v>0</v>
      </c>
      <c r="G1344" s="13">
        <f t="shared" si="6"/>
        <v>1</v>
      </c>
      <c r="H1344" s="13">
        <f>'Orbit Info'!C1343*((C1344*$O$2)+(D1344*$O$3)+(E1344*$O$4)+(F1344*$O$5))</f>
        <v>11.721024</v>
      </c>
      <c r="I1344" s="13">
        <f t="shared" si="7"/>
        <v>17.54526</v>
      </c>
      <c r="J1344" s="18">
        <f t="shared" si="8"/>
        <v>-0.0970706</v>
      </c>
      <c r="K1344" s="18">
        <f t="shared" si="10"/>
        <v>77.8068438</v>
      </c>
      <c r="L1344" s="4"/>
      <c r="M1344" s="4"/>
      <c r="N1344" s="4"/>
      <c r="O1344" s="4"/>
      <c r="P1344" s="4"/>
      <c r="Q1344" s="4"/>
      <c r="R1344" s="4"/>
      <c r="S1344" s="4"/>
      <c r="T1344" s="4"/>
      <c r="U1344" s="4"/>
      <c r="V1344" s="4"/>
      <c r="W1344" s="4"/>
    </row>
    <row r="1345" ht="15.75" customHeight="1">
      <c r="A1345" s="13">
        <f t="shared" si="9"/>
        <v>1342</v>
      </c>
      <c r="B1345" s="18">
        <f>A1345/'Orbit Info'!$G$10</f>
        <v>14.18402632</v>
      </c>
      <c r="C1345" s="13">
        <f t="shared" si="2"/>
        <v>0</v>
      </c>
      <c r="D1345" s="13">
        <f t="shared" si="3"/>
        <v>0</v>
      </c>
      <c r="E1345" s="13">
        <f t="shared" si="4"/>
        <v>1</v>
      </c>
      <c r="F1345" s="13">
        <f t="shared" si="5"/>
        <v>0</v>
      </c>
      <c r="G1345" s="13">
        <f t="shared" si="6"/>
        <v>1</v>
      </c>
      <c r="H1345" s="13">
        <f>'Orbit Info'!C1344*((C1345*$O$2)+(D1345*$O$3)+(E1345*$O$4)+(F1345*$O$5))</f>
        <v>11.721024</v>
      </c>
      <c r="I1345" s="13">
        <f t="shared" si="7"/>
        <v>17.54526</v>
      </c>
      <c r="J1345" s="18">
        <f t="shared" si="8"/>
        <v>-0.0970706</v>
      </c>
      <c r="K1345" s="18">
        <f t="shared" si="10"/>
        <v>77.7097732</v>
      </c>
      <c r="L1345" s="4"/>
      <c r="M1345" s="4"/>
      <c r="N1345" s="4"/>
      <c r="O1345" s="4"/>
      <c r="P1345" s="4"/>
      <c r="Q1345" s="4"/>
      <c r="R1345" s="4"/>
      <c r="S1345" s="4"/>
      <c r="T1345" s="4"/>
      <c r="U1345" s="4"/>
      <c r="V1345" s="4"/>
      <c r="W1345" s="4"/>
    </row>
    <row r="1346" ht="15.75" customHeight="1">
      <c r="A1346" s="13">
        <f t="shared" si="9"/>
        <v>1343</v>
      </c>
      <c r="B1346" s="18">
        <f>A1346/'Orbit Info'!$G$10</f>
        <v>14.19459564</v>
      </c>
      <c r="C1346" s="13">
        <f t="shared" si="2"/>
        <v>0</v>
      </c>
      <c r="D1346" s="13">
        <f t="shared" si="3"/>
        <v>0</v>
      </c>
      <c r="E1346" s="13">
        <f t="shared" si="4"/>
        <v>1</v>
      </c>
      <c r="F1346" s="13">
        <f t="shared" si="5"/>
        <v>0</v>
      </c>
      <c r="G1346" s="13">
        <f t="shared" si="6"/>
        <v>1</v>
      </c>
      <c r="H1346" s="13">
        <f>'Orbit Info'!C1345*((C1346*$O$2)+(D1346*$O$3)+(E1346*$O$4)+(F1346*$O$5))</f>
        <v>11.721024</v>
      </c>
      <c r="I1346" s="13">
        <f t="shared" si="7"/>
        <v>17.54526</v>
      </c>
      <c r="J1346" s="18">
        <f t="shared" si="8"/>
        <v>-0.0970706</v>
      </c>
      <c r="K1346" s="18">
        <f t="shared" si="10"/>
        <v>77.6127026</v>
      </c>
      <c r="L1346" s="4"/>
      <c r="M1346" s="4"/>
      <c r="N1346" s="4"/>
      <c r="O1346" s="4"/>
      <c r="P1346" s="4"/>
      <c r="Q1346" s="4"/>
      <c r="R1346" s="4"/>
      <c r="S1346" s="4"/>
      <c r="T1346" s="4"/>
      <c r="U1346" s="4"/>
      <c r="V1346" s="4"/>
      <c r="W1346" s="4"/>
    </row>
    <row r="1347" ht="15.75" customHeight="1">
      <c r="A1347" s="13">
        <f t="shared" si="9"/>
        <v>1344</v>
      </c>
      <c r="B1347" s="18">
        <f>A1347/'Orbit Info'!$G$10</f>
        <v>14.20516496</v>
      </c>
      <c r="C1347" s="13">
        <f t="shared" si="2"/>
        <v>0</v>
      </c>
      <c r="D1347" s="13">
        <f t="shared" si="3"/>
        <v>0</v>
      </c>
      <c r="E1347" s="13">
        <f t="shared" si="4"/>
        <v>1</v>
      </c>
      <c r="F1347" s="13">
        <f t="shared" si="5"/>
        <v>0</v>
      </c>
      <c r="G1347" s="13">
        <f t="shared" si="6"/>
        <v>1</v>
      </c>
      <c r="H1347" s="13">
        <f>'Orbit Info'!C1346*((C1347*$O$2)+(D1347*$O$3)+(E1347*$O$4)+(F1347*$O$5))</f>
        <v>11.721024</v>
      </c>
      <c r="I1347" s="13">
        <f t="shared" si="7"/>
        <v>17.54526</v>
      </c>
      <c r="J1347" s="18">
        <f t="shared" si="8"/>
        <v>-0.0970706</v>
      </c>
      <c r="K1347" s="18">
        <f t="shared" si="10"/>
        <v>77.515632</v>
      </c>
      <c r="L1347" s="4"/>
      <c r="M1347" s="4"/>
      <c r="N1347" s="4"/>
      <c r="O1347" s="4"/>
      <c r="P1347" s="4"/>
      <c r="Q1347" s="4"/>
      <c r="R1347" s="4"/>
      <c r="S1347" s="4"/>
      <c r="T1347" s="4"/>
      <c r="U1347" s="4"/>
      <c r="V1347" s="4"/>
      <c r="W1347" s="4"/>
    </row>
    <row r="1348" ht="15.75" customHeight="1">
      <c r="A1348" s="13">
        <f t="shared" si="9"/>
        <v>1345</v>
      </c>
      <c r="B1348" s="18">
        <f>A1348/'Orbit Info'!$G$10</f>
        <v>14.21573428</v>
      </c>
      <c r="C1348" s="13">
        <f t="shared" si="2"/>
        <v>0</v>
      </c>
      <c r="D1348" s="13">
        <f t="shared" si="3"/>
        <v>0</v>
      </c>
      <c r="E1348" s="13">
        <f t="shared" si="4"/>
        <v>1</v>
      </c>
      <c r="F1348" s="13">
        <f t="shared" si="5"/>
        <v>0</v>
      </c>
      <c r="G1348" s="13">
        <f t="shared" si="6"/>
        <v>1</v>
      </c>
      <c r="H1348" s="13">
        <f>'Orbit Info'!C1347*((C1348*$O$2)+(D1348*$O$3)+(E1348*$O$4)+(F1348*$O$5))</f>
        <v>11.721024</v>
      </c>
      <c r="I1348" s="13">
        <f t="shared" si="7"/>
        <v>17.54526</v>
      </c>
      <c r="J1348" s="18">
        <f t="shared" si="8"/>
        <v>-0.0970706</v>
      </c>
      <c r="K1348" s="18">
        <f t="shared" si="10"/>
        <v>77.4185614</v>
      </c>
      <c r="L1348" s="4"/>
      <c r="M1348" s="4"/>
      <c r="N1348" s="4"/>
      <c r="O1348" s="4"/>
      <c r="P1348" s="4"/>
      <c r="Q1348" s="4"/>
      <c r="R1348" s="4"/>
      <c r="S1348" s="4"/>
      <c r="T1348" s="4"/>
      <c r="U1348" s="4"/>
      <c r="V1348" s="4"/>
      <c r="W1348" s="4"/>
    </row>
    <row r="1349" ht="15.75" customHeight="1">
      <c r="A1349" s="13">
        <f t="shared" si="9"/>
        <v>1346</v>
      </c>
      <c r="B1349" s="18">
        <f>A1349/'Orbit Info'!$G$10</f>
        <v>14.2263036</v>
      </c>
      <c r="C1349" s="13">
        <f t="shared" si="2"/>
        <v>0</v>
      </c>
      <c r="D1349" s="13">
        <f t="shared" si="3"/>
        <v>0</v>
      </c>
      <c r="E1349" s="13">
        <f t="shared" si="4"/>
        <v>1</v>
      </c>
      <c r="F1349" s="13">
        <f t="shared" si="5"/>
        <v>0</v>
      </c>
      <c r="G1349" s="13">
        <f t="shared" si="6"/>
        <v>1</v>
      </c>
      <c r="H1349" s="13">
        <f>'Orbit Info'!C1348*((C1349*$O$2)+(D1349*$O$3)+(E1349*$O$4)+(F1349*$O$5))</f>
        <v>11.721024</v>
      </c>
      <c r="I1349" s="13">
        <f t="shared" si="7"/>
        <v>17.54526</v>
      </c>
      <c r="J1349" s="18">
        <f t="shared" si="8"/>
        <v>-0.0970706</v>
      </c>
      <c r="K1349" s="18">
        <f t="shared" si="10"/>
        <v>77.3214908</v>
      </c>
      <c r="L1349" s="4"/>
      <c r="M1349" s="4"/>
      <c r="N1349" s="4"/>
      <c r="O1349" s="4"/>
      <c r="P1349" s="4"/>
      <c r="Q1349" s="4"/>
      <c r="R1349" s="4"/>
      <c r="S1349" s="4"/>
      <c r="T1349" s="4"/>
      <c r="U1349" s="4"/>
      <c r="V1349" s="4"/>
      <c r="W1349" s="4"/>
    </row>
    <row r="1350" ht="15.75" customHeight="1">
      <c r="A1350" s="13">
        <f t="shared" si="9"/>
        <v>1347</v>
      </c>
      <c r="B1350" s="18">
        <f>A1350/'Orbit Info'!$G$10</f>
        <v>14.23687292</v>
      </c>
      <c r="C1350" s="13">
        <f t="shared" si="2"/>
        <v>0</v>
      </c>
      <c r="D1350" s="13">
        <f t="shared" si="3"/>
        <v>0</v>
      </c>
      <c r="E1350" s="13">
        <f t="shared" si="4"/>
        <v>1</v>
      </c>
      <c r="F1350" s="13">
        <f t="shared" si="5"/>
        <v>0</v>
      </c>
      <c r="G1350" s="13">
        <f t="shared" si="6"/>
        <v>1</v>
      </c>
      <c r="H1350" s="13">
        <f>'Orbit Info'!C1349*((C1350*$O$2)+(D1350*$O$3)+(E1350*$O$4)+(F1350*$O$5))</f>
        <v>11.721024</v>
      </c>
      <c r="I1350" s="13">
        <f t="shared" si="7"/>
        <v>17.54526</v>
      </c>
      <c r="J1350" s="18">
        <f t="shared" si="8"/>
        <v>-0.0970706</v>
      </c>
      <c r="K1350" s="18">
        <f t="shared" si="10"/>
        <v>77.2244202</v>
      </c>
      <c r="L1350" s="4"/>
      <c r="M1350" s="4"/>
      <c r="N1350" s="4"/>
      <c r="O1350" s="4"/>
      <c r="P1350" s="4"/>
      <c r="Q1350" s="4"/>
      <c r="R1350" s="4"/>
      <c r="S1350" s="4"/>
      <c r="T1350" s="4"/>
      <c r="U1350" s="4"/>
      <c r="V1350" s="4"/>
      <c r="W1350" s="4"/>
    </row>
    <row r="1351" ht="15.75" customHeight="1">
      <c r="A1351" s="13">
        <f t="shared" si="9"/>
        <v>1348</v>
      </c>
      <c r="B1351" s="18">
        <f>A1351/'Orbit Info'!$G$10</f>
        <v>14.24744224</v>
      </c>
      <c r="C1351" s="13">
        <f t="shared" si="2"/>
        <v>0</v>
      </c>
      <c r="D1351" s="13">
        <f t="shared" si="3"/>
        <v>0</v>
      </c>
      <c r="E1351" s="13">
        <f t="shared" si="4"/>
        <v>1</v>
      </c>
      <c r="F1351" s="13">
        <f t="shared" si="5"/>
        <v>0</v>
      </c>
      <c r="G1351" s="13">
        <f t="shared" si="6"/>
        <v>1</v>
      </c>
      <c r="H1351" s="13">
        <f>'Orbit Info'!C1350*((C1351*$O$2)+(D1351*$O$3)+(E1351*$O$4)+(F1351*$O$5))</f>
        <v>11.721024</v>
      </c>
      <c r="I1351" s="13">
        <f t="shared" si="7"/>
        <v>17.54526</v>
      </c>
      <c r="J1351" s="18">
        <f t="shared" si="8"/>
        <v>-0.0970706</v>
      </c>
      <c r="K1351" s="18">
        <f t="shared" si="10"/>
        <v>77.1273496</v>
      </c>
      <c r="L1351" s="4"/>
      <c r="M1351" s="4"/>
      <c r="N1351" s="4"/>
      <c r="O1351" s="4"/>
      <c r="P1351" s="4"/>
      <c r="Q1351" s="4"/>
      <c r="R1351" s="4"/>
      <c r="S1351" s="4"/>
      <c r="T1351" s="4"/>
      <c r="U1351" s="4"/>
      <c r="V1351" s="4"/>
      <c r="W1351" s="4"/>
    </row>
    <row r="1352" ht="15.75" customHeight="1">
      <c r="A1352" s="13">
        <f t="shared" si="9"/>
        <v>1349</v>
      </c>
      <c r="B1352" s="18">
        <f>A1352/'Orbit Info'!$G$10</f>
        <v>14.25801155</v>
      </c>
      <c r="C1352" s="13">
        <f t="shared" si="2"/>
        <v>0</v>
      </c>
      <c r="D1352" s="13">
        <f t="shared" si="3"/>
        <v>0</v>
      </c>
      <c r="E1352" s="13">
        <f t="shared" si="4"/>
        <v>1</v>
      </c>
      <c r="F1352" s="13">
        <f t="shared" si="5"/>
        <v>0</v>
      </c>
      <c r="G1352" s="13">
        <f t="shared" si="6"/>
        <v>1</v>
      </c>
      <c r="H1352" s="13">
        <f>'Orbit Info'!C1351*((C1352*$O$2)+(D1352*$O$3)+(E1352*$O$4)+(F1352*$O$5))</f>
        <v>11.721024</v>
      </c>
      <c r="I1352" s="13">
        <f t="shared" si="7"/>
        <v>17.54526</v>
      </c>
      <c r="J1352" s="18">
        <f t="shared" si="8"/>
        <v>-0.0970706</v>
      </c>
      <c r="K1352" s="18">
        <f t="shared" si="10"/>
        <v>77.030279</v>
      </c>
      <c r="L1352" s="4"/>
      <c r="M1352" s="4"/>
      <c r="N1352" s="4"/>
      <c r="O1352" s="4"/>
      <c r="P1352" s="4"/>
      <c r="Q1352" s="4"/>
      <c r="R1352" s="4"/>
      <c r="S1352" s="4"/>
      <c r="T1352" s="4"/>
      <c r="U1352" s="4"/>
      <c r="V1352" s="4"/>
      <c r="W1352" s="4"/>
    </row>
    <row r="1353" ht="15.75" customHeight="1">
      <c r="A1353" s="13">
        <f t="shared" si="9"/>
        <v>1350</v>
      </c>
      <c r="B1353" s="18">
        <f>A1353/'Orbit Info'!$G$10</f>
        <v>14.26858087</v>
      </c>
      <c r="C1353" s="13">
        <f t="shared" si="2"/>
        <v>0</v>
      </c>
      <c r="D1353" s="13">
        <f t="shared" si="3"/>
        <v>0</v>
      </c>
      <c r="E1353" s="13">
        <f t="shared" si="4"/>
        <v>1</v>
      </c>
      <c r="F1353" s="13">
        <f t="shared" si="5"/>
        <v>0</v>
      </c>
      <c r="G1353" s="13">
        <f t="shared" si="6"/>
        <v>1</v>
      </c>
      <c r="H1353" s="13">
        <f>'Orbit Info'!C1352*((C1353*$O$2)+(D1353*$O$3)+(E1353*$O$4)+(F1353*$O$5))</f>
        <v>11.721024</v>
      </c>
      <c r="I1353" s="13">
        <f t="shared" si="7"/>
        <v>17.54526</v>
      </c>
      <c r="J1353" s="18">
        <f t="shared" si="8"/>
        <v>-0.0970706</v>
      </c>
      <c r="K1353" s="18">
        <f t="shared" si="10"/>
        <v>76.9332084</v>
      </c>
      <c r="L1353" s="4"/>
      <c r="M1353" s="4"/>
      <c r="N1353" s="4"/>
      <c r="O1353" s="4"/>
      <c r="P1353" s="4"/>
      <c r="Q1353" s="4"/>
      <c r="R1353" s="4"/>
      <c r="S1353" s="4"/>
      <c r="T1353" s="4"/>
      <c r="U1353" s="4"/>
      <c r="V1353" s="4"/>
      <c r="W1353" s="4"/>
    </row>
    <row r="1354" ht="15.75" customHeight="1">
      <c r="A1354" s="13">
        <f t="shared" si="9"/>
        <v>1351</v>
      </c>
      <c r="B1354" s="18">
        <f>A1354/'Orbit Info'!$G$10</f>
        <v>14.27915019</v>
      </c>
      <c r="C1354" s="13">
        <f t="shared" si="2"/>
        <v>0</v>
      </c>
      <c r="D1354" s="13">
        <f t="shared" si="3"/>
        <v>0</v>
      </c>
      <c r="E1354" s="13">
        <f t="shared" si="4"/>
        <v>1</v>
      </c>
      <c r="F1354" s="13">
        <f t="shared" si="5"/>
        <v>0</v>
      </c>
      <c r="G1354" s="13">
        <f t="shared" si="6"/>
        <v>1</v>
      </c>
      <c r="H1354" s="13">
        <f>'Orbit Info'!C1353*((C1354*$O$2)+(D1354*$O$3)+(E1354*$O$4)+(F1354*$O$5))</f>
        <v>11.721024</v>
      </c>
      <c r="I1354" s="13">
        <f t="shared" si="7"/>
        <v>17.54526</v>
      </c>
      <c r="J1354" s="18">
        <f t="shared" si="8"/>
        <v>-0.0970706</v>
      </c>
      <c r="K1354" s="18">
        <f t="shared" si="10"/>
        <v>76.8361378</v>
      </c>
      <c r="L1354" s="4"/>
      <c r="M1354" s="4"/>
      <c r="N1354" s="4"/>
      <c r="O1354" s="4"/>
      <c r="P1354" s="4"/>
      <c r="Q1354" s="4"/>
      <c r="R1354" s="4"/>
      <c r="S1354" s="4"/>
      <c r="T1354" s="4"/>
      <c r="U1354" s="4"/>
      <c r="V1354" s="4"/>
      <c r="W1354" s="4"/>
    </row>
    <row r="1355" ht="15.75" customHeight="1">
      <c r="A1355" s="13">
        <f t="shared" si="9"/>
        <v>1352</v>
      </c>
      <c r="B1355" s="18">
        <f>A1355/'Orbit Info'!$G$10</f>
        <v>14.28971951</v>
      </c>
      <c r="C1355" s="13">
        <f t="shared" si="2"/>
        <v>0</v>
      </c>
      <c r="D1355" s="13">
        <f t="shared" si="3"/>
        <v>0</v>
      </c>
      <c r="E1355" s="13">
        <f t="shared" si="4"/>
        <v>1</v>
      </c>
      <c r="F1355" s="13">
        <f t="shared" si="5"/>
        <v>0</v>
      </c>
      <c r="G1355" s="13">
        <f t="shared" si="6"/>
        <v>1</v>
      </c>
      <c r="H1355" s="13">
        <f>'Orbit Info'!C1354*((C1355*$O$2)+(D1355*$O$3)+(E1355*$O$4)+(F1355*$O$5))</f>
        <v>11.721024</v>
      </c>
      <c r="I1355" s="13">
        <f t="shared" si="7"/>
        <v>17.54526</v>
      </c>
      <c r="J1355" s="18">
        <f t="shared" si="8"/>
        <v>-0.0970706</v>
      </c>
      <c r="K1355" s="18">
        <f t="shared" si="10"/>
        <v>76.7390672</v>
      </c>
      <c r="L1355" s="4"/>
      <c r="M1355" s="4"/>
      <c r="N1355" s="4"/>
      <c r="O1355" s="4"/>
      <c r="P1355" s="4"/>
      <c r="Q1355" s="4"/>
      <c r="R1355" s="4"/>
      <c r="S1355" s="4"/>
      <c r="T1355" s="4"/>
      <c r="U1355" s="4"/>
      <c r="V1355" s="4"/>
      <c r="W1355" s="4"/>
    </row>
    <row r="1356" ht="15.75" customHeight="1">
      <c r="A1356" s="13">
        <f t="shared" si="9"/>
        <v>1353</v>
      </c>
      <c r="B1356" s="18">
        <f>A1356/'Orbit Info'!$G$10</f>
        <v>14.30028883</v>
      </c>
      <c r="C1356" s="13">
        <f t="shared" si="2"/>
        <v>0</v>
      </c>
      <c r="D1356" s="13">
        <f t="shared" si="3"/>
        <v>0</v>
      </c>
      <c r="E1356" s="13">
        <f t="shared" si="4"/>
        <v>1</v>
      </c>
      <c r="F1356" s="13">
        <f t="shared" si="5"/>
        <v>0</v>
      </c>
      <c r="G1356" s="13">
        <f t="shared" si="6"/>
        <v>1</v>
      </c>
      <c r="H1356" s="13">
        <f>'Orbit Info'!C1355*((C1356*$O$2)+(D1356*$O$3)+(E1356*$O$4)+(F1356*$O$5))</f>
        <v>11.721024</v>
      </c>
      <c r="I1356" s="13">
        <f t="shared" si="7"/>
        <v>17.54526</v>
      </c>
      <c r="J1356" s="18">
        <f t="shared" si="8"/>
        <v>-0.0970706</v>
      </c>
      <c r="K1356" s="18">
        <f t="shared" si="10"/>
        <v>76.6419966</v>
      </c>
      <c r="L1356" s="4"/>
      <c r="M1356" s="4"/>
      <c r="N1356" s="4"/>
      <c r="O1356" s="4"/>
      <c r="P1356" s="4"/>
      <c r="Q1356" s="4"/>
      <c r="R1356" s="4"/>
      <c r="S1356" s="4"/>
      <c r="T1356" s="4"/>
      <c r="U1356" s="4"/>
      <c r="V1356" s="4"/>
      <c r="W1356" s="4"/>
    </row>
    <row r="1357" ht="15.75" customHeight="1">
      <c r="A1357" s="13">
        <f t="shared" si="9"/>
        <v>1354</v>
      </c>
      <c r="B1357" s="18">
        <f>A1357/'Orbit Info'!$G$10</f>
        <v>14.31085815</v>
      </c>
      <c r="C1357" s="13">
        <f t="shared" si="2"/>
        <v>0</v>
      </c>
      <c r="D1357" s="13">
        <f t="shared" si="3"/>
        <v>0</v>
      </c>
      <c r="E1357" s="13">
        <f t="shared" si="4"/>
        <v>1</v>
      </c>
      <c r="F1357" s="13">
        <f t="shared" si="5"/>
        <v>0</v>
      </c>
      <c r="G1357" s="13">
        <f t="shared" si="6"/>
        <v>1</v>
      </c>
      <c r="H1357" s="13">
        <f>'Orbit Info'!C1356*((C1357*$O$2)+(D1357*$O$3)+(E1357*$O$4)+(F1357*$O$5))</f>
        <v>11.721024</v>
      </c>
      <c r="I1357" s="13">
        <f t="shared" si="7"/>
        <v>17.54526</v>
      </c>
      <c r="J1357" s="18">
        <f t="shared" si="8"/>
        <v>-0.0970706</v>
      </c>
      <c r="K1357" s="18">
        <f t="shared" si="10"/>
        <v>76.544926</v>
      </c>
      <c r="L1357" s="4"/>
      <c r="M1357" s="4"/>
      <c r="N1357" s="4"/>
      <c r="O1357" s="4"/>
      <c r="P1357" s="4"/>
      <c r="Q1357" s="4"/>
      <c r="R1357" s="4"/>
      <c r="S1357" s="4"/>
      <c r="T1357" s="4"/>
      <c r="U1357" s="4"/>
      <c r="V1357" s="4"/>
      <c r="W1357" s="4"/>
    </row>
    <row r="1358" ht="15.75" customHeight="1">
      <c r="A1358" s="13">
        <f t="shared" si="9"/>
        <v>1355</v>
      </c>
      <c r="B1358" s="18">
        <f>A1358/'Orbit Info'!$G$10</f>
        <v>14.32142747</v>
      </c>
      <c r="C1358" s="13">
        <f t="shared" si="2"/>
        <v>0</v>
      </c>
      <c r="D1358" s="13">
        <f t="shared" si="3"/>
        <v>0</v>
      </c>
      <c r="E1358" s="13">
        <f t="shared" si="4"/>
        <v>1</v>
      </c>
      <c r="F1358" s="13">
        <f t="shared" si="5"/>
        <v>0</v>
      </c>
      <c r="G1358" s="13">
        <f t="shared" si="6"/>
        <v>1</v>
      </c>
      <c r="H1358" s="13">
        <f>'Orbit Info'!C1357*((C1358*$O$2)+(D1358*$O$3)+(E1358*$O$4)+(F1358*$O$5))</f>
        <v>11.721024</v>
      </c>
      <c r="I1358" s="13">
        <f t="shared" si="7"/>
        <v>17.54526</v>
      </c>
      <c r="J1358" s="18">
        <f t="shared" si="8"/>
        <v>-0.0970706</v>
      </c>
      <c r="K1358" s="18">
        <f t="shared" si="10"/>
        <v>76.4478554</v>
      </c>
      <c r="L1358" s="4"/>
      <c r="M1358" s="4"/>
      <c r="N1358" s="4"/>
      <c r="O1358" s="4"/>
      <c r="P1358" s="4"/>
      <c r="Q1358" s="4"/>
      <c r="R1358" s="4"/>
      <c r="S1358" s="4"/>
      <c r="T1358" s="4"/>
      <c r="U1358" s="4"/>
      <c r="V1358" s="4"/>
      <c r="W1358" s="4"/>
    </row>
    <row r="1359" ht="15.75" customHeight="1">
      <c r="A1359" s="13">
        <f t="shared" si="9"/>
        <v>1356</v>
      </c>
      <c r="B1359" s="18">
        <f>A1359/'Orbit Info'!$G$10</f>
        <v>14.33199679</v>
      </c>
      <c r="C1359" s="13">
        <f t="shared" si="2"/>
        <v>0</v>
      </c>
      <c r="D1359" s="13">
        <f t="shared" si="3"/>
        <v>0</v>
      </c>
      <c r="E1359" s="13">
        <f t="shared" si="4"/>
        <v>1</v>
      </c>
      <c r="F1359" s="13">
        <f t="shared" si="5"/>
        <v>0</v>
      </c>
      <c r="G1359" s="13">
        <f t="shared" si="6"/>
        <v>1</v>
      </c>
      <c r="H1359" s="13">
        <f>'Orbit Info'!C1358*((C1359*$O$2)+(D1359*$O$3)+(E1359*$O$4)+(F1359*$O$5))</f>
        <v>11.721024</v>
      </c>
      <c r="I1359" s="13">
        <f t="shared" si="7"/>
        <v>17.54526</v>
      </c>
      <c r="J1359" s="18">
        <f t="shared" si="8"/>
        <v>-0.0970706</v>
      </c>
      <c r="K1359" s="18">
        <f t="shared" si="10"/>
        <v>76.3507848</v>
      </c>
      <c r="L1359" s="4"/>
      <c r="M1359" s="4"/>
      <c r="N1359" s="4"/>
      <c r="O1359" s="4"/>
      <c r="P1359" s="4"/>
      <c r="Q1359" s="4"/>
      <c r="R1359" s="4"/>
      <c r="S1359" s="4"/>
      <c r="T1359" s="4"/>
      <c r="U1359" s="4"/>
      <c r="V1359" s="4"/>
      <c r="W1359" s="4"/>
    </row>
    <row r="1360" ht="15.75" customHeight="1">
      <c r="A1360" s="13">
        <f t="shared" si="9"/>
        <v>1357</v>
      </c>
      <c r="B1360" s="18">
        <f>A1360/'Orbit Info'!$G$10</f>
        <v>14.34256611</v>
      </c>
      <c r="C1360" s="13">
        <f t="shared" si="2"/>
        <v>0</v>
      </c>
      <c r="D1360" s="13">
        <f t="shared" si="3"/>
        <v>0</v>
      </c>
      <c r="E1360" s="13">
        <f t="shared" si="4"/>
        <v>1</v>
      </c>
      <c r="F1360" s="13">
        <f t="shared" si="5"/>
        <v>0</v>
      </c>
      <c r="G1360" s="13">
        <f t="shared" si="6"/>
        <v>1</v>
      </c>
      <c r="H1360" s="13">
        <f>'Orbit Info'!C1359*((C1360*$O$2)+(D1360*$O$3)+(E1360*$O$4)+(F1360*$O$5))</f>
        <v>11.721024</v>
      </c>
      <c r="I1360" s="13">
        <f t="shared" si="7"/>
        <v>17.54526</v>
      </c>
      <c r="J1360" s="18">
        <f t="shared" si="8"/>
        <v>-0.0970706</v>
      </c>
      <c r="K1360" s="18">
        <f t="shared" si="10"/>
        <v>76.2537142</v>
      </c>
      <c r="L1360" s="4"/>
      <c r="M1360" s="4"/>
      <c r="N1360" s="4"/>
      <c r="O1360" s="4"/>
      <c r="P1360" s="4"/>
      <c r="Q1360" s="4"/>
      <c r="R1360" s="4"/>
      <c r="S1360" s="4"/>
      <c r="T1360" s="4"/>
      <c r="U1360" s="4"/>
      <c r="V1360" s="4"/>
      <c r="W1360" s="4"/>
    </row>
    <row r="1361" ht="15.75" customHeight="1">
      <c r="A1361" s="13">
        <f t="shared" si="9"/>
        <v>1358</v>
      </c>
      <c r="B1361" s="18">
        <f>A1361/'Orbit Info'!$G$10</f>
        <v>14.35313543</v>
      </c>
      <c r="C1361" s="13">
        <f t="shared" si="2"/>
        <v>0</v>
      </c>
      <c r="D1361" s="13">
        <f t="shared" si="3"/>
        <v>0</v>
      </c>
      <c r="E1361" s="13">
        <f t="shared" si="4"/>
        <v>1</v>
      </c>
      <c r="F1361" s="13">
        <f t="shared" si="5"/>
        <v>0</v>
      </c>
      <c r="G1361" s="13">
        <f t="shared" si="6"/>
        <v>1</v>
      </c>
      <c r="H1361" s="13">
        <f>'Orbit Info'!C1360*((C1361*$O$2)+(D1361*$O$3)+(E1361*$O$4)+(F1361*$O$5))</f>
        <v>11.721024</v>
      </c>
      <c r="I1361" s="13">
        <f t="shared" si="7"/>
        <v>17.54526</v>
      </c>
      <c r="J1361" s="18">
        <f t="shared" si="8"/>
        <v>-0.0970706</v>
      </c>
      <c r="K1361" s="18">
        <f t="shared" si="10"/>
        <v>76.1566436</v>
      </c>
      <c r="L1361" s="4"/>
      <c r="M1361" s="4"/>
      <c r="N1361" s="4"/>
      <c r="O1361" s="4"/>
      <c r="P1361" s="4"/>
      <c r="Q1361" s="4"/>
      <c r="R1361" s="4"/>
      <c r="S1361" s="4"/>
      <c r="T1361" s="4"/>
      <c r="U1361" s="4"/>
      <c r="V1361" s="4"/>
      <c r="W1361" s="4"/>
    </row>
    <row r="1362" ht="15.75" customHeight="1">
      <c r="A1362" s="13">
        <f t="shared" si="9"/>
        <v>1359</v>
      </c>
      <c r="B1362" s="18">
        <f>A1362/'Orbit Info'!$G$10</f>
        <v>14.36370475</v>
      </c>
      <c r="C1362" s="13">
        <f t="shared" si="2"/>
        <v>0</v>
      </c>
      <c r="D1362" s="13">
        <f t="shared" si="3"/>
        <v>0</v>
      </c>
      <c r="E1362" s="13">
        <f t="shared" si="4"/>
        <v>1</v>
      </c>
      <c r="F1362" s="13">
        <f t="shared" si="5"/>
        <v>0</v>
      </c>
      <c r="G1362" s="13">
        <f t="shared" si="6"/>
        <v>1</v>
      </c>
      <c r="H1362" s="13">
        <f>'Orbit Info'!C1361*((C1362*$O$2)+(D1362*$O$3)+(E1362*$O$4)+(F1362*$O$5))</f>
        <v>11.721024</v>
      </c>
      <c r="I1362" s="13">
        <f t="shared" si="7"/>
        <v>17.54526</v>
      </c>
      <c r="J1362" s="18">
        <f t="shared" si="8"/>
        <v>-0.0970706</v>
      </c>
      <c r="K1362" s="18">
        <f t="shared" si="10"/>
        <v>76.059573</v>
      </c>
      <c r="L1362" s="4"/>
      <c r="M1362" s="4"/>
      <c r="N1362" s="4"/>
      <c r="O1362" s="4"/>
      <c r="P1362" s="4"/>
      <c r="Q1362" s="4"/>
      <c r="R1362" s="4"/>
      <c r="S1362" s="4"/>
      <c r="T1362" s="4"/>
      <c r="U1362" s="4"/>
      <c r="V1362" s="4"/>
      <c r="W1362" s="4"/>
    </row>
    <row r="1363" ht="15.75" customHeight="1">
      <c r="A1363" s="13">
        <f t="shared" si="9"/>
        <v>1360</v>
      </c>
      <c r="B1363" s="18">
        <f>A1363/'Orbit Info'!$G$10</f>
        <v>14.37427407</v>
      </c>
      <c r="C1363" s="13">
        <f t="shared" si="2"/>
        <v>0</v>
      </c>
      <c r="D1363" s="13">
        <f t="shared" si="3"/>
        <v>0</v>
      </c>
      <c r="E1363" s="13">
        <f t="shared" si="4"/>
        <v>1</v>
      </c>
      <c r="F1363" s="13">
        <f t="shared" si="5"/>
        <v>0</v>
      </c>
      <c r="G1363" s="13">
        <f t="shared" si="6"/>
        <v>1</v>
      </c>
      <c r="H1363" s="13">
        <f>'Orbit Info'!C1362*((C1363*$O$2)+(D1363*$O$3)+(E1363*$O$4)+(F1363*$O$5))</f>
        <v>11.721024</v>
      </c>
      <c r="I1363" s="13">
        <f t="shared" si="7"/>
        <v>17.54526</v>
      </c>
      <c r="J1363" s="18">
        <f t="shared" si="8"/>
        <v>-0.0970706</v>
      </c>
      <c r="K1363" s="18">
        <f t="shared" si="10"/>
        <v>75.9625024</v>
      </c>
      <c r="L1363" s="4"/>
      <c r="M1363" s="4"/>
      <c r="N1363" s="4"/>
      <c r="O1363" s="4"/>
      <c r="P1363" s="4"/>
      <c r="Q1363" s="4"/>
      <c r="R1363" s="4"/>
      <c r="S1363" s="4"/>
      <c r="T1363" s="4"/>
      <c r="U1363" s="4"/>
      <c r="V1363" s="4"/>
      <c r="W1363" s="4"/>
    </row>
    <row r="1364" ht="15.75" customHeight="1">
      <c r="A1364" s="13">
        <f t="shared" si="9"/>
        <v>1361</v>
      </c>
      <c r="B1364" s="18">
        <f>A1364/'Orbit Info'!$G$10</f>
        <v>14.38484338</v>
      </c>
      <c r="C1364" s="13">
        <f t="shared" si="2"/>
        <v>0</v>
      </c>
      <c r="D1364" s="13">
        <f t="shared" si="3"/>
        <v>0</v>
      </c>
      <c r="E1364" s="13">
        <f t="shared" si="4"/>
        <v>1</v>
      </c>
      <c r="F1364" s="13">
        <f t="shared" si="5"/>
        <v>0</v>
      </c>
      <c r="G1364" s="13">
        <f t="shared" si="6"/>
        <v>1</v>
      </c>
      <c r="H1364" s="13">
        <f>'Orbit Info'!C1363*((C1364*$O$2)+(D1364*$O$3)+(E1364*$O$4)+(F1364*$O$5))</f>
        <v>11.721024</v>
      </c>
      <c r="I1364" s="13">
        <f t="shared" si="7"/>
        <v>17.54526</v>
      </c>
      <c r="J1364" s="18">
        <f t="shared" si="8"/>
        <v>-0.0970706</v>
      </c>
      <c r="K1364" s="18">
        <f t="shared" si="10"/>
        <v>75.8654318</v>
      </c>
      <c r="L1364" s="4"/>
      <c r="M1364" s="4"/>
      <c r="N1364" s="4"/>
      <c r="O1364" s="4"/>
      <c r="P1364" s="4"/>
      <c r="Q1364" s="4"/>
      <c r="R1364" s="4"/>
      <c r="S1364" s="4"/>
      <c r="T1364" s="4"/>
      <c r="U1364" s="4"/>
      <c r="V1364" s="4"/>
      <c r="W1364" s="4"/>
    </row>
    <row r="1365" ht="15.75" customHeight="1">
      <c r="A1365" s="13">
        <f t="shared" si="9"/>
        <v>1362</v>
      </c>
      <c r="B1365" s="18">
        <f>A1365/'Orbit Info'!$G$10</f>
        <v>14.3954127</v>
      </c>
      <c r="C1365" s="13">
        <f t="shared" si="2"/>
        <v>0</v>
      </c>
      <c r="D1365" s="13">
        <f t="shared" si="3"/>
        <v>0</v>
      </c>
      <c r="E1365" s="13">
        <f t="shared" si="4"/>
        <v>1</v>
      </c>
      <c r="F1365" s="13">
        <f t="shared" si="5"/>
        <v>0</v>
      </c>
      <c r="G1365" s="13">
        <f t="shared" si="6"/>
        <v>1</v>
      </c>
      <c r="H1365" s="13">
        <f>'Orbit Info'!C1364*((C1365*$O$2)+(D1365*$O$3)+(E1365*$O$4)+(F1365*$O$5))</f>
        <v>11.721024</v>
      </c>
      <c r="I1365" s="13">
        <f t="shared" si="7"/>
        <v>17.54526</v>
      </c>
      <c r="J1365" s="18">
        <f t="shared" si="8"/>
        <v>-0.0970706</v>
      </c>
      <c r="K1365" s="18">
        <f t="shared" si="10"/>
        <v>75.7683612</v>
      </c>
      <c r="L1365" s="4"/>
      <c r="M1365" s="4"/>
      <c r="N1365" s="4"/>
      <c r="O1365" s="4"/>
      <c r="P1365" s="4"/>
      <c r="Q1365" s="4"/>
      <c r="R1365" s="4"/>
      <c r="S1365" s="4"/>
      <c r="T1365" s="4"/>
      <c r="U1365" s="4"/>
      <c r="V1365" s="4"/>
      <c r="W1365" s="4"/>
    </row>
    <row r="1366" ht="15.75" customHeight="1">
      <c r="A1366" s="13">
        <f t="shared" si="9"/>
        <v>1363</v>
      </c>
      <c r="B1366" s="18">
        <f>A1366/'Orbit Info'!$G$10</f>
        <v>14.40598202</v>
      </c>
      <c r="C1366" s="13">
        <f t="shared" si="2"/>
        <v>0</v>
      </c>
      <c r="D1366" s="13">
        <f t="shared" si="3"/>
        <v>0</v>
      </c>
      <c r="E1366" s="13">
        <f t="shared" si="4"/>
        <v>1</v>
      </c>
      <c r="F1366" s="13">
        <f t="shared" si="5"/>
        <v>0</v>
      </c>
      <c r="G1366" s="13">
        <f t="shared" si="6"/>
        <v>1</v>
      </c>
      <c r="H1366" s="13">
        <f>'Orbit Info'!C1365*((C1366*$O$2)+(D1366*$O$3)+(E1366*$O$4)+(F1366*$O$5))</f>
        <v>11.721024</v>
      </c>
      <c r="I1366" s="13">
        <f t="shared" si="7"/>
        <v>17.54526</v>
      </c>
      <c r="J1366" s="18">
        <f t="shared" si="8"/>
        <v>-0.0970706</v>
      </c>
      <c r="K1366" s="18">
        <f t="shared" si="10"/>
        <v>75.6712906</v>
      </c>
      <c r="L1366" s="4"/>
      <c r="M1366" s="4"/>
      <c r="N1366" s="4"/>
      <c r="O1366" s="4"/>
      <c r="P1366" s="4"/>
      <c r="Q1366" s="4"/>
      <c r="R1366" s="4"/>
      <c r="S1366" s="4"/>
      <c r="T1366" s="4"/>
      <c r="U1366" s="4"/>
      <c r="V1366" s="4"/>
      <c r="W1366" s="4"/>
    </row>
    <row r="1367" ht="15.75" customHeight="1">
      <c r="A1367" s="13">
        <f t="shared" si="9"/>
        <v>1364</v>
      </c>
      <c r="B1367" s="18">
        <f>A1367/'Orbit Info'!$G$10</f>
        <v>14.41655134</v>
      </c>
      <c r="C1367" s="13">
        <f t="shared" si="2"/>
        <v>0</v>
      </c>
      <c r="D1367" s="13">
        <f t="shared" si="3"/>
        <v>0</v>
      </c>
      <c r="E1367" s="13">
        <f t="shared" si="4"/>
        <v>1</v>
      </c>
      <c r="F1367" s="13">
        <f t="shared" si="5"/>
        <v>0</v>
      </c>
      <c r="G1367" s="13">
        <f t="shared" si="6"/>
        <v>1</v>
      </c>
      <c r="H1367" s="13">
        <f>'Orbit Info'!C1366*((C1367*$O$2)+(D1367*$O$3)+(E1367*$O$4)+(F1367*$O$5))</f>
        <v>11.721024</v>
      </c>
      <c r="I1367" s="13">
        <f t="shared" si="7"/>
        <v>17.54526</v>
      </c>
      <c r="J1367" s="18">
        <f t="shared" si="8"/>
        <v>-0.0970706</v>
      </c>
      <c r="K1367" s="18">
        <f t="shared" si="10"/>
        <v>75.57422</v>
      </c>
      <c r="L1367" s="4"/>
      <c r="M1367" s="4"/>
      <c r="N1367" s="4"/>
      <c r="O1367" s="4"/>
      <c r="P1367" s="4"/>
      <c r="Q1367" s="4"/>
      <c r="R1367" s="4"/>
      <c r="S1367" s="4"/>
      <c r="T1367" s="4"/>
      <c r="U1367" s="4"/>
      <c r="V1367" s="4"/>
      <c r="W1367" s="4"/>
    </row>
    <row r="1368" ht="15.75" customHeight="1">
      <c r="A1368" s="13">
        <f t="shared" si="9"/>
        <v>1365</v>
      </c>
      <c r="B1368" s="18">
        <f>A1368/'Orbit Info'!$G$10</f>
        <v>14.42712066</v>
      </c>
      <c r="C1368" s="13">
        <f t="shared" si="2"/>
        <v>0</v>
      </c>
      <c r="D1368" s="13">
        <f t="shared" si="3"/>
        <v>0</v>
      </c>
      <c r="E1368" s="13">
        <f t="shared" si="4"/>
        <v>1</v>
      </c>
      <c r="F1368" s="13">
        <f t="shared" si="5"/>
        <v>0</v>
      </c>
      <c r="G1368" s="13">
        <f t="shared" si="6"/>
        <v>1</v>
      </c>
      <c r="H1368" s="13">
        <f>'Orbit Info'!C1367*((C1368*$O$2)+(D1368*$O$3)+(E1368*$O$4)+(F1368*$O$5))</f>
        <v>11.721024</v>
      </c>
      <c r="I1368" s="13">
        <f t="shared" si="7"/>
        <v>17.54526</v>
      </c>
      <c r="J1368" s="18">
        <f t="shared" si="8"/>
        <v>-0.0970706</v>
      </c>
      <c r="K1368" s="18">
        <f t="shared" si="10"/>
        <v>75.4771494</v>
      </c>
      <c r="L1368" s="4"/>
      <c r="M1368" s="4"/>
      <c r="N1368" s="4"/>
      <c r="O1368" s="4"/>
      <c r="P1368" s="4"/>
      <c r="Q1368" s="4"/>
      <c r="R1368" s="4"/>
      <c r="S1368" s="4"/>
      <c r="T1368" s="4"/>
      <c r="U1368" s="4"/>
      <c r="V1368" s="4"/>
      <c r="W1368" s="4"/>
    </row>
    <row r="1369" ht="15.75" customHeight="1">
      <c r="A1369" s="13">
        <f t="shared" si="9"/>
        <v>1366</v>
      </c>
      <c r="B1369" s="18">
        <f>A1369/'Orbit Info'!$G$10</f>
        <v>14.43768998</v>
      </c>
      <c r="C1369" s="13">
        <f t="shared" si="2"/>
        <v>0</v>
      </c>
      <c r="D1369" s="13">
        <f t="shared" si="3"/>
        <v>0</v>
      </c>
      <c r="E1369" s="13">
        <f t="shared" si="4"/>
        <v>1</v>
      </c>
      <c r="F1369" s="13">
        <f t="shared" si="5"/>
        <v>0</v>
      </c>
      <c r="G1369" s="13">
        <f t="shared" si="6"/>
        <v>1</v>
      </c>
      <c r="H1369" s="13">
        <f>'Orbit Info'!C1368*((C1369*$O$2)+(D1369*$O$3)+(E1369*$O$4)+(F1369*$O$5))</f>
        <v>11.721024</v>
      </c>
      <c r="I1369" s="13">
        <f t="shared" si="7"/>
        <v>17.54526</v>
      </c>
      <c r="J1369" s="18">
        <f t="shared" si="8"/>
        <v>-0.0970706</v>
      </c>
      <c r="K1369" s="18">
        <f t="shared" si="10"/>
        <v>75.3800788</v>
      </c>
      <c r="L1369" s="4"/>
      <c r="M1369" s="4"/>
      <c r="N1369" s="4"/>
      <c r="O1369" s="4"/>
      <c r="P1369" s="4"/>
      <c r="Q1369" s="4"/>
      <c r="R1369" s="4"/>
      <c r="S1369" s="4"/>
      <c r="T1369" s="4"/>
      <c r="U1369" s="4"/>
      <c r="V1369" s="4"/>
      <c r="W1369" s="4"/>
    </row>
    <row r="1370" ht="15.75" customHeight="1">
      <c r="A1370" s="13">
        <f t="shared" si="9"/>
        <v>1367</v>
      </c>
      <c r="B1370" s="18">
        <f>A1370/'Orbit Info'!$G$10</f>
        <v>14.4482593</v>
      </c>
      <c r="C1370" s="13">
        <f t="shared" si="2"/>
        <v>0</v>
      </c>
      <c r="D1370" s="13">
        <f t="shared" si="3"/>
        <v>0</v>
      </c>
      <c r="E1370" s="13">
        <f t="shared" si="4"/>
        <v>1</v>
      </c>
      <c r="F1370" s="13">
        <f t="shared" si="5"/>
        <v>0</v>
      </c>
      <c r="G1370" s="13">
        <f t="shared" si="6"/>
        <v>1</v>
      </c>
      <c r="H1370" s="13">
        <f>'Orbit Info'!C1369*((C1370*$O$2)+(D1370*$O$3)+(E1370*$O$4)+(F1370*$O$5))</f>
        <v>11.721024</v>
      </c>
      <c r="I1370" s="13">
        <f t="shared" si="7"/>
        <v>17.54526</v>
      </c>
      <c r="J1370" s="18">
        <f t="shared" si="8"/>
        <v>-0.0970706</v>
      </c>
      <c r="K1370" s="18">
        <f t="shared" si="10"/>
        <v>75.2830082</v>
      </c>
      <c r="L1370" s="4"/>
      <c r="M1370" s="4"/>
      <c r="N1370" s="4"/>
      <c r="O1370" s="4"/>
      <c r="P1370" s="4"/>
      <c r="Q1370" s="4"/>
      <c r="R1370" s="4"/>
      <c r="S1370" s="4"/>
      <c r="T1370" s="4"/>
      <c r="U1370" s="4"/>
      <c r="V1370" s="4"/>
      <c r="W1370" s="4"/>
    </row>
    <row r="1371" ht="15.75" customHeight="1">
      <c r="A1371" s="13">
        <f t="shared" si="9"/>
        <v>1368</v>
      </c>
      <c r="B1371" s="18">
        <f>A1371/'Orbit Info'!$G$10</f>
        <v>14.45882862</v>
      </c>
      <c r="C1371" s="13">
        <f t="shared" si="2"/>
        <v>0</v>
      </c>
      <c r="D1371" s="13">
        <f t="shared" si="3"/>
        <v>0</v>
      </c>
      <c r="E1371" s="13">
        <f t="shared" si="4"/>
        <v>1</v>
      </c>
      <c r="F1371" s="13">
        <f t="shared" si="5"/>
        <v>0</v>
      </c>
      <c r="G1371" s="13">
        <f t="shared" si="6"/>
        <v>1</v>
      </c>
      <c r="H1371" s="13">
        <f>'Orbit Info'!C1370*((C1371*$O$2)+(D1371*$O$3)+(E1371*$O$4)+(F1371*$O$5))</f>
        <v>11.721024</v>
      </c>
      <c r="I1371" s="13">
        <f t="shared" si="7"/>
        <v>17.54526</v>
      </c>
      <c r="J1371" s="18">
        <f t="shared" si="8"/>
        <v>-0.0970706</v>
      </c>
      <c r="K1371" s="18">
        <f t="shared" si="10"/>
        <v>75.1859376</v>
      </c>
      <c r="L1371" s="4"/>
      <c r="M1371" s="4"/>
      <c r="N1371" s="4"/>
      <c r="O1371" s="4"/>
      <c r="P1371" s="4"/>
      <c r="Q1371" s="4"/>
      <c r="R1371" s="4"/>
      <c r="S1371" s="4"/>
      <c r="T1371" s="4"/>
      <c r="U1371" s="4"/>
      <c r="V1371" s="4"/>
      <c r="W1371" s="4"/>
    </row>
    <row r="1372" ht="15.75" customHeight="1">
      <c r="A1372" s="13">
        <f t="shared" si="9"/>
        <v>1369</v>
      </c>
      <c r="B1372" s="18">
        <f>A1372/'Orbit Info'!$G$10</f>
        <v>14.46939794</v>
      </c>
      <c r="C1372" s="13">
        <f t="shared" si="2"/>
        <v>0</v>
      </c>
      <c r="D1372" s="13">
        <f t="shared" si="3"/>
        <v>0</v>
      </c>
      <c r="E1372" s="13">
        <f t="shared" si="4"/>
        <v>1</v>
      </c>
      <c r="F1372" s="13">
        <f t="shared" si="5"/>
        <v>0</v>
      </c>
      <c r="G1372" s="13">
        <f t="shared" si="6"/>
        <v>1</v>
      </c>
      <c r="H1372" s="13">
        <f>'Orbit Info'!C1371*((C1372*$O$2)+(D1372*$O$3)+(E1372*$O$4)+(F1372*$O$5))</f>
        <v>11.721024</v>
      </c>
      <c r="I1372" s="13">
        <f t="shared" si="7"/>
        <v>17.54526</v>
      </c>
      <c r="J1372" s="18">
        <f t="shared" si="8"/>
        <v>-0.0970706</v>
      </c>
      <c r="K1372" s="18">
        <f t="shared" si="10"/>
        <v>75.088867</v>
      </c>
      <c r="L1372" s="4"/>
      <c r="M1372" s="4"/>
      <c r="N1372" s="4"/>
      <c r="O1372" s="4"/>
      <c r="P1372" s="4"/>
      <c r="Q1372" s="4"/>
      <c r="R1372" s="4"/>
      <c r="S1372" s="4"/>
      <c r="T1372" s="4"/>
      <c r="U1372" s="4"/>
      <c r="V1372" s="4"/>
      <c r="W1372" s="4"/>
    </row>
    <row r="1373" ht="15.75" customHeight="1">
      <c r="A1373" s="13">
        <f t="shared" si="9"/>
        <v>1370</v>
      </c>
      <c r="B1373" s="18">
        <f>A1373/'Orbit Info'!$G$10</f>
        <v>14.47996726</v>
      </c>
      <c r="C1373" s="13">
        <f t="shared" si="2"/>
        <v>0</v>
      </c>
      <c r="D1373" s="13">
        <f t="shared" si="3"/>
        <v>0</v>
      </c>
      <c r="E1373" s="13">
        <f t="shared" si="4"/>
        <v>1</v>
      </c>
      <c r="F1373" s="13">
        <f t="shared" si="5"/>
        <v>0</v>
      </c>
      <c r="G1373" s="13">
        <f t="shared" si="6"/>
        <v>1</v>
      </c>
      <c r="H1373" s="13">
        <f>'Orbit Info'!C1372*((C1373*$O$2)+(D1373*$O$3)+(E1373*$O$4)+(F1373*$O$5))</f>
        <v>11.721024</v>
      </c>
      <c r="I1373" s="13">
        <f t="shared" si="7"/>
        <v>17.54526</v>
      </c>
      <c r="J1373" s="18">
        <f t="shared" si="8"/>
        <v>-0.0970706</v>
      </c>
      <c r="K1373" s="18">
        <f t="shared" si="10"/>
        <v>74.9917964</v>
      </c>
      <c r="L1373" s="4"/>
      <c r="M1373" s="4"/>
      <c r="N1373" s="4"/>
      <c r="O1373" s="4"/>
      <c r="P1373" s="4"/>
      <c r="Q1373" s="4"/>
      <c r="R1373" s="4"/>
      <c r="S1373" s="4"/>
      <c r="T1373" s="4"/>
      <c r="U1373" s="4"/>
      <c r="V1373" s="4"/>
      <c r="W1373" s="4"/>
    </row>
    <row r="1374" ht="15.75" customHeight="1">
      <c r="A1374" s="13">
        <f t="shared" si="9"/>
        <v>1371</v>
      </c>
      <c r="B1374" s="18">
        <f>A1374/'Orbit Info'!$G$10</f>
        <v>14.49053658</v>
      </c>
      <c r="C1374" s="13">
        <f t="shared" si="2"/>
        <v>0</v>
      </c>
      <c r="D1374" s="13">
        <f t="shared" si="3"/>
        <v>0</v>
      </c>
      <c r="E1374" s="13">
        <f t="shared" si="4"/>
        <v>1</v>
      </c>
      <c r="F1374" s="13">
        <f t="shared" si="5"/>
        <v>0</v>
      </c>
      <c r="G1374" s="13">
        <f t="shared" si="6"/>
        <v>1</v>
      </c>
      <c r="H1374" s="13">
        <f>'Orbit Info'!C1373*((C1374*$O$2)+(D1374*$O$3)+(E1374*$O$4)+(F1374*$O$5))</f>
        <v>11.721024</v>
      </c>
      <c r="I1374" s="13">
        <f t="shared" si="7"/>
        <v>17.54526</v>
      </c>
      <c r="J1374" s="18">
        <f t="shared" si="8"/>
        <v>-0.0970706</v>
      </c>
      <c r="K1374" s="18">
        <f t="shared" si="10"/>
        <v>74.8947258</v>
      </c>
      <c r="L1374" s="4"/>
      <c r="M1374" s="4"/>
      <c r="N1374" s="4"/>
      <c r="O1374" s="4"/>
      <c r="P1374" s="4"/>
      <c r="Q1374" s="4"/>
      <c r="R1374" s="4"/>
      <c r="S1374" s="4"/>
      <c r="T1374" s="4"/>
      <c r="U1374" s="4"/>
      <c r="V1374" s="4"/>
      <c r="W1374" s="4"/>
    </row>
    <row r="1375" ht="15.75" customHeight="1">
      <c r="A1375" s="13">
        <f t="shared" si="9"/>
        <v>1372</v>
      </c>
      <c r="B1375" s="18">
        <f>A1375/'Orbit Info'!$G$10</f>
        <v>14.5011059</v>
      </c>
      <c r="C1375" s="13">
        <f t="shared" si="2"/>
        <v>0</v>
      </c>
      <c r="D1375" s="13">
        <f t="shared" si="3"/>
        <v>0</v>
      </c>
      <c r="E1375" s="13">
        <f t="shared" si="4"/>
        <v>1</v>
      </c>
      <c r="F1375" s="13">
        <f t="shared" si="5"/>
        <v>0</v>
      </c>
      <c r="G1375" s="13">
        <f t="shared" si="6"/>
        <v>1</v>
      </c>
      <c r="H1375" s="13">
        <f>'Orbit Info'!C1374*((C1375*$O$2)+(D1375*$O$3)+(E1375*$O$4)+(F1375*$O$5))</f>
        <v>11.721024</v>
      </c>
      <c r="I1375" s="13">
        <f t="shared" si="7"/>
        <v>17.54526</v>
      </c>
      <c r="J1375" s="18">
        <f t="shared" si="8"/>
        <v>-0.0970706</v>
      </c>
      <c r="K1375" s="18">
        <f t="shared" si="10"/>
        <v>74.7976552</v>
      </c>
      <c r="L1375" s="4"/>
      <c r="M1375" s="4"/>
      <c r="N1375" s="4"/>
      <c r="O1375" s="4"/>
      <c r="P1375" s="4"/>
      <c r="Q1375" s="4"/>
      <c r="R1375" s="4"/>
      <c r="S1375" s="4"/>
      <c r="T1375" s="4"/>
      <c r="U1375" s="4"/>
      <c r="V1375" s="4"/>
      <c r="W1375" s="4"/>
    </row>
    <row r="1376" ht="15.75" customHeight="1">
      <c r="A1376" s="13">
        <f t="shared" si="9"/>
        <v>1373</v>
      </c>
      <c r="B1376" s="18">
        <f>A1376/'Orbit Info'!$G$10</f>
        <v>14.51167521</v>
      </c>
      <c r="C1376" s="13">
        <f t="shared" si="2"/>
        <v>0</v>
      </c>
      <c r="D1376" s="13">
        <f t="shared" si="3"/>
        <v>0</v>
      </c>
      <c r="E1376" s="13">
        <f t="shared" si="4"/>
        <v>1</v>
      </c>
      <c r="F1376" s="13">
        <f t="shared" si="5"/>
        <v>0</v>
      </c>
      <c r="G1376" s="13">
        <f t="shared" si="6"/>
        <v>1</v>
      </c>
      <c r="H1376" s="13">
        <f>'Orbit Info'!C1375*((C1376*$O$2)+(D1376*$O$3)+(E1376*$O$4)+(F1376*$O$5))</f>
        <v>11.721024</v>
      </c>
      <c r="I1376" s="13">
        <f t="shared" si="7"/>
        <v>17.54526</v>
      </c>
      <c r="J1376" s="18">
        <f t="shared" si="8"/>
        <v>-0.0970706</v>
      </c>
      <c r="K1376" s="18">
        <f t="shared" si="10"/>
        <v>74.7005846</v>
      </c>
      <c r="L1376" s="4"/>
      <c r="M1376" s="4"/>
      <c r="N1376" s="4"/>
      <c r="O1376" s="4"/>
      <c r="P1376" s="4"/>
      <c r="Q1376" s="4"/>
      <c r="R1376" s="4"/>
      <c r="S1376" s="4"/>
      <c r="T1376" s="4"/>
      <c r="U1376" s="4"/>
      <c r="V1376" s="4"/>
      <c r="W1376" s="4"/>
    </row>
    <row r="1377" ht="15.75" customHeight="1">
      <c r="A1377" s="13">
        <f t="shared" si="9"/>
        <v>1374</v>
      </c>
      <c r="B1377" s="18">
        <f>A1377/'Orbit Info'!$G$10</f>
        <v>14.52224453</v>
      </c>
      <c r="C1377" s="13">
        <f t="shared" si="2"/>
        <v>0</v>
      </c>
      <c r="D1377" s="13">
        <f t="shared" si="3"/>
        <v>0</v>
      </c>
      <c r="E1377" s="13">
        <f t="shared" si="4"/>
        <v>1</v>
      </c>
      <c r="F1377" s="13">
        <f t="shared" si="5"/>
        <v>0</v>
      </c>
      <c r="G1377" s="13">
        <f t="shared" si="6"/>
        <v>1</v>
      </c>
      <c r="H1377" s="13">
        <f>'Orbit Info'!C1376*((C1377*$O$2)+(D1377*$O$3)+(E1377*$O$4)+(F1377*$O$5))</f>
        <v>11.721024</v>
      </c>
      <c r="I1377" s="13">
        <f t="shared" si="7"/>
        <v>17.54526</v>
      </c>
      <c r="J1377" s="18">
        <f t="shared" si="8"/>
        <v>-0.0970706</v>
      </c>
      <c r="K1377" s="18">
        <f t="shared" si="10"/>
        <v>74.603514</v>
      </c>
      <c r="L1377" s="4"/>
      <c r="M1377" s="4"/>
      <c r="N1377" s="4"/>
      <c r="O1377" s="4"/>
      <c r="P1377" s="4"/>
      <c r="Q1377" s="4"/>
      <c r="R1377" s="4"/>
      <c r="S1377" s="4"/>
      <c r="T1377" s="4"/>
      <c r="U1377" s="4"/>
      <c r="V1377" s="4"/>
      <c r="W1377" s="4"/>
    </row>
    <row r="1378" ht="15.75" customHeight="1">
      <c r="A1378" s="13">
        <f t="shared" si="9"/>
        <v>1375</v>
      </c>
      <c r="B1378" s="18">
        <f>A1378/'Orbit Info'!$G$10</f>
        <v>14.53281385</v>
      </c>
      <c r="C1378" s="13">
        <f t="shared" si="2"/>
        <v>0</v>
      </c>
      <c r="D1378" s="13">
        <f t="shared" si="3"/>
        <v>0</v>
      </c>
      <c r="E1378" s="13">
        <f t="shared" si="4"/>
        <v>1</v>
      </c>
      <c r="F1378" s="13">
        <f t="shared" si="5"/>
        <v>0</v>
      </c>
      <c r="G1378" s="13">
        <f t="shared" si="6"/>
        <v>1</v>
      </c>
      <c r="H1378" s="13">
        <f>'Orbit Info'!C1377*((C1378*$O$2)+(D1378*$O$3)+(E1378*$O$4)+(F1378*$O$5))</f>
        <v>11.721024</v>
      </c>
      <c r="I1378" s="13">
        <f t="shared" si="7"/>
        <v>17.54526</v>
      </c>
      <c r="J1378" s="18">
        <f t="shared" si="8"/>
        <v>-0.0970706</v>
      </c>
      <c r="K1378" s="18">
        <f t="shared" si="10"/>
        <v>74.5064434</v>
      </c>
      <c r="L1378" s="4"/>
      <c r="M1378" s="4"/>
      <c r="N1378" s="4"/>
      <c r="O1378" s="4"/>
      <c r="P1378" s="4"/>
      <c r="Q1378" s="4"/>
      <c r="R1378" s="4"/>
      <c r="S1378" s="4"/>
      <c r="T1378" s="4"/>
      <c r="U1378" s="4"/>
      <c r="V1378" s="4"/>
      <c r="W1378" s="4"/>
    </row>
    <row r="1379" ht="15.75" customHeight="1">
      <c r="A1379" s="13">
        <f t="shared" si="9"/>
        <v>1376</v>
      </c>
      <c r="B1379" s="18">
        <f>A1379/'Orbit Info'!$G$10</f>
        <v>14.54338317</v>
      </c>
      <c r="C1379" s="13">
        <f t="shared" si="2"/>
        <v>0</v>
      </c>
      <c r="D1379" s="13">
        <f t="shared" si="3"/>
        <v>0</v>
      </c>
      <c r="E1379" s="13">
        <f t="shared" si="4"/>
        <v>1</v>
      </c>
      <c r="F1379" s="13">
        <f t="shared" si="5"/>
        <v>0</v>
      </c>
      <c r="G1379" s="13">
        <f t="shared" si="6"/>
        <v>1</v>
      </c>
      <c r="H1379" s="13">
        <f>'Orbit Info'!C1378*((C1379*$O$2)+(D1379*$O$3)+(E1379*$O$4)+(F1379*$O$5))</f>
        <v>11.721024</v>
      </c>
      <c r="I1379" s="13">
        <f t="shared" si="7"/>
        <v>17.54526</v>
      </c>
      <c r="J1379" s="18">
        <f t="shared" si="8"/>
        <v>-0.0970706</v>
      </c>
      <c r="K1379" s="18">
        <f t="shared" si="10"/>
        <v>74.4093728</v>
      </c>
      <c r="L1379" s="4"/>
      <c r="M1379" s="4"/>
      <c r="N1379" s="4"/>
      <c r="O1379" s="4"/>
      <c r="P1379" s="4"/>
      <c r="Q1379" s="4"/>
      <c r="R1379" s="4"/>
      <c r="S1379" s="4"/>
      <c r="T1379" s="4"/>
      <c r="U1379" s="4"/>
      <c r="V1379" s="4"/>
      <c r="W1379" s="4"/>
    </row>
    <row r="1380" ht="15.75" customHeight="1">
      <c r="A1380" s="13">
        <f t="shared" si="9"/>
        <v>1377</v>
      </c>
      <c r="B1380" s="18">
        <f>A1380/'Orbit Info'!$G$10</f>
        <v>14.55395249</v>
      </c>
      <c r="C1380" s="13">
        <f t="shared" si="2"/>
        <v>0</v>
      </c>
      <c r="D1380" s="13">
        <f t="shared" si="3"/>
        <v>0</v>
      </c>
      <c r="E1380" s="13">
        <f t="shared" si="4"/>
        <v>1</v>
      </c>
      <c r="F1380" s="13">
        <f t="shared" si="5"/>
        <v>0</v>
      </c>
      <c r="G1380" s="13">
        <f t="shared" si="6"/>
        <v>1</v>
      </c>
      <c r="H1380" s="13">
        <f>'Orbit Info'!C1379*((C1380*$O$2)+(D1380*$O$3)+(E1380*$O$4)+(F1380*$O$5))</f>
        <v>11.721024</v>
      </c>
      <c r="I1380" s="13">
        <f t="shared" si="7"/>
        <v>17.54526</v>
      </c>
      <c r="J1380" s="18">
        <f t="shared" si="8"/>
        <v>-0.0970706</v>
      </c>
      <c r="K1380" s="18">
        <f t="shared" si="10"/>
        <v>74.3123022</v>
      </c>
      <c r="L1380" s="4"/>
      <c r="M1380" s="4"/>
      <c r="N1380" s="4"/>
      <c r="O1380" s="4"/>
      <c r="P1380" s="4"/>
      <c r="Q1380" s="4"/>
      <c r="R1380" s="4"/>
      <c r="S1380" s="4"/>
      <c r="T1380" s="4"/>
      <c r="U1380" s="4"/>
      <c r="V1380" s="4"/>
      <c r="W1380" s="4"/>
    </row>
    <row r="1381" ht="15.75" customHeight="1">
      <c r="A1381" s="13">
        <f t="shared" si="9"/>
        <v>1378</v>
      </c>
      <c r="B1381" s="18">
        <f>A1381/'Orbit Info'!$G$10</f>
        <v>14.56452181</v>
      </c>
      <c r="C1381" s="13">
        <f t="shared" si="2"/>
        <v>0</v>
      </c>
      <c r="D1381" s="13">
        <f t="shared" si="3"/>
        <v>0</v>
      </c>
      <c r="E1381" s="13">
        <f t="shared" si="4"/>
        <v>1</v>
      </c>
      <c r="F1381" s="13">
        <f t="shared" si="5"/>
        <v>0</v>
      </c>
      <c r="G1381" s="13">
        <f t="shared" si="6"/>
        <v>1</v>
      </c>
      <c r="H1381" s="13">
        <f>'Orbit Info'!C1380*((C1381*$O$2)+(D1381*$O$3)+(E1381*$O$4)+(F1381*$O$5))</f>
        <v>11.721024</v>
      </c>
      <c r="I1381" s="13">
        <f t="shared" si="7"/>
        <v>17.54526</v>
      </c>
      <c r="J1381" s="18">
        <f t="shared" si="8"/>
        <v>-0.0970706</v>
      </c>
      <c r="K1381" s="18">
        <f t="shared" si="10"/>
        <v>74.2152316</v>
      </c>
      <c r="L1381" s="4"/>
      <c r="M1381" s="4"/>
      <c r="N1381" s="4"/>
      <c r="O1381" s="4"/>
      <c r="P1381" s="4"/>
      <c r="Q1381" s="4"/>
      <c r="R1381" s="4"/>
      <c r="S1381" s="4"/>
      <c r="T1381" s="4"/>
      <c r="U1381" s="4"/>
      <c r="V1381" s="4"/>
      <c r="W1381" s="4"/>
    </row>
    <row r="1382" ht="15.75" customHeight="1">
      <c r="A1382" s="13">
        <f t="shared" si="9"/>
        <v>1379</v>
      </c>
      <c r="B1382" s="18">
        <f>A1382/'Orbit Info'!$G$10</f>
        <v>14.57509113</v>
      </c>
      <c r="C1382" s="13">
        <f t="shared" si="2"/>
        <v>0</v>
      </c>
      <c r="D1382" s="13">
        <f t="shared" si="3"/>
        <v>0</v>
      </c>
      <c r="E1382" s="13">
        <f t="shared" si="4"/>
        <v>1</v>
      </c>
      <c r="F1382" s="13">
        <f t="shared" si="5"/>
        <v>0</v>
      </c>
      <c r="G1382" s="13">
        <f t="shared" si="6"/>
        <v>1</v>
      </c>
      <c r="H1382" s="13">
        <f>'Orbit Info'!C1381*((C1382*$O$2)+(D1382*$O$3)+(E1382*$O$4)+(F1382*$O$5))</f>
        <v>11.721024</v>
      </c>
      <c r="I1382" s="13">
        <f t="shared" si="7"/>
        <v>17.54526</v>
      </c>
      <c r="J1382" s="18">
        <f t="shared" si="8"/>
        <v>-0.0970706</v>
      </c>
      <c r="K1382" s="18">
        <f t="shared" si="10"/>
        <v>74.118161</v>
      </c>
      <c r="L1382" s="4"/>
      <c r="M1382" s="4"/>
      <c r="N1382" s="4"/>
      <c r="O1382" s="4"/>
      <c r="P1382" s="4"/>
      <c r="Q1382" s="4"/>
      <c r="R1382" s="4"/>
      <c r="S1382" s="4"/>
      <c r="T1382" s="4"/>
      <c r="U1382" s="4"/>
      <c r="V1382" s="4"/>
      <c r="W1382" s="4"/>
    </row>
    <row r="1383" ht="15.75" customHeight="1">
      <c r="A1383" s="13">
        <f t="shared" si="9"/>
        <v>1380</v>
      </c>
      <c r="B1383" s="18">
        <f>A1383/'Orbit Info'!$G$10</f>
        <v>14.58566045</v>
      </c>
      <c r="C1383" s="13">
        <f t="shared" si="2"/>
        <v>0</v>
      </c>
      <c r="D1383" s="13">
        <f t="shared" si="3"/>
        <v>0</v>
      </c>
      <c r="E1383" s="13">
        <f t="shared" si="4"/>
        <v>1</v>
      </c>
      <c r="F1383" s="13">
        <f t="shared" si="5"/>
        <v>0</v>
      </c>
      <c r="G1383" s="13">
        <f t="shared" si="6"/>
        <v>1</v>
      </c>
      <c r="H1383" s="13">
        <f>'Orbit Info'!C1382*((C1383*$O$2)+(D1383*$O$3)+(E1383*$O$4)+(F1383*$O$5))</f>
        <v>11.721024</v>
      </c>
      <c r="I1383" s="13">
        <f t="shared" si="7"/>
        <v>17.54526</v>
      </c>
      <c r="J1383" s="18">
        <f t="shared" si="8"/>
        <v>-0.0970706</v>
      </c>
      <c r="K1383" s="18">
        <f t="shared" si="10"/>
        <v>74.0210904</v>
      </c>
      <c r="L1383" s="4"/>
      <c r="M1383" s="4"/>
      <c r="N1383" s="4"/>
      <c r="O1383" s="4"/>
      <c r="P1383" s="4"/>
      <c r="Q1383" s="4"/>
      <c r="R1383" s="4"/>
      <c r="S1383" s="4"/>
      <c r="T1383" s="4"/>
      <c r="U1383" s="4"/>
      <c r="V1383" s="4"/>
      <c r="W1383" s="4"/>
    </row>
    <row r="1384" ht="15.75" customHeight="1">
      <c r="A1384" s="13">
        <f t="shared" si="9"/>
        <v>1381</v>
      </c>
      <c r="B1384" s="18">
        <f>A1384/'Orbit Info'!$G$10</f>
        <v>14.59622977</v>
      </c>
      <c r="C1384" s="13">
        <f t="shared" si="2"/>
        <v>0</v>
      </c>
      <c r="D1384" s="13">
        <f t="shared" si="3"/>
        <v>0</v>
      </c>
      <c r="E1384" s="13">
        <f t="shared" si="4"/>
        <v>1</v>
      </c>
      <c r="F1384" s="13">
        <f t="shared" si="5"/>
        <v>0</v>
      </c>
      <c r="G1384" s="13">
        <f t="shared" si="6"/>
        <v>1</v>
      </c>
      <c r="H1384" s="13">
        <f>'Orbit Info'!C1383*((C1384*$O$2)+(D1384*$O$3)+(E1384*$O$4)+(F1384*$O$5))</f>
        <v>11.721024</v>
      </c>
      <c r="I1384" s="13">
        <f t="shared" si="7"/>
        <v>17.54526</v>
      </c>
      <c r="J1384" s="18">
        <f t="shared" si="8"/>
        <v>-0.0970706</v>
      </c>
      <c r="K1384" s="18">
        <f t="shared" si="10"/>
        <v>73.9240198</v>
      </c>
      <c r="L1384" s="4"/>
      <c r="M1384" s="4"/>
      <c r="N1384" s="4"/>
      <c r="O1384" s="4"/>
      <c r="P1384" s="4"/>
      <c r="Q1384" s="4"/>
      <c r="R1384" s="4"/>
      <c r="S1384" s="4"/>
      <c r="T1384" s="4"/>
      <c r="U1384" s="4"/>
      <c r="V1384" s="4"/>
      <c r="W1384" s="4"/>
    </row>
    <row r="1385" ht="15.75" customHeight="1">
      <c r="A1385" s="13">
        <f t="shared" si="9"/>
        <v>1382</v>
      </c>
      <c r="B1385" s="18">
        <f>A1385/'Orbit Info'!$G$10</f>
        <v>14.60679909</v>
      </c>
      <c r="C1385" s="13">
        <f t="shared" si="2"/>
        <v>0</v>
      </c>
      <c r="D1385" s="13">
        <f t="shared" si="3"/>
        <v>0</v>
      </c>
      <c r="E1385" s="13">
        <f t="shared" si="4"/>
        <v>1</v>
      </c>
      <c r="F1385" s="13">
        <f t="shared" si="5"/>
        <v>0</v>
      </c>
      <c r="G1385" s="13">
        <f t="shared" si="6"/>
        <v>1</v>
      </c>
      <c r="H1385" s="13">
        <f>'Orbit Info'!C1384*((C1385*$O$2)+(D1385*$O$3)+(E1385*$O$4)+(F1385*$O$5))</f>
        <v>11.721024</v>
      </c>
      <c r="I1385" s="13">
        <f t="shared" si="7"/>
        <v>17.54526</v>
      </c>
      <c r="J1385" s="18">
        <f t="shared" si="8"/>
        <v>-0.0970706</v>
      </c>
      <c r="K1385" s="18">
        <f t="shared" si="10"/>
        <v>73.8269492</v>
      </c>
      <c r="L1385" s="4"/>
      <c r="M1385" s="4"/>
      <c r="N1385" s="4"/>
      <c r="O1385" s="4"/>
      <c r="P1385" s="4"/>
      <c r="Q1385" s="4"/>
      <c r="R1385" s="4"/>
      <c r="S1385" s="4"/>
      <c r="T1385" s="4"/>
      <c r="U1385" s="4"/>
      <c r="V1385" s="4"/>
      <c r="W1385" s="4"/>
    </row>
    <row r="1386" ht="15.75" customHeight="1">
      <c r="A1386" s="13">
        <f t="shared" si="9"/>
        <v>1383</v>
      </c>
      <c r="B1386" s="18">
        <f>A1386/'Orbit Info'!$G$10</f>
        <v>14.61736841</v>
      </c>
      <c r="C1386" s="13">
        <f t="shared" si="2"/>
        <v>0</v>
      </c>
      <c r="D1386" s="13">
        <f t="shared" si="3"/>
        <v>0</v>
      </c>
      <c r="E1386" s="13">
        <f t="shared" si="4"/>
        <v>1</v>
      </c>
      <c r="F1386" s="13">
        <f t="shared" si="5"/>
        <v>0</v>
      </c>
      <c r="G1386" s="13">
        <f t="shared" si="6"/>
        <v>1</v>
      </c>
      <c r="H1386" s="13">
        <f>'Orbit Info'!C1385*((C1386*$O$2)+(D1386*$O$3)+(E1386*$O$4)+(F1386*$O$5))</f>
        <v>11.721024</v>
      </c>
      <c r="I1386" s="13">
        <f t="shared" si="7"/>
        <v>17.54526</v>
      </c>
      <c r="J1386" s="18">
        <f t="shared" si="8"/>
        <v>-0.0970706</v>
      </c>
      <c r="K1386" s="18">
        <f t="shared" si="10"/>
        <v>73.7298786</v>
      </c>
      <c r="L1386" s="4"/>
      <c r="M1386" s="4"/>
      <c r="N1386" s="4"/>
      <c r="O1386" s="4"/>
      <c r="P1386" s="4"/>
      <c r="Q1386" s="4"/>
      <c r="R1386" s="4"/>
      <c r="S1386" s="4"/>
      <c r="T1386" s="4"/>
      <c r="U1386" s="4"/>
      <c r="V1386" s="4"/>
      <c r="W1386" s="4"/>
    </row>
    <row r="1387" ht="15.75" customHeight="1">
      <c r="A1387" s="13">
        <f t="shared" si="9"/>
        <v>1384</v>
      </c>
      <c r="B1387" s="18">
        <f>A1387/'Orbit Info'!$G$10</f>
        <v>14.62793773</v>
      </c>
      <c r="C1387" s="13">
        <f t="shared" si="2"/>
        <v>0</v>
      </c>
      <c r="D1387" s="13">
        <f t="shared" si="3"/>
        <v>0</v>
      </c>
      <c r="E1387" s="13">
        <f t="shared" si="4"/>
        <v>1</v>
      </c>
      <c r="F1387" s="13">
        <f t="shared" si="5"/>
        <v>0</v>
      </c>
      <c r="G1387" s="13">
        <f t="shared" si="6"/>
        <v>1</v>
      </c>
      <c r="H1387" s="13">
        <f>'Orbit Info'!C1386*((C1387*$O$2)+(D1387*$O$3)+(E1387*$O$4)+(F1387*$O$5))</f>
        <v>0</v>
      </c>
      <c r="I1387" s="13">
        <f t="shared" si="7"/>
        <v>17.54526</v>
      </c>
      <c r="J1387" s="18">
        <f t="shared" si="8"/>
        <v>-0.292421</v>
      </c>
      <c r="K1387" s="18">
        <f t="shared" si="10"/>
        <v>73.4374576</v>
      </c>
      <c r="L1387" s="4"/>
      <c r="M1387" s="4"/>
      <c r="N1387" s="4"/>
      <c r="O1387" s="4"/>
      <c r="P1387" s="4"/>
      <c r="Q1387" s="4"/>
      <c r="R1387" s="4"/>
      <c r="S1387" s="4"/>
      <c r="T1387" s="4"/>
      <c r="U1387" s="4"/>
      <c r="V1387" s="4"/>
      <c r="W1387" s="4"/>
    </row>
    <row r="1388" ht="15.75" customHeight="1">
      <c r="A1388" s="13">
        <f t="shared" si="9"/>
        <v>1385</v>
      </c>
      <c r="B1388" s="18">
        <f>A1388/'Orbit Info'!$G$10</f>
        <v>14.63850704</v>
      </c>
      <c r="C1388" s="13">
        <f t="shared" si="2"/>
        <v>0</v>
      </c>
      <c r="D1388" s="13">
        <f t="shared" si="3"/>
        <v>0</v>
      </c>
      <c r="E1388" s="13">
        <f t="shared" si="4"/>
        <v>1</v>
      </c>
      <c r="F1388" s="13">
        <f t="shared" si="5"/>
        <v>0</v>
      </c>
      <c r="G1388" s="13">
        <f t="shared" si="6"/>
        <v>1</v>
      </c>
      <c r="H1388" s="13">
        <f>'Orbit Info'!C1387*((C1388*$O$2)+(D1388*$O$3)+(E1388*$O$4)+(F1388*$O$5))</f>
        <v>0</v>
      </c>
      <c r="I1388" s="13">
        <f t="shared" si="7"/>
        <v>17.54526</v>
      </c>
      <c r="J1388" s="18">
        <f t="shared" si="8"/>
        <v>-0.292421</v>
      </c>
      <c r="K1388" s="18">
        <f t="shared" si="10"/>
        <v>73.1450366</v>
      </c>
      <c r="L1388" s="4"/>
      <c r="M1388" s="4"/>
      <c r="N1388" s="4"/>
      <c r="O1388" s="4"/>
      <c r="P1388" s="4"/>
      <c r="Q1388" s="4"/>
      <c r="R1388" s="4"/>
      <c r="S1388" s="4"/>
      <c r="T1388" s="4"/>
      <c r="U1388" s="4"/>
      <c r="V1388" s="4"/>
      <c r="W1388" s="4"/>
    </row>
    <row r="1389" ht="15.75" customHeight="1">
      <c r="A1389" s="13">
        <f t="shared" si="9"/>
        <v>1386</v>
      </c>
      <c r="B1389" s="18">
        <f>A1389/'Orbit Info'!$G$10</f>
        <v>14.64907636</v>
      </c>
      <c r="C1389" s="13">
        <f t="shared" si="2"/>
        <v>0</v>
      </c>
      <c r="D1389" s="13">
        <f t="shared" si="3"/>
        <v>0</v>
      </c>
      <c r="E1389" s="13">
        <f t="shared" si="4"/>
        <v>1</v>
      </c>
      <c r="F1389" s="13">
        <f t="shared" si="5"/>
        <v>0</v>
      </c>
      <c r="G1389" s="13">
        <f t="shared" si="6"/>
        <v>1</v>
      </c>
      <c r="H1389" s="13">
        <f>'Orbit Info'!C1388*((C1389*$O$2)+(D1389*$O$3)+(E1389*$O$4)+(F1389*$O$5))</f>
        <v>0</v>
      </c>
      <c r="I1389" s="13">
        <f t="shared" si="7"/>
        <v>17.54526</v>
      </c>
      <c r="J1389" s="18">
        <f t="shared" si="8"/>
        <v>-0.292421</v>
      </c>
      <c r="K1389" s="18">
        <f t="shared" si="10"/>
        <v>72.8526156</v>
      </c>
      <c r="L1389" s="4"/>
      <c r="M1389" s="4"/>
      <c r="N1389" s="4"/>
      <c r="O1389" s="4"/>
      <c r="P1389" s="4"/>
      <c r="Q1389" s="4"/>
      <c r="R1389" s="4"/>
      <c r="S1389" s="4"/>
      <c r="T1389" s="4"/>
      <c r="U1389" s="4"/>
      <c r="V1389" s="4"/>
      <c r="W1389" s="4"/>
    </row>
    <row r="1390" ht="15.75" customHeight="1">
      <c r="A1390" s="13">
        <f t="shared" si="9"/>
        <v>1387</v>
      </c>
      <c r="B1390" s="18">
        <f>A1390/'Orbit Info'!$G$10</f>
        <v>14.65964568</v>
      </c>
      <c r="C1390" s="13">
        <f t="shared" si="2"/>
        <v>0</v>
      </c>
      <c r="D1390" s="13">
        <f t="shared" si="3"/>
        <v>0</v>
      </c>
      <c r="E1390" s="13">
        <f t="shared" si="4"/>
        <v>1</v>
      </c>
      <c r="F1390" s="13">
        <f t="shared" si="5"/>
        <v>0</v>
      </c>
      <c r="G1390" s="13">
        <f t="shared" si="6"/>
        <v>1</v>
      </c>
      <c r="H1390" s="13">
        <f>'Orbit Info'!C1389*((C1390*$O$2)+(D1390*$O$3)+(E1390*$O$4)+(F1390*$O$5))</f>
        <v>0</v>
      </c>
      <c r="I1390" s="13">
        <f t="shared" si="7"/>
        <v>17.54526</v>
      </c>
      <c r="J1390" s="18">
        <f t="shared" si="8"/>
        <v>-0.292421</v>
      </c>
      <c r="K1390" s="18">
        <f t="shared" si="10"/>
        <v>72.5601946</v>
      </c>
      <c r="L1390" s="4"/>
      <c r="M1390" s="4"/>
      <c r="N1390" s="4"/>
      <c r="O1390" s="4"/>
      <c r="P1390" s="4"/>
      <c r="Q1390" s="4"/>
      <c r="R1390" s="4"/>
      <c r="S1390" s="4"/>
      <c r="T1390" s="4"/>
      <c r="U1390" s="4"/>
      <c r="V1390" s="4"/>
      <c r="W1390" s="4"/>
    </row>
    <row r="1391" ht="15.75" customHeight="1">
      <c r="A1391" s="13">
        <f t="shared" si="9"/>
        <v>1388</v>
      </c>
      <c r="B1391" s="18">
        <f>A1391/'Orbit Info'!$G$10</f>
        <v>14.670215</v>
      </c>
      <c r="C1391" s="13">
        <f t="shared" si="2"/>
        <v>0</v>
      </c>
      <c r="D1391" s="13">
        <f t="shared" si="3"/>
        <v>0</v>
      </c>
      <c r="E1391" s="13">
        <f t="shared" si="4"/>
        <v>1</v>
      </c>
      <c r="F1391" s="13">
        <f t="shared" si="5"/>
        <v>0</v>
      </c>
      <c r="G1391" s="13">
        <f t="shared" si="6"/>
        <v>1</v>
      </c>
      <c r="H1391" s="13">
        <f>'Orbit Info'!C1390*((C1391*$O$2)+(D1391*$O$3)+(E1391*$O$4)+(F1391*$O$5))</f>
        <v>0</v>
      </c>
      <c r="I1391" s="13">
        <f t="shared" si="7"/>
        <v>17.54526</v>
      </c>
      <c r="J1391" s="18">
        <f t="shared" si="8"/>
        <v>-0.292421</v>
      </c>
      <c r="K1391" s="18">
        <f t="shared" si="10"/>
        <v>72.2677736</v>
      </c>
      <c r="L1391" s="4"/>
      <c r="M1391" s="4"/>
      <c r="N1391" s="4"/>
      <c r="O1391" s="4"/>
      <c r="P1391" s="4"/>
      <c r="Q1391" s="4"/>
      <c r="R1391" s="4"/>
      <c r="S1391" s="4"/>
      <c r="T1391" s="4"/>
      <c r="U1391" s="4"/>
      <c r="V1391" s="4"/>
      <c r="W1391" s="4"/>
    </row>
    <row r="1392" ht="15.75" customHeight="1">
      <c r="A1392" s="13">
        <f t="shared" si="9"/>
        <v>1389</v>
      </c>
      <c r="B1392" s="18">
        <f>A1392/'Orbit Info'!$G$10</f>
        <v>14.68078432</v>
      </c>
      <c r="C1392" s="13">
        <f t="shared" si="2"/>
        <v>0</v>
      </c>
      <c r="D1392" s="13">
        <f t="shared" si="3"/>
        <v>0</v>
      </c>
      <c r="E1392" s="13">
        <f t="shared" si="4"/>
        <v>1</v>
      </c>
      <c r="F1392" s="13">
        <f t="shared" si="5"/>
        <v>0</v>
      </c>
      <c r="G1392" s="13">
        <f t="shared" si="6"/>
        <v>1</v>
      </c>
      <c r="H1392" s="13">
        <f>'Orbit Info'!C1391*((C1392*$O$2)+(D1392*$O$3)+(E1392*$O$4)+(F1392*$O$5))</f>
        <v>0</v>
      </c>
      <c r="I1392" s="13">
        <f t="shared" si="7"/>
        <v>17.54526</v>
      </c>
      <c r="J1392" s="18">
        <f t="shared" si="8"/>
        <v>-0.292421</v>
      </c>
      <c r="K1392" s="18">
        <f t="shared" si="10"/>
        <v>71.9753526</v>
      </c>
      <c r="L1392" s="4"/>
      <c r="M1392" s="4"/>
      <c r="N1392" s="4"/>
      <c r="O1392" s="4"/>
      <c r="P1392" s="4"/>
      <c r="Q1392" s="4"/>
      <c r="R1392" s="4"/>
      <c r="S1392" s="4"/>
      <c r="T1392" s="4"/>
      <c r="U1392" s="4"/>
      <c r="V1392" s="4"/>
      <c r="W1392" s="4"/>
    </row>
    <row r="1393" ht="15.75" customHeight="1">
      <c r="A1393" s="13">
        <f t="shared" si="9"/>
        <v>1390</v>
      </c>
      <c r="B1393" s="18">
        <f>A1393/'Orbit Info'!$G$10</f>
        <v>14.69135364</v>
      </c>
      <c r="C1393" s="13">
        <f t="shared" si="2"/>
        <v>0</v>
      </c>
      <c r="D1393" s="13">
        <f t="shared" si="3"/>
        <v>0</v>
      </c>
      <c r="E1393" s="13">
        <f t="shared" si="4"/>
        <v>1</v>
      </c>
      <c r="F1393" s="13">
        <f t="shared" si="5"/>
        <v>0</v>
      </c>
      <c r="G1393" s="13">
        <f t="shared" si="6"/>
        <v>1</v>
      </c>
      <c r="H1393" s="13">
        <f>'Orbit Info'!C1392*((C1393*$O$2)+(D1393*$O$3)+(E1393*$O$4)+(F1393*$O$5))</f>
        <v>0</v>
      </c>
      <c r="I1393" s="13">
        <f t="shared" si="7"/>
        <v>17.54526</v>
      </c>
      <c r="J1393" s="18">
        <f t="shared" si="8"/>
        <v>-0.292421</v>
      </c>
      <c r="K1393" s="18">
        <f t="shared" si="10"/>
        <v>71.6829316</v>
      </c>
      <c r="L1393" s="4"/>
      <c r="M1393" s="4"/>
      <c r="N1393" s="4"/>
      <c r="O1393" s="4"/>
      <c r="P1393" s="4"/>
      <c r="Q1393" s="4"/>
      <c r="R1393" s="4"/>
      <c r="S1393" s="4"/>
      <c r="T1393" s="4"/>
      <c r="U1393" s="4"/>
      <c r="V1393" s="4"/>
      <c r="W1393" s="4"/>
    </row>
    <row r="1394" ht="15.75" customHeight="1">
      <c r="A1394" s="13">
        <f t="shared" si="9"/>
        <v>1391</v>
      </c>
      <c r="B1394" s="18">
        <f>A1394/'Orbit Info'!$G$10</f>
        <v>14.70192296</v>
      </c>
      <c r="C1394" s="13">
        <f t="shared" si="2"/>
        <v>0</v>
      </c>
      <c r="D1394" s="13">
        <f t="shared" si="3"/>
        <v>0</v>
      </c>
      <c r="E1394" s="13">
        <f t="shared" si="4"/>
        <v>1</v>
      </c>
      <c r="F1394" s="13">
        <f t="shared" si="5"/>
        <v>0</v>
      </c>
      <c r="G1394" s="13">
        <f t="shared" si="6"/>
        <v>1</v>
      </c>
      <c r="H1394" s="13">
        <f>'Orbit Info'!C1393*((C1394*$O$2)+(D1394*$O$3)+(E1394*$O$4)+(F1394*$O$5))</f>
        <v>0</v>
      </c>
      <c r="I1394" s="13">
        <f t="shared" si="7"/>
        <v>17.54526</v>
      </c>
      <c r="J1394" s="18">
        <f t="shared" si="8"/>
        <v>-0.292421</v>
      </c>
      <c r="K1394" s="18">
        <f t="shared" si="10"/>
        <v>71.3905106</v>
      </c>
      <c r="L1394" s="4"/>
      <c r="M1394" s="4"/>
      <c r="N1394" s="4"/>
      <c r="O1394" s="4"/>
      <c r="P1394" s="4"/>
      <c r="Q1394" s="4"/>
      <c r="R1394" s="4"/>
      <c r="S1394" s="4"/>
      <c r="T1394" s="4"/>
      <c r="U1394" s="4"/>
      <c r="V1394" s="4"/>
      <c r="W1394" s="4"/>
    </row>
    <row r="1395" ht="15.75" customHeight="1">
      <c r="A1395" s="13">
        <f t="shared" si="9"/>
        <v>1392</v>
      </c>
      <c r="B1395" s="18">
        <f>A1395/'Orbit Info'!$G$10</f>
        <v>14.71249228</v>
      </c>
      <c r="C1395" s="13">
        <f t="shared" si="2"/>
        <v>0</v>
      </c>
      <c r="D1395" s="13">
        <f t="shared" si="3"/>
        <v>0</v>
      </c>
      <c r="E1395" s="13">
        <f t="shared" si="4"/>
        <v>1</v>
      </c>
      <c r="F1395" s="13">
        <f t="shared" si="5"/>
        <v>0</v>
      </c>
      <c r="G1395" s="13">
        <f t="shared" si="6"/>
        <v>1</v>
      </c>
      <c r="H1395" s="13">
        <f>'Orbit Info'!C1394*((C1395*$O$2)+(D1395*$O$3)+(E1395*$O$4)+(F1395*$O$5))</f>
        <v>0</v>
      </c>
      <c r="I1395" s="13">
        <f t="shared" si="7"/>
        <v>17.54526</v>
      </c>
      <c r="J1395" s="18">
        <f t="shared" si="8"/>
        <v>-0.292421</v>
      </c>
      <c r="K1395" s="18">
        <f t="shared" si="10"/>
        <v>71.0980896</v>
      </c>
      <c r="L1395" s="4"/>
      <c r="M1395" s="4"/>
      <c r="N1395" s="4"/>
      <c r="O1395" s="4"/>
      <c r="P1395" s="4"/>
      <c r="Q1395" s="4"/>
      <c r="R1395" s="4"/>
      <c r="S1395" s="4"/>
      <c r="T1395" s="4"/>
      <c r="U1395" s="4"/>
      <c r="V1395" s="4"/>
      <c r="W1395" s="4"/>
    </row>
    <row r="1396" ht="15.75" customHeight="1">
      <c r="A1396" s="13">
        <f t="shared" si="9"/>
        <v>1393</v>
      </c>
      <c r="B1396" s="18">
        <f>A1396/'Orbit Info'!$G$10</f>
        <v>14.7230616</v>
      </c>
      <c r="C1396" s="13">
        <f t="shared" si="2"/>
        <v>0</v>
      </c>
      <c r="D1396" s="13">
        <f t="shared" si="3"/>
        <v>0</v>
      </c>
      <c r="E1396" s="13">
        <f t="shared" si="4"/>
        <v>1</v>
      </c>
      <c r="F1396" s="13">
        <f t="shared" si="5"/>
        <v>0</v>
      </c>
      <c r="G1396" s="13">
        <f t="shared" si="6"/>
        <v>1</v>
      </c>
      <c r="H1396" s="13">
        <f>'Orbit Info'!C1395*((C1396*$O$2)+(D1396*$O$3)+(E1396*$O$4)+(F1396*$O$5))</f>
        <v>0</v>
      </c>
      <c r="I1396" s="13">
        <f t="shared" si="7"/>
        <v>17.54526</v>
      </c>
      <c r="J1396" s="18">
        <f t="shared" si="8"/>
        <v>-0.292421</v>
      </c>
      <c r="K1396" s="18">
        <f t="shared" si="10"/>
        <v>70.8056686</v>
      </c>
      <c r="L1396" s="4"/>
      <c r="M1396" s="4"/>
      <c r="N1396" s="4"/>
      <c r="O1396" s="4"/>
      <c r="P1396" s="4"/>
      <c r="Q1396" s="4"/>
      <c r="R1396" s="4"/>
      <c r="S1396" s="4"/>
      <c r="T1396" s="4"/>
      <c r="U1396" s="4"/>
      <c r="V1396" s="4"/>
      <c r="W1396" s="4"/>
    </row>
    <row r="1397" ht="15.75" customHeight="1">
      <c r="A1397" s="13">
        <f t="shared" si="9"/>
        <v>1394</v>
      </c>
      <c r="B1397" s="18">
        <f>A1397/'Orbit Info'!$G$10</f>
        <v>14.73363092</v>
      </c>
      <c r="C1397" s="13">
        <f t="shared" si="2"/>
        <v>0</v>
      </c>
      <c r="D1397" s="13">
        <f t="shared" si="3"/>
        <v>0</v>
      </c>
      <c r="E1397" s="13">
        <f t="shared" si="4"/>
        <v>1</v>
      </c>
      <c r="F1397" s="13">
        <f t="shared" si="5"/>
        <v>0</v>
      </c>
      <c r="G1397" s="13">
        <f t="shared" si="6"/>
        <v>1</v>
      </c>
      <c r="H1397" s="13">
        <f>'Orbit Info'!C1396*((C1397*$O$2)+(D1397*$O$3)+(E1397*$O$4)+(F1397*$O$5))</f>
        <v>0</v>
      </c>
      <c r="I1397" s="13">
        <f t="shared" si="7"/>
        <v>17.54526</v>
      </c>
      <c r="J1397" s="18">
        <f t="shared" si="8"/>
        <v>-0.292421</v>
      </c>
      <c r="K1397" s="18">
        <f t="shared" si="10"/>
        <v>70.5132476</v>
      </c>
      <c r="L1397" s="4"/>
      <c r="M1397" s="4"/>
      <c r="N1397" s="4"/>
      <c r="O1397" s="4"/>
      <c r="P1397" s="4"/>
      <c r="Q1397" s="4"/>
      <c r="R1397" s="4"/>
      <c r="S1397" s="4"/>
      <c r="T1397" s="4"/>
      <c r="U1397" s="4"/>
      <c r="V1397" s="4"/>
      <c r="W1397" s="4"/>
    </row>
    <row r="1398" ht="15.75" customHeight="1">
      <c r="A1398" s="13">
        <f t="shared" si="9"/>
        <v>1395</v>
      </c>
      <c r="B1398" s="18">
        <f>A1398/'Orbit Info'!$G$10</f>
        <v>14.74420024</v>
      </c>
      <c r="C1398" s="13">
        <f t="shared" si="2"/>
        <v>0</v>
      </c>
      <c r="D1398" s="13">
        <f t="shared" si="3"/>
        <v>0</v>
      </c>
      <c r="E1398" s="13">
        <f t="shared" si="4"/>
        <v>1</v>
      </c>
      <c r="F1398" s="13">
        <f t="shared" si="5"/>
        <v>0</v>
      </c>
      <c r="G1398" s="13">
        <f t="shared" si="6"/>
        <v>1</v>
      </c>
      <c r="H1398" s="13">
        <f>'Orbit Info'!C1397*((C1398*$O$2)+(D1398*$O$3)+(E1398*$O$4)+(F1398*$O$5))</f>
        <v>0</v>
      </c>
      <c r="I1398" s="13">
        <f t="shared" si="7"/>
        <v>17.54526</v>
      </c>
      <c r="J1398" s="18">
        <f t="shared" si="8"/>
        <v>-0.292421</v>
      </c>
      <c r="K1398" s="18">
        <f t="shared" si="10"/>
        <v>70.2208266</v>
      </c>
      <c r="L1398" s="4"/>
      <c r="M1398" s="4"/>
      <c r="N1398" s="4"/>
      <c r="O1398" s="4"/>
      <c r="P1398" s="4"/>
      <c r="Q1398" s="4"/>
      <c r="R1398" s="4"/>
      <c r="S1398" s="4"/>
      <c r="T1398" s="4"/>
      <c r="U1398" s="4"/>
      <c r="V1398" s="4"/>
      <c r="W1398" s="4"/>
    </row>
    <row r="1399" ht="15.75" customHeight="1">
      <c r="A1399" s="13">
        <f t="shared" si="9"/>
        <v>1396</v>
      </c>
      <c r="B1399" s="18">
        <f>A1399/'Orbit Info'!$G$10</f>
        <v>14.75476956</v>
      </c>
      <c r="C1399" s="13">
        <f t="shared" si="2"/>
        <v>0</v>
      </c>
      <c r="D1399" s="13">
        <f t="shared" si="3"/>
        <v>0</v>
      </c>
      <c r="E1399" s="13">
        <f t="shared" si="4"/>
        <v>1</v>
      </c>
      <c r="F1399" s="13">
        <f t="shared" si="5"/>
        <v>0</v>
      </c>
      <c r="G1399" s="13">
        <f t="shared" si="6"/>
        <v>1</v>
      </c>
      <c r="H1399" s="13">
        <f>'Orbit Info'!C1398*((C1399*$O$2)+(D1399*$O$3)+(E1399*$O$4)+(F1399*$O$5))</f>
        <v>0</v>
      </c>
      <c r="I1399" s="13">
        <f t="shared" si="7"/>
        <v>17.54526</v>
      </c>
      <c r="J1399" s="18">
        <f t="shared" si="8"/>
        <v>-0.292421</v>
      </c>
      <c r="K1399" s="18">
        <f t="shared" si="10"/>
        <v>69.9284056</v>
      </c>
      <c r="L1399" s="4"/>
      <c r="M1399" s="4"/>
      <c r="N1399" s="4"/>
      <c r="O1399" s="4"/>
      <c r="P1399" s="4"/>
      <c r="Q1399" s="4"/>
      <c r="R1399" s="4"/>
      <c r="S1399" s="4"/>
      <c r="T1399" s="4"/>
      <c r="U1399" s="4"/>
      <c r="V1399" s="4"/>
      <c r="W1399" s="4"/>
    </row>
    <row r="1400" ht="15.75" customHeight="1">
      <c r="A1400" s="13">
        <f t="shared" si="9"/>
        <v>1397</v>
      </c>
      <c r="B1400" s="18">
        <f>A1400/'Orbit Info'!$G$10</f>
        <v>14.76533887</v>
      </c>
      <c r="C1400" s="13">
        <f t="shared" si="2"/>
        <v>0</v>
      </c>
      <c r="D1400" s="13">
        <f t="shared" si="3"/>
        <v>0</v>
      </c>
      <c r="E1400" s="13">
        <f t="shared" si="4"/>
        <v>1</v>
      </c>
      <c r="F1400" s="13">
        <f t="shared" si="5"/>
        <v>0</v>
      </c>
      <c r="G1400" s="13">
        <f t="shared" si="6"/>
        <v>1</v>
      </c>
      <c r="H1400" s="13">
        <f>'Orbit Info'!C1399*((C1400*$O$2)+(D1400*$O$3)+(E1400*$O$4)+(F1400*$O$5))</f>
        <v>0</v>
      </c>
      <c r="I1400" s="13">
        <f t="shared" si="7"/>
        <v>17.54526</v>
      </c>
      <c r="J1400" s="18">
        <f t="shared" si="8"/>
        <v>-0.292421</v>
      </c>
      <c r="K1400" s="18">
        <f t="shared" si="10"/>
        <v>69.6359846</v>
      </c>
      <c r="L1400" s="4"/>
      <c r="M1400" s="4"/>
      <c r="N1400" s="4"/>
      <c r="O1400" s="4"/>
      <c r="P1400" s="4"/>
      <c r="Q1400" s="4"/>
      <c r="R1400" s="4"/>
      <c r="S1400" s="4"/>
      <c r="T1400" s="4"/>
      <c r="U1400" s="4"/>
      <c r="V1400" s="4"/>
      <c r="W1400" s="4"/>
    </row>
    <row r="1401" ht="15.75" customHeight="1">
      <c r="A1401" s="13">
        <f t="shared" si="9"/>
        <v>1398</v>
      </c>
      <c r="B1401" s="18">
        <f>A1401/'Orbit Info'!$G$10</f>
        <v>14.77590819</v>
      </c>
      <c r="C1401" s="13">
        <f t="shared" si="2"/>
        <v>0</v>
      </c>
      <c r="D1401" s="13">
        <f t="shared" si="3"/>
        <v>0</v>
      </c>
      <c r="E1401" s="13">
        <f t="shared" si="4"/>
        <v>1</v>
      </c>
      <c r="F1401" s="13">
        <f t="shared" si="5"/>
        <v>0</v>
      </c>
      <c r="G1401" s="13">
        <f t="shared" si="6"/>
        <v>1</v>
      </c>
      <c r="H1401" s="13">
        <f>'Orbit Info'!C1400*((C1401*$O$2)+(D1401*$O$3)+(E1401*$O$4)+(F1401*$O$5))</f>
        <v>0</v>
      </c>
      <c r="I1401" s="13">
        <f t="shared" si="7"/>
        <v>17.54526</v>
      </c>
      <c r="J1401" s="18">
        <f t="shared" si="8"/>
        <v>-0.292421</v>
      </c>
      <c r="K1401" s="18">
        <f t="shared" si="10"/>
        <v>69.3435636</v>
      </c>
      <c r="L1401" s="4"/>
      <c r="M1401" s="4"/>
      <c r="N1401" s="4"/>
      <c r="O1401" s="4"/>
      <c r="P1401" s="4"/>
      <c r="Q1401" s="4"/>
      <c r="R1401" s="4"/>
      <c r="S1401" s="4"/>
      <c r="T1401" s="4"/>
      <c r="U1401" s="4"/>
      <c r="V1401" s="4"/>
      <c r="W1401" s="4"/>
    </row>
    <row r="1402" ht="15.75" customHeight="1">
      <c r="A1402" s="13">
        <f t="shared" si="9"/>
        <v>1399</v>
      </c>
      <c r="B1402" s="18">
        <f>A1402/'Orbit Info'!$G$10</f>
        <v>14.78647751</v>
      </c>
      <c r="C1402" s="13">
        <f t="shared" si="2"/>
        <v>0</v>
      </c>
      <c r="D1402" s="13">
        <f t="shared" si="3"/>
        <v>0</v>
      </c>
      <c r="E1402" s="13">
        <f t="shared" si="4"/>
        <v>1</v>
      </c>
      <c r="F1402" s="13">
        <f t="shared" si="5"/>
        <v>0</v>
      </c>
      <c r="G1402" s="13">
        <f t="shared" si="6"/>
        <v>1</v>
      </c>
      <c r="H1402" s="13">
        <f>'Orbit Info'!C1401*((C1402*$O$2)+(D1402*$O$3)+(E1402*$O$4)+(F1402*$O$5))</f>
        <v>0</v>
      </c>
      <c r="I1402" s="13">
        <f t="shared" si="7"/>
        <v>17.54526</v>
      </c>
      <c r="J1402" s="18">
        <f t="shared" si="8"/>
        <v>-0.292421</v>
      </c>
      <c r="K1402" s="18">
        <f t="shared" si="10"/>
        <v>69.0511426</v>
      </c>
      <c r="L1402" s="4"/>
      <c r="M1402" s="4"/>
      <c r="N1402" s="4"/>
      <c r="O1402" s="4"/>
      <c r="P1402" s="4"/>
      <c r="Q1402" s="4"/>
      <c r="R1402" s="4"/>
      <c r="S1402" s="4"/>
      <c r="T1402" s="4"/>
      <c r="U1402" s="4"/>
      <c r="V1402" s="4"/>
      <c r="W1402" s="4"/>
    </row>
    <row r="1403" ht="15.75" customHeight="1">
      <c r="A1403" s="13">
        <f t="shared" si="9"/>
        <v>1400</v>
      </c>
      <c r="B1403" s="18">
        <f>A1403/'Orbit Info'!$G$10</f>
        <v>14.79704683</v>
      </c>
      <c r="C1403" s="13">
        <f t="shared" si="2"/>
        <v>0</v>
      </c>
      <c r="D1403" s="13">
        <f t="shared" si="3"/>
        <v>0</v>
      </c>
      <c r="E1403" s="13">
        <f t="shared" si="4"/>
        <v>1</v>
      </c>
      <c r="F1403" s="13">
        <f t="shared" si="5"/>
        <v>0</v>
      </c>
      <c r="G1403" s="13">
        <f t="shared" si="6"/>
        <v>1</v>
      </c>
      <c r="H1403" s="13">
        <f>'Orbit Info'!C1402*((C1403*$O$2)+(D1403*$O$3)+(E1403*$O$4)+(F1403*$O$5))</f>
        <v>0</v>
      </c>
      <c r="I1403" s="13">
        <f t="shared" si="7"/>
        <v>17.54526</v>
      </c>
      <c r="J1403" s="18">
        <f t="shared" si="8"/>
        <v>-0.292421</v>
      </c>
      <c r="K1403" s="18">
        <f t="shared" si="10"/>
        <v>68.7587216</v>
      </c>
      <c r="L1403" s="4"/>
      <c r="M1403" s="4"/>
      <c r="N1403" s="4"/>
      <c r="O1403" s="4"/>
      <c r="P1403" s="4"/>
      <c r="Q1403" s="4"/>
      <c r="R1403" s="4"/>
      <c r="S1403" s="4"/>
      <c r="T1403" s="4"/>
      <c r="U1403" s="4"/>
      <c r="V1403" s="4"/>
      <c r="W1403" s="4"/>
    </row>
    <row r="1404" ht="15.75" customHeight="1">
      <c r="A1404" s="13">
        <f t="shared" si="9"/>
        <v>1401</v>
      </c>
      <c r="B1404" s="18">
        <f>A1404/'Orbit Info'!$G$10</f>
        <v>14.80761615</v>
      </c>
      <c r="C1404" s="13">
        <f t="shared" si="2"/>
        <v>0</v>
      </c>
      <c r="D1404" s="13">
        <f t="shared" si="3"/>
        <v>0</v>
      </c>
      <c r="E1404" s="13">
        <f t="shared" si="4"/>
        <v>1</v>
      </c>
      <c r="F1404" s="13">
        <f t="shared" si="5"/>
        <v>0</v>
      </c>
      <c r="G1404" s="13">
        <f t="shared" si="6"/>
        <v>1</v>
      </c>
      <c r="H1404" s="13">
        <f>'Orbit Info'!C1403*((C1404*$O$2)+(D1404*$O$3)+(E1404*$O$4)+(F1404*$O$5))</f>
        <v>0</v>
      </c>
      <c r="I1404" s="13">
        <f t="shared" si="7"/>
        <v>17.54526</v>
      </c>
      <c r="J1404" s="18">
        <f t="shared" si="8"/>
        <v>-0.292421</v>
      </c>
      <c r="K1404" s="18">
        <f t="shared" si="10"/>
        <v>68.4663006</v>
      </c>
      <c r="L1404" s="4"/>
      <c r="M1404" s="4"/>
      <c r="N1404" s="4"/>
      <c r="O1404" s="4"/>
      <c r="P1404" s="4"/>
      <c r="Q1404" s="4"/>
      <c r="R1404" s="4"/>
      <c r="S1404" s="4"/>
      <c r="T1404" s="4"/>
      <c r="U1404" s="4"/>
      <c r="V1404" s="4"/>
      <c r="W1404" s="4"/>
    </row>
    <row r="1405" ht="15.75" customHeight="1">
      <c r="A1405" s="13">
        <f t="shared" si="9"/>
        <v>1402</v>
      </c>
      <c r="B1405" s="18">
        <f>A1405/'Orbit Info'!$G$10</f>
        <v>14.81818547</v>
      </c>
      <c r="C1405" s="13">
        <f t="shared" si="2"/>
        <v>0</v>
      </c>
      <c r="D1405" s="13">
        <f t="shared" si="3"/>
        <v>0</v>
      </c>
      <c r="E1405" s="13">
        <f t="shared" si="4"/>
        <v>1</v>
      </c>
      <c r="F1405" s="13">
        <f t="shared" si="5"/>
        <v>0</v>
      </c>
      <c r="G1405" s="13">
        <f t="shared" si="6"/>
        <v>1</v>
      </c>
      <c r="H1405" s="13">
        <f>'Orbit Info'!C1404*((C1405*$O$2)+(D1405*$O$3)+(E1405*$O$4)+(F1405*$O$5))</f>
        <v>0</v>
      </c>
      <c r="I1405" s="13">
        <f t="shared" si="7"/>
        <v>17.54526</v>
      </c>
      <c r="J1405" s="18">
        <f t="shared" si="8"/>
        <v>-0.292421</v>
      </c>
      <c r="K1405" s="18">
        <f t="shared" si="10"/>
        <v>68.1738796</v>
      </c>
      <c r="L1405" s="4"/>
      <c r="M1405" s="4"/>
      <c r="N1405" s="4"/>
      <c r="O1405" s="4"/>
      <c r="P1405" s="4"/>
      <c r="Q1405" s="4"/>
      <c r="R1405" s="4"/>
      <c r="S1405" s="4"/>
      <c r="T1405" s="4"/>
      <c r="U1405" s="4"/>
      <c r="V1405" s="4"/>
      <c r="W1405" s="4"/>
    </row>
    <row r="1406" ht="15.75" customHeight="1">
      <c r="A1406" s="13">
        <f t="shared" si="9"/>
        <v>1403</v>
      </c>
      <c r="B1406" s="18">
        <f>A1406/'Orbit Info'!$G$10</f>
        <v>14.82875479</v>
      </c>
      <c r="C1406" s="13">
        <f t="shared" si="2"/>
        <v>0</v>
      </c>
      <c r="D1406" s="13">
        <f t="shared" si="3"/>
        <v>0</v>
      </c>
      <c r="E1406" s="13">
        <f t="shared" si="4"/>
        <v>1</v>
      </c>
      <c r="F1406" s="13">
        <f t="shared" si="5"/>
        <v>0</v>
      </c>
      <c r="G1406" s="13">
        <f t="shared" si="6"/>
        <v>1</v>
      </c>
      <c r="H1406" s="13">
        <f>'Orbit Info'!C1405*((C1406*$O$2)+(D1406*$O$3)+(E1406*$O$4)+(F1406*$O$5))</f>
        <v>0</v>
      </c>
      <c r="I1406" s="13">
        <f t="shared" si="7"/>
        <v>17.54526</v>
      </c>
      <c r="J1406" s="18">
        <f t="shared" si="8"/>
        <v>-0.292421</v>
      </c>
      <c r="K1406" s="18">
        <f t="shared" si="10"/>
        <v>67.8814586</v>
      </c>
      <c r="L1406" s="4"/>
      <c r="M1406" s="4"/>
      <c r="N1406" s="4"/>
      <c r="O1406" s="4"/>
      <c r="P1406" s="4"/>
      <c r="Q1406" s="4"/>
      <c r="R1406" s="4"/>
      <c r="S1406" s="4"/>
      <c r="T1406" s="4"/>
      <c r="U1406" s="4"/>
      <c r="V1406" s="4"/>
      <c r="W1406" s="4"/>
    </row>
    <row r="1407" ht="15.75" customHeight="1">
      <c r="A1407" s="13">
        <f t="shared" si="9"/>
        <v>1404</v>
      </c>
      <c r="B1407" s="18">
        <f>A1407/'Orbit Info'!$G$10</f>
        <v>14.83932411</v>
      </c>
      <c r="C1407" s="13">
        <f t="shared" si="2"/>
        <v>0</v>
      </c>
      <c r="D1407" s="13">
        <f t="shared" si="3"/>
        <v>0</v>
      </c>
      <c r="E1407" s="13">
        <f t="shared" si="4"/>
        <v>1</v>
      </c>
      <c r="F1407" s="13">
        <f t="shared" si="5"/>
        <v>0</v>
      </c>
      <c r="G1407" s="13">
        <f t="shared" si="6"/>
        <v>1</v>
      </c>
      <c r="H1407" s="13">
        <f>'Orbit Info'!C1406*((C1407*$O$2)+(D1407*$O$3)+(E1407*$O$4)+(F1407*$O$5))</f>
        <v>0</v>
      </c>
      <c r="I1407" s="13">
        <f t="shared" si="7"/>
        <v>17.54526</v>
      </c>
      <c r="J1407" s="18">
        <f t="shared" si="8"/>
        <v>-0.292421</v>
      </c>
      <c r="K1407" s="18">
        <f t="shared" si="10"/>
        <v>67.5890376</v>
      </c>
      <c r="L1407" s="4"/>
      <c r="M1407" s="4"/>
      <c r="N1407" s="4"/>
      <c r="O1407" s="4"/>
      <c r="P1407" s="4"/>
      <c r="Q1407" s="4"/>
      <c r="R1407" s="4"/>
      <c r="S1407" s="4"/>
      <c r="T1407" s="4"/>
      <c r="U1407" s="4"/>
      <c r="V1407" s="4"/>
      <c r="W1407" s="4"/>
    </row>
    <row r="1408" ht="15.75" customHeight="1">
      <c r="A1408" s="13">
        <f t="shared" si="9"/>
        <v>1405</v>
      </c>
      <c r="B1408" s="18">
        <f>A1408/'Orbit Info'!$G$10</f>
        <v>14.84989343</v>
      </c>
      <c r="C1408" s="13">
        <f t="shared" si="2"/>
        <v>0</v>
      </c>
      <c r="D1408" s="13">
        <f t="shared" si="3"/>
        <v>0</v>
      </c>
      <c r="E1408" s="13">
        <f t="shared" si="4"/>
        <v>1</v>
      </c>
      <c r="F1408" s="13">
        <f t="shared" si="5"/>
        <v>0</v>
      </c>
      <c r="G1408" s="13">
        <f t="shared" si="6"/>
        <v>1</v>
      </c>
      <c r="H1408" s="13">
        <f>'Orbit Info'!C1407*((C1408*$O$2)+(D1408*$O$3)+(E1408*$O$4)+(F1408*$O$5))</f>
        <v>0</v>
      </c>
      <c r="I1408" s="13">
        <f t="shared" si="7"/>
        <v>17.54526</v>
      </c>
      <c r="J1408" s="18">
        <f t="shared" si="8"/>
        <v>-0.292421</v>
      </c>
      <c r="K1408" s="18">
        <f t="shared" si="10"/>
        <v>67.2966166</v>
      </c>
      <c r="L1408" s="4"/>
      <c r="M1408" s="4"/>
      <c r="N1408" s="4"/>
      <c r="O1408" s="4"/>
      <c r="P1408" s="4"/>
      <c r="Q1408" s="4"/>
      <c r="R1408" s="4"/>
      <c r="S1408" s="4"/>
      <c r="T1408" s="4"/>
      <c r="U1408" s="4"/>
      <c r="V1408" s="4"/>
      <c r="W1408" s="4"/>
    </row>
    <row r="1409" ht="15.75" customHeight="1">
      <c r="A1409" s="13">
        <f t="shared" si="9"/>
        <v>1406</v>
      </c>
      <c r="B1409" s="18">
        <f>A1409/'Orbit Info'!$G$10</f>
        <v>14.86046275</v>
      </c>
      <c r="C1409" s="13">
        <f t="shared" si="2"/>
        <v>0</v>
      </c>
      <c r="D1409" s="13">
        <f t="shared" si="3"/>
        <v>0</v>
      </c>
      <c r="E1409" s="13">
        <f t="shared" si="4"/>
        <v>1</v>
      </c>
      <c r="F1409" s="13">
        <f t="shared" si="5"/>
        <v>0</v>
      </c>
      <c r="G1409" s="13">
        <f t="shared" si="6"/>
        <v>1</v>
      </c>
      <c r="H1409" s="13">
        <f>'Orbit Info'!C1408*((C1409*$O$2)+(D1409*$O$3)+(E1409*$O$4)+(F1409*$O$5))</f>
        <v>0</v>
      </c>
      <c r="I1409" s="13">
        <f t="shared" si="7"/>
        <v>17.54526</v>
      </c>
      <c r="J1409" s="18">
        <f t="shared" si="8"/>
        <v>-0.292421</v>
      </c>
      <c r="K1409" s="18">
        <f t="shared" si="10"/>
        <v>67.0041956</v>
      </c>
      <c r="L1409" s="4"/>
      <c r="M1409" s="4"/>
      <c r="N1409" s="4"/>
      <c r="O1409" s="4"/>
      <c r="P1409" s="4"/>
      <c r="Q1409" s="4"/>
      <c r="R1409" s="4"/>
      <c r="S1409" s="4"/>
      <c r="T1409" s="4"/>
      <c r="U1409" s="4"/>
      <c r="V1409" s="4"/>
      <c r="W1409" s="4"/>
    </row>
    <row r="1410" ht="15.75" customHeight="1">
      <c r="A1410" s="13">
        <f t="shared" si="9"/>
        <v>1407</v>
      </c>
      <c r="B1410" s="18">
        <f>A1410/'Orbit Info'!$G$10</f>
        <v>14.87103207</v>
      </c>
      <c r="C1410" s="13">
        <f t="shared" si="2"/>
        <v>0</v>
      </c>
      <c r="D1410" s="13">
        <f t="shared" si="3"/>
        <v>0</v>
      </c>
      <c r="E1410" s="13">
        <f t="shared" si="4"/>
        <v>1</v>
      </c>
      <c r="F1410" s="13">
        <f t="shared" si="5"/>
        <v>0</v>
      </c>
      <c r="G1410" s="13">
        <f t="shared" si="6"/>
        <v>1</v>
      </c>
      <c r="H1410" s="13">
        <f>'Orbit Info'!C1409*((C1410*$O$2)+(D1410*$O$3)+(E1410*$O$4)+(F1410*$O$5))</f>
        <v>0</v>
      </c>
      <c r="I1410" s="13">
        <f t="shared" si="7"/>
        <v>17.54526</v>
      </c>
      <c r="J1410" s="18">
        <f t="shared" si="8"/>
        <v>-0.292421</v>
      </c>
      <c r="K1410" s="18">
        <f t="shared" si="10"/>
        <v>66.7117746</v>
      </c>
      <c r="L1410" s="4"/>
      <c r="M1410" s="4"/>
      <c r="N1410" s="4"/>
      <c r="O1410" s="4"/>
      <c r="P1410" s="4"/>
      <c r="Q1410" s="4"/>
      <c r="R1410" s="4"/>
      <c r="S1410" s="4"/>
      <c r="T1410" s="4"/>
      <c r="U1410" s="4"/>
      <c r="V1410" s="4"/>
      <c r="W1410" s="4"/>
    </row>
    <row r="1411" ht="15.75" customHeight="1">
      <c r="A1411" s="13">
        <f t="shared" si="9"/>
        <v>1408</v>
      </c>
      <c r="B1411" s="18">
        <f>A1411/'Orbit Info'!$G$10</f>
        <v>14.88160139</v>
      </c>
      <c r="C1411" s="13">
        <f t="shared" si="2"/>
        <v>0</v>
      </c>
      <c r="D1411" s="13">
        <f t="shared" si="3"/>
        <v>0</v>
      </c>
      <c r="E1411" s="13">
        <f t="shared" si="4"/>
        <v>1</v>
      </c>
      <c r="F1411" s="13">
        <f t="shared" si="5"/>
        <v>0</v>
      </c>
      <c r="G1411" s="13">
        <f t="shared" si="6"/>
        <v>1</v>
      </c>
      <c r="H1411" s="13">
        <f>'Orbit Info'!C1410*((C1411*$O$2)+(D1411*$O$3)+(E1411*$O$4)+(F1411*$O$5))</f>
        <v>0</v>
      </c>
      <c r="I1411" s="13">
        <f t="shared" si="7"/>
        <v>17.54526</v>
      </c>
      <c r="J1411" s="18">
        <f t="shared" si="8"/>
        <v>-0.292421</v>
      </c>
      <c r="K1411" s="18">
        <f t="shared" si="10"/>
        <v>66.4193536</v>
      </c>
      <c r="L1411" s="4"/>
      <c r="M1411" s="4"/>
      <c r="N1411" s="4"/>
      <c r="O1411" s="4"/>
      <c r="P1411" s="4"/>
      <c r="Q1411" s="4"/>
      <c r="R1411" s="4"/>
      <c r="S1411" s="4"/>
      <c r="T1411" s="4"/>
      <c r="U1411" s="4"/>
      <c r="V1411" s="4"/>
      <c r="W1411" s="4"/>
    </row>
    <row r="1412" ht="15.75" customHeight="1">
      <c r="A1412" s="13">
        <f t="shared" si="9"/>
        <v>1409</v>
      </c>
      <c r="B1412" s="18">
        <f>A1412/'Orbit Info'!$G$10</f>
        <v>14.8921707</v>
      </c>
      <c r="C1412" s="13">
        <f t="shared" si="2"/>
        <v>0</v>
      </c>
      <c r="D1412" s="13">
        <f t="shared" si="3"/>
        <v>0</v>
      </c>
      <c r="E1412" s="13">
        <f t="shared" si="4"/>
        <v>1</v>
      </c>
      <c r="F1412" s="13">
        <f t="shared" si="5"/>
        <v>0</v>
      </c>
      <c r="G1412" s="13">
        <f t="shared" si="6"/>
        <v>1</v>
      </c>
      <c r="H1412" s="13">
        <f>'Orbit Info'!C1411*((C1412*$O$2)+(D1412*$O$3)+(E1412*$O$4)+(F1412*$O$5))</f>
        <v>0</v>
      </c>
      <c r="I1412" s="13">
        <f t="shared" si="7"/>
        <v>17.54526</v>
      </c>
      <c r="J1412" s="18">
        <f t="shared" si="8"/>
        <v>-0.292421</v>
      </c>
      <c r="K1412" s="18">
        <f t="shared" si="10"/>
        <v>66.1269326</v>
      </c>
      <c r="L1412" s="4"/>
      <c r="M1412" s="4"/>
      <c r="N1412" s="4"/>
      <c r="O1412" s="4"/>
      <c r="P1412" s="4"/>
      <c r="Q1412" s="4"/>
      <c r="R1412" s="4"/>
      <c r="S1412" s="4"/>
      <c r="T1412" s="4"/>
      <c r="U1412" s="4"/>
      <c r="V1412" s="4"/>
      <c r="W1412" s="4"/>
    </row>
    <row r="1413" ht="15.75" customHeight="1">
      <c r="A1413" s="13">
        <f t="shared" si="9"/>
        <v>1410</v>
      </c>
      <c r="B1413" s="18">
        <f>A1413/'Orbit Info'!$G$10</f>
        <v>14.90274002</v>
      </c>
      <c r="C1413" s="13">
        <f t="shared" si="2"/>
        <v>0</v>
      </c>
      <c r="D1413" s="13">
        <f t="shared" si="3"/>
        <v>0</v>
      </c>
      <c r="E1413" s="13">
        <f t="shared" si="4"/>
        <v>1</v>
      </c>
      <c r="F1413" s="13">
        <f t="shared" si="5"/>
        <v>0</v>
      </c>
      <c r="G1413" s="13">
        <f t="shared" si="6"/>
        <v>1</v>
      </c>
      <c r="H1413" s="13">
        <f>'Orbit Info'!C1412*((C1413*$O$2)+(D1413*$O$3)+(E1413*$O$4)+(F1413*$O$5))</f>
        <v>0</v>
      </c>
      <c r="I1413" s="13">
        <f t="shared" si="7"/>
        <v>17.54526</v>
      </c>
      <c r="J1413" s="18">
        <f t="shared" si="8"/>
        <v>-0.292421</v>
      </c>
      <c r="K1413" s="18">
        <f t="shared" si="10"/>
        <v>65.8345116</v>
      </c>
      <c r="L1413" s="4"/>
      <c r="M1413" s="4"/>
      <c r="N1413" s="4"/>
      <c r="O1413" s="4"/>
      <c r="P1413" s="4"/>
      <c r="Q1413" s="4"/>
      <c r="R1413" s="4"/>
      <c r="S1413" s="4"/>
      <c r="T1413" s="4"/>
      <c r="U1413" s="4"/>
      <c r="V1413" s="4"/>
      <c r="W1413" s="4"/>
    </row>
    <row r="1414" ht="15.75" customHeight="1">
      <c r="A1414" s="13">
        <f t="shared" si="9"/>
        <v>1411</v>
      </c>
      <c r="B1414" s="18">
        <f>A1414/'Orbit Info'!$G$10</f>
        <v>14.91330934</v>
      </c>
      <c r="C1414" s="13">
        <f t="shared" si="2"/>
        <v>0</v>
      </c>
      <c r="D1414" s="13">
        <f t="shared" si="3"/>
        <v>0</v>
      </c>
      <c r="E1414" s="13">
        <f t="shared" si="4"/>
        <v>1</v>
      </c>
      <c r="F1414" s="13">
        <f t="shared" si="5"/>
        <v>0</v>
      </c>
      <c r="G1414" s="13">
        <f t="shared" si="6"/>
        <v>1</v>
      </c>
      <c r="H1414" s="13">
        <f>'Orbit Info'!C1413*((C1414*$O$2)+(D1414*$O$3)+(E1414*$O$4)+(F1414*$O$5))</f>
        <v>0</v>
      </c>
      <c r="I1414" s="13">
        <f t="shared" si="7"/>
        <v>17.54526</v>
      </c>
      <c r="J1414" s="18">
        <f t="shared" si="8"/>
        <v>-0.292421</v>
      </c>
      <c r="K1414" s="18">
        <f t="shared" si="10"/>
        <v>65.5420906</v>
      </c>
      <c r="L1414" s="4"/>
      <c r="M1414" s="4"/>
      <c r="N1414" s="4"/>
      <c r="O1414" s="4"/>
      <c r="P1414" s="4"/>
      <c r="Q1414" s="4"/>
      <c r="R1414" s="4"/>
      <c r="S1414" s="4"/>
      <c r="T1414" s="4"/>
      <c r="U1414" s="4"/>
      <c r="V1414" s="4"/>
      <c r="W1414" s="4"/>
    </row>
    <row r="1415" ht="15.75" customHeight="1">
      <c r="A1415" s="13">
        <f t="shared" si="9"/>
        <v>1412</v>
      </c>
      <c r="B1415" s="18">
        <f>A1415/'Orbit Info'!$G$10</f>
        <v>14.92387866</v>
      </c>
      <c r="C1415" s="13">
        <f t="shared" si="2"/>
        <v>0</v>
      </c>
      <c r="D1415" s="13">
        <f t="shared" si="3"/>
        <v>0</v>
      </c>
      <c r="E1415" s="13">
        <f t="shared" si="4"/>
        <v>1</v>
      </c>
      <c r="F1415" s="13">
        <f t="shared" si="5"/>
        <v>0</v>
      </c>
      <c r="G1415" s="13">
        <f t="shared" si="6"/>
        <v>1</v>
      </c>
      <c r="H1415" s="13">
        <f>'Orbit Info'!C1414*((C1415*$O$2)+(D1415*$O$3)+(E1415*$O$4)+(F1415*$O$5))</f>
        <v>0</v>
      </c>
      <c r="I1415" s="13">
        <f t="shared" si="7"/>
        <v>17.54526</v>
      </c>
      <c r="J1415" s="18">
        <f t="shared" si="8"/>
        <v>-0.292421</v>
      </c>
      <c r="K1415" s="18">
        <f t="shared" si="10"/>
        <v>65.2496696</v>
      </c>
      <c r="L1415" s="4"/>
      <c r="M1415" s="4"/>
      <c r="N1415" s="4"/>
      <c r="O1415" s="4"/>
      <c r="P1415" s="4"/>
      <c r="Q1415" s="4"/>
      <c r="R1415" s="4"/>
      <c r="S1415" s="4"/>
      <c r="T1415" s="4"/>
      <c r="U1415" s="4"/>
      <c r="V1415" s="4"/>
      <c r="W1415" s="4"/>
    </row>
    <row r="1416" ht="15.75" customHeight="1">
      <c r="A1416" s="13">
        <f t="shared" si="9"/>
        <v>1413</v>
      </c>
      <c r="B1416" s="18">
        <f>A1416/'Orbit Info'!$G$10</f>
        <v>14.93444798</v>
      </c>
      <c r="C1416" s="13">
        <f t="shared" si="2"/>
        <v>0</v>
      </c>
      <c r="D1416" s="13">
        <f t="shared" si="3"/>
        <v>0</v>
      </c>
      <c r="E1416" s="13">
        <f t="shared" si="4"/>
        <v>1</v>
      </c>
      <c r="F1416" s="13">
        <f t="shared" si="5"/>
        <v>0</v>
      </c>
      <c r="G1416" s="13">
        <f t="shared" si="6"/>
        <v>1</v>
      </c>
      <c r="H1416" s="13">
        <f>'Orbit Info'!C1415*((C1416*$O$2)+(D1416*$O$3)+(E1416*$O$4)+(F1416*$O$5))</f>
        <v>0</v>
      </c>
      <c r="I1416" s="13">
        <f t="shared" si="7"/>
        <v>17.54526</v>
      </c>
      <c r="J1416" s="18">
        <f t="shared" si="8"/>
        <v>-0.292421</v>
      </c>
      <c r="K1416" s="18">
        <f t="shared" si="10"/>
        <v>64.9572486</v>
      </c>
      <c r="L1416" s="4"/>
      <c r="M1416" s="4"/>
      <c r="N1416" s="4"/>
      <c r="O1416" s="4"/>
      <c r="P1416" s="4"/>
      <c r="Q1416" s="4"/>
      <c r="R1416" s="4"/>
      <c r="S1416" s="4"/>
      <c r="T1416" s="4"/>
      <c r="U1416" s="4"/>
      <c r="V1416" s="4"/>
      <c r="W1416" s="4"/>
    </row>
    <row r="1417" ht="15.75" customHeight="1">
      <c r="A1417" s="13">
        <f t="shared" si="9"/>
        <v>1414</v>
      </c>
      <c r="B1417" s="18">
        <f>A1417/'Orbit Info'!$G$10</f>
        <v>14.9450173</v>
      </c>
      <c r="C1417" s="13">
        <f t="shared" si="2"/>
        <v>0</v>
      </c>
      <c r="D1417" s="13">
        <f t="shared" si="3"/>
        <v>0</v>
      </c>
      <c r="E1417" s="13">
        <f t="shared" si="4"/>
        <v>1</v>
      </c>
      <c r="F1417" s="13">
        <f t="shared" si="5"/>
        <v>0</v>
      </c>
      <c r="G1417" s="13">
        <f t="shared" si="6"/>
        <v>1</v>
      </c>
      <c r="H1417" s="13">
        <f>'Orbit Info'!C1416*((C1417*$O$2)+(D1417*$O$3)+(E1417*$O$4)+(F1417*$O$5))</f>
        <v>0</v>
      </c>
      <c r="I1417" s="13">
        <f t="shared" si="7"/>
        <v>17.54526</v>
      </c>
      <c r="J1417" s="18">
        <f t="shared" si="8"/>
        <v>-0.292421</v>
      </c>
      <c r="K1417" s="18">
        <f t="shared" si="10"/>
        <v>64.6648276</v>
      </c>
      <c r="L1417" s="4"/>
      <c r="M1417" s="4"/>
      <c r="N1417" s="4"/>
      <c r="O1417" s="4"/>
      <c r="P1417" s="4"/>
      <c r="Q1417" s="4"/>
      <c r="R1417" s="4"/>
      <c r="S1417" s="4"/>
      <c r="T1417" s="4"/>
      <c r="U1417" s="4"/>
      <c r="V1417" s="4"/>
      <c r="W1417" s="4"/>
    </row>
    <row r="1418" ht="15.75" customHeight="1">
      <c r="A1418" s="13">
        <f t="shared" si="9"/>
        <v>1415</v>
      </c>
      <c r="B1418" s="18">
        <f>A1418/'Orbit Info'!$G$10</f>
        <v>14.95558662</v>
      </c>
      <c r="C1418" s="13">
        <f t="shared" si="2"/>
        <v>0</v>
      </c>
      <c r="D1418" s="13">
        <f t="shared" si="3"/>
        <v>0</v>
      </c>
      <c r="E1418" s="13">
        <f t="shared" si="4"/>
        <v>1</v>
      </c>
      <c r="F1418" s="13">
        <f t="shared" si="5"/>
        <v>0</v>
      </c>
      <c r="G1418" s="13">
        <f t="shared" si="6"/>
        <v>1</v>
      </c>
      <c r="H1418" s="13">
        <f>'Orbit Info'!C1417*((C1418*$O$2)+(D1418*$O$3)+(E1418*$O$4)+(F1418*$O$5))</f>
        <v>0</v>
      </c>
      <c r="I1418" s="13">
        <f t="shared" si="7"/>
        <v>17.54526</v>
      </c>
      <c r="J1418" s="18">
        <f t="shared" si="8"/>
        <v>-0.292421</v>
      </c>
      <c r="K1418" s="18">
        <f t="shared" si="10"/>
        <v>64.3724066</v>
      </c>
      <c r="L1418" s="4"/>
      <c r="M1418" s="4"/>
      <c r="N1418" s="4"/>
      <c r="O1418" s="4"/>
      <c r="P1418" s="4"/>
      <c r="Q1418" s="4"/>
      <c r="R1418" s="4"/>
      <c r="S1418" s="4"/>
      <c r="T1418" s="4"/>
      <c r="U1418" s="4"/>
      <c r="V1418" s="4"/>
      <c r="W1418" s="4"/>
    </row>
    <row r="1419" ht="15.75" customHeight="1">
      <c r="A1419" s="13">
        <f t="shared" si="9"/>
        <v>1416</v>
      </c>
      <c r="B1419" s="18">
        <f>A1419/'Orbit Info'!$G$10</f>
        <v>14.96615594</v>
      </c>
      <c r="C1419" s="13">
        <f t="shared" si="2"/>
        <v>0</v>
      </c>
      <c r="D1419" s="13">
        <f t="shared" si="3"/>
        <v>0</v>
      </c>
      <c r="E1419" s="13">
        <f t="shared" si="4"/>
        <v>1</v>
      </c>
      <c r="F1419" s="13">
        <f t="shared" si="5"/>
        <v>0</v>
      </c>
      <c r="G1419" s="13">
        <f t="shared" si="6"/>
        <v>1</v>
      </c>
      <c r="H1419" s="13">
        <f>'Orbit Info'!C1418*((C1419*$O$2)+(D1419*$O$3)+(E1419*$O$4)+(F1419*$O$5))</f>
        <v>0</v>
      </c>
      <c r="I1419" s="13">
        <f t="shared" si="7"/>
        <v>17.54526</v>
      </c>
      <c r="J1419" s="18">
        <f t="shared" si="8"/>
        <v>-0.292421</v>
      </c>
      <c r="K1419" s="18">
        <f t="shared" si="10"/>
        <v>64.0799856</v>
      </c>
      <c r="L1419" s="4"/>
      <c r="M1419" s="4"/>
      <c r="N1419" s="4"/>
      <c r="O1419" s="4"/>
      <c r="P1419" s="4"/>
      <c r="Q1419" s="4"/>
      <c r="R1419" s="4"/>
      <c r="S1419" s="4"/>
      <c r="T1419" s="4"/>
      <c r="U1419" s="4"/>
      <c r="V1419" s="4"/>
      <c r="W1419" s="4"/>
    </row>
    <row r="1420" ht="15.75" customHeight="1">
      <c r="A1420" s="13">
        <f t="shared" si="9"/>
        <v>1417</v>
      </c>
      <c r="B1420" s="18">
        <f>A1420/'Orbit Info'!$G$10</f>
        <v>14.97672526</v>
      </c>
      <c r="C1420" s="13">
        <f t="shared" si="2"/>
        <v>0</v>
      </c>
      <c r="D1420" s="13">
        <f t="shared" si="3"/>
        <v>0</v>
      </c>
      <c r="E1420" s="13">
        <f t="shared" si="4"/>
        <v>1</v>
      </c>
      <c r="F1420" s="13">
        <f t="shared" si="5"/>
        <v>0</v>
      </c>
      <c r="G1420" s="13">
        <f t="shared" si="6"/>
        <v>1</v>
      </c>
      <c r="H1420" s="13">
        <f>'Orbit Info'!C1419*((C1420*$O$2)+(D1420*$O$3)+(E1420*$O$4)+(F1420*$O$5))</f>
        <v>0</v>
      </c>
      <c r="I1420" s="13">
        <f t="shared" si="7"/>
        <v>17.54526</v>
      </c>
      <c r="J1420" s="18">
        <f t="shared" si="8"/>
        <v>-0.292421</v>
      </c>
      <c r="K1420" s="18">
        <f t="shared" si="10"/>
        <v>63.7875646</v>
      </c>
      <c r="L1420" s="4"/>
      <c r="M1420" s="4"/>
      <c r="N1420" s="4"/>
      <c r="O1420" s="4"/>
      <c r="P1420" s="4"/>
      <c r="Q1420" s="4"/>
      <c r="R1420" s="4"/>
      <c r="S1420" s="4"/>
      <c r="T1420" s="4"/>
      <c r="U1420" s="4"/>
      <c r="V1420" s="4"/>
      <c r="W1420" s="4"/>
    </row>
    <row r="1421" ht="15.75" customHeight="1">
      <c r="A1421" s="13">
        <f t="shared" si="9"/>
        <v>1418</v>
      </c>
      <c r="B1421" s="18">
        <f>A1421/'Orbit Info'!$G$10</f>
        <v>14.98729458</v>
      </c>
      <c r="C1421" s="13">
        <f t="shared" si="2"/>
        <v>0</v>
      </c>
      <c r="D1421" s="13">
        <f t="shared" si="3"/>
        <v>0</v>
      </c>
      <c r="E1421" s="13">
        <f t="shared" si="4"/>
        <v>1</v>
      </c>
      <c r="F1421" s="13">
        <f t="shared" si="5"/>
        <v>0</v>
      </c>
      <c r="G1421" s="13">
        <f t="shared" si="6"/>
        <v>1</v>
      </c>
      <c r="H1421" s="13">
        <f>'Orbit Info'!C1420*((C1421*$O$2)+(D1421*$O$3)+(E1421*$O$4)+(F1421*$O$5))</f>
        <v>0</v>
      </c>
      <c r="I1421" s="13">
        <f t="shared" si="7"/>
        <v>17.54526</v>
      </c>
      <c r="J1421" s="18">
        <f t="shared" si="8"/>
        <v>-0.292421</v>
      </c>
      <c r="K1421" s="18">
        <f t="shared" si="10"/>
        <v>63.4951436</v>
      </c>
      <c r="L1421" s="4"/>
      <c r="M1421" s="4"/>
      <c r="N1421" s="4"/>
      <c r="O1421" s="4"/>
      <c r="P1421" s="4"/>
      <c r="Q1421" s="4"/>
      <c r="R1421" s="4"/>
      <c r="S1421" s="4"/>
      <c r="T1421" s="4"/>
      <c r="U1421" s="4"/>
      <c r="V1421" s="4"/>
      <c r="W1421" s="4"/>
    </row>
    <row r="1422" ht="15.75" customHeight="1">
      <c r="A1422" s="13">
        <f t="shared" si="9"/>
        <v>1419</v>
      </c>
      <c r="B1422" s="18">
        <f>A1422/'Orbit Info'!$G$10</f>
        <v>14.9978639</v>
      </c>
      <c r="C1422" s="13">
        <f t="shared" si="2"/>
        <v>0</v>
      </c>
      <c r="D1422" s="13">
        <f t="shared" si="3"/>
        <v>0</v>
      </c>
      <c r="E1422" s="13">
        <f t="shared" si="4"/>
        <v>1</v>
      </c>
      <c r="F1422" s="13">
        <f t="shared" si="5"/>
        <v>0</v>
      </c>
      <c r="G1422" s="13">
        <f t="shared" si="6"/>
        <v>1</v>
      </c>
      <c r="H1422" s="13">
        <f>'Orbit Info'!C1421*((C1422*$O$2)+(D1422*$O$3)+(E1422*$O$4)+(F1422*$O$5))</f>
        <v>0</v>
      </c>
      <c r="I1422" s="13">
        <f t="shared" si="7"/>
        <v>17.54526</v>
      </c>
      <c r="J1422" s="18">
        <f t="shared" si="8"/>
        <v>-0.292421</v>
      </c>
      <c r="K1422" s="18">
        <f t="shared" si="10"/>
        <v>63.2027226</v>
      </c>
      <c r="L1422" s="4"/>
      <c r="M1422" s="4"/>
      <c r="N1422" s="4"/>
      <c r="O1422" s="4"/>
      <c r="P1422" s="4"/>
      <c r="Q1422" s="4"/>
      <c r="R1422" s="4"/>
      <c r="S1422" s="4"/>
      <c r="T1422" s="4"/>
      <c r="U1422" s="4"/>
      <c r="V1422" s="4"/>
      <c r="W1422" s="4"/>
    </row>
    <row r="1423" ht="15.75" customHeight="1">
      <c r="A1423" s="13">
        <f t="shared" si="9"/>
        <v>1420</v>
      </c>
      <c r="B1423" s="18">
        <f>A1423/'Orbit Info'!$G$10</f>
        <v>15.00843322</v>
      </c>
      <c r="C1423" s="13">
        <f t="shared" si="2"/>
        <v>0</v>
      </c>
      <c r="D1423" s="13">
        <f t="shared" si="3"/>
        <v>0</v>
      </c>
      <c r="E1423" s="13">
        <f t="shared" si="4"/>
        <v>1</v>
      </c>
      <c r="F1423" s="13">
        <f t="shared" si="5"/>
        <v>0</v>
      </c>
      <c r="G1423" s="13">
        <f t="shared" si="6"/>
        <v>1</v>
      </c>
      <c r="H1423" s="13">
        <f>'Orbit Info'!C1422*((C1423*$O$2)+(D1423*$O$3)+(E1423*$O$4)+(F1423*$O$5))</f>
        <v>11.721024</v>
      </c>
      <c r="I1423" s="13">
        <f t="shared" si="7"/>
        <v>17.54526</v>
      </c>
      <c r="J1423" s="18">
        <f t="shared" si="8"/>
        <v>-0.0970706</v>
      </c>
      <c r="K1423" s="18">
        <f t="shared" si="10"/>
        <v>63.105652</v>
      </c>
      <c r="L1423" s="4"/>
      <c r="M1423" s="4"/>
      <c r="N1423" s="4"/>
      <c r="O1423" s="4"/>
      <c r="P1423" s="4"/>
      <c r="Q1423" s="4"/>
      <c r="R1423" s="4"/>
      <c r="S1423" s="4"/>
      <c r="T1423" s="4"/>
      <c r="U1423" s="4"/>
      <c r="V1423" s="4"/>
      <c r="W1423" s="4"/>
    </row>
    <row r="1424" ht="15.75" customHeight="1">
      <c r="A1424" s="13">
        <f t="shared" si="9"/>
        <v>1421</v>
      </c>
      <c r="B1424" s="18">
        <f>A1424/'Orbit Info'!$G$10</f>
        <v>15.01900253</v>
      </c>
      <c r="C1424" s="13">
        <f t="shared" si="2"/>
        <v>0</v>
      </c>
      <c r="D1424" s="13">
        <f t="shared" si="3"/>
        <v>0</v>
      </c>
      <c r="E1424" s="13">
        <f t="shared" si="4"/>
        <v>1</v>
      </c>
      <c r="F1424" s="13">
        <f t="shared" si="5"/>
        <v>0</v>
      </c>
      <c r="G1424" s="13">
        <f t="shared" si="6"/>
        <v>1</v>
      </c>
      <c r="H1424" s="13">
        <f>'Orbit Info'!C1423*((C1424*$O$2)+(D1424*$O$3)+(E1424*$O$4)+(F1424*$O$5))</f>
        <v>11.721024</v>
      </c>
      <c r="I1424" s="13">
        <f t="shared" si="7"/>
        <v>17.54526</v>
      </c>
      <c r="J1424" s="18">
        <f t="shared" si="8"/>
        <v>-0.0970706</v>
      </c>
      <c r="K1424" s="18">
        <f t="shared" si="10"/>
        <v>63.0085814</v>
      </c>
      <c r="L1424" s="4"/>
      <c r="M1424" s="4"/>
      <c r="N1424" s="4"/>
      <c r="O1424" s="4"/>
      <c r="P1424" s="4"/>
      <c r="Q1424" s="4"/>
      <c r="R1424" s="4"/>
      <c r="S1424" s="4"/>
      <c r="T1424" s="4"/>
      <c r="U1424" s="4"/>
      <c r="V1424" s="4"/>
      <c r="W1424" s="4"/>
    </row>
    <row r="1425" ht="15.75" customHeight="1">
      <c r="A1425" s="13">
        <f t="shared" si="9"/>
        <v>1422</v>
      </c>
      <c r="B1425" s="18">
        <f>A1425/'Orbit Info'!$G$10</f>
        <v>15.02957185</v>
      </c>
      <c r="C1425" s="13">
        <f t="shared" si="2"/>
        <v>0</v>
      </c>
      <c r="D1425" s="13">
        <f t="shared" si="3"/>
        <v>0</v>
      </c>
      <c r="E1425" s="13">
        <f t="shared" si="4"/>
        <v>1</v>
      </c>
      <c r="F1425" s="13">
        <f t="shared" si="5"/>
        <v>0</v>
      </c>
      <c r="G1425" s="13">
        <f t="shared" si="6"/>
        <v>1</v>
      </c>
      <c r="H1425" s="13">
        <f>'Orbit Info'!C1424*((C1425*$O$2)+(D1425*$O$3)+(E1425*$O$4)+(F1425*$O$5))</f>
        <v>11.721024</v>
      </c>
      <c r="I1425" s="13">
        <f t="shared" si="7"/>
        <v>17.54526</v>
      </c>
      <c r="J1425" s="18">
        <f t="shared" si="8"/>
        <v>-0.0970706</v>
      </c>
      <c r="K1425" s="18">
        <f t="shared" si="10"/>
        <v>62.9115108</v>
      </c>
      <c r="L1425" s="4"/>
      <c r="M1425" s="4"/>
      <c r="N1425" s="4"/>
      <c r="O1425" s="4"/>
      <c r="P1425" s="4"/>
      <c r="Q1425" s="4"/>
      <c r="R1425" s="4"/>
      <c r="S1425" s="4"/>
      <c r="T1425" s="4"/>
      <c r="U1425" s="4"/>
      <c r="V1425" s="4"/>
      <c r="W1425" s="4"/>
    </row>
    <row r="1426" ht="15.75" customHeight="1">
      <c r="A1426" s="13">
        <f t="shared" si="9"/>
        <v>1423</v>
      </c>
      <c r="B1426" s="18">
        <f>A1426/'Orbit Info'!$G$10</f>
        <v>15.04014117</v>
      </c>
      <c r="C1426" s="13">
        <f t="shared" si="2"/>
        <v>0</v>
      </c>
      <c r="D1426" s="13">
        <f t="shared" si="3"/>
        <v>0</v>
      </c>
      <c r="E1426" s="13">
        <f t="shared" si="4"/>
        <v>1</v>
      </c>
      <c r="F1426" s="13">
        <f t="shared" si="5"/>
        <v>0</v>
      </c>
      <c r="G1426" s="13">
        <f t="shared" si="6"/>
        <v>1</v>
      </c>
      <c r="H1426" s="13">
        <f>'Orbit Info'!C1425*((C1426*$O$2)+(D1426*$O$3)+(E1426*$O$4)+(F1426*$O$5))</f>
        <v>11.721024</v>
      </c>
      <c r="I1426" s="13">
        <f t="shared" si="7"/>
        <v>17.54526</v>
      </c>
      <c r="J1426" s="18">
        <f t="shared" si="8"/>
        <v>-0.0970706</v>
      </c>
      <c r="K1426" s="18">
        <f t="shared" si="10"/>
        <v>62.8144402</v>
      </c>
      <c r="L1426" s="4"/>
      <c r="M1426" s="4"/>
      <c r="N1426" s="4"/>
      <c r="O1426" s="4"/>
      <c r="P1426" s="4"/>
      <c r="Q1426" s="4"/>
      <c r="R1426" s="4"/>
      <c r="S1426" s="4"/>
      <c r="T1426" s="4"/>
      <c r="U1426" s="4"/>
      <c r="V1426" s="4"/>
      <c r="W1426" s="4"/>
    </row>
    <row r="1427" ht="15.75" customHeight="1">
      <c r="A1427" s="13">
        <f t="shared" si="9"/>
        <v>1424</v>
      </c>
      <c r="B1427" s="18">
        <f>A1427/'Orbit Info'!$G$10</f>
        <v>15.05071049</v>
      </c>
      <c r="C1427" s="13">
        <f t="shared" si="2"/>
        <v>0</v>
      </c>
      <c r="D1427" s="13">
        <f t="shared" si="3"/>
        <v>0</v>
      </c>
      <c r="E1427" s="13">
        <f t="shared" si="4"/>
        <v>1</v>
      </c>
      <c r="F1427" s="13">
        <f t="shared" si="5"/>
        <v>0</v>
      </c>
      <c r="G1427" s="13">
        <f t="shared" si="6"/>
        <v>1</v>
      </c>
      <c r="H1427" s="13">
        <f>'Orbit Info'!C1426*((C1427*$O$2)+(D1427*$O$3)+(E1427*$O$4)+(F1427*$O$5))</f>
        <v>11.721024</v>
      </c>
      <c r="I1427" s="13">
        <f t="shared" si="7"/>
        <v>17.54526</v>
      </c>
      <c r="J1427" s="18">
        <f t="shared" si="8"/>
        <v>-0.0970706</v>
      </c>
      <c r="K1427" s="18">
        <f t="shared" si="10"/>
        <v>62.7173696</v>
      </c>
      <c r="L1427" s="4"/>
      <c r="M1427" s="4"/>
      <c r="N1427" s="4"/>
      <c r="O1427" s="4"/>
      <c r="P1427" s="4"/>
      <c r="Q1427" s="4"/>
      <c r="R1427" s="4"/>
      <c r="S1427" s="4"/>
      <c r="T1427" s="4"/>
      <c r="U1427" s="4"/>
      <c r="V1427" s="4"/>
      <c r="W1427" s="4"/>
    </row>
    <row r="1428" ht="15.75" customHeight="1">
      <c r="A1428" s="13">
        <f t="shared" si="9"/>
        <v>1425</v>
      </c>
      <c r="B1428" s="18">
        <f>A1428/'Orbit Info'!$G$10</f>
        <v>15.06127981</v>
      </c>
      <c r="C1428" s="13">
        <f t="shared" si="2"/>
        <v>0</v>
      </c>
      <c r="D1428" s="13">
        <f t="shared" si="3"/>
        <v>0</v>
      </c>
      <c r="E1428" s="13">
        <f t="shared" si="4"/>
        <v>1</v>
      </c>
      <c r="F1428" s="13">
        <f t="shared" si="5"/>
        <v>0</v>
      </c>
      <c r="G1428" s="13">
        <f t="shared" si="6"/>
        <v>1</v>
      </c>
      <c r="H1428" s="13">
        <f>'Orbit Info'!C1427*((C1428*$O$2)+(D1428*$O$3)+(E1428*$O$4)+(F1428*$O$5))</f>
        <v>11.721024</v>
      </c>
      <c r="I1428" s="13">
        <f t="shared" si="7"/>
        <v>17.54526</v>
      </c>
      <c r="J1428" s="18">
        <f t="shared" si="8"/>
        <v>-0.0970706</v>
      </c>
      <c r="K1428" s="18">
        <f t="shared" si="10"/>
        <v>62.620299</v>
      </c>
      <c r="L1428" s="4"/>
      <c r="M1428" s="4"/>
      <c r="N1428" s="4"/>
      <c r="O1428" s="4"/>
      <c r="P1428" s="4"/>
      <c r="Q1428" s="4"/>
      <c r="R1428" s="4"/>
      <c r="S1428" s="4"/>
      <c r="T1428" s="4"/>
      <c r="U1428" s="4"/>
      <c r="V1428" s="4"/>
      <c r="W1428" s="4"/>
    </row>
    <row r="1429" ht="15.75" customHeight="1">
      <c r="A1429" s="13">
        <f t="shared" si="9"/>
        <v>1426</v>
      </c>
      <c r="B1429" s="18">
        <f>A1429/'Orbit Info'!$G$10</f>
        <v>15.07184913</v>
      </c>
      <c r="C1429" s="13">
        <f t="shared" si="2"/>
        <v>0</v>
      </c>
      <c r="D1429" s="13">
        <f t="shared" si="3"/>
        <v>0</v>
      </c>
      <c r="E1429" s="13">
        <f t="shared" si="4"/>
        <v>1</v>
      </c>
      <c r="F1429" s="13">
        <f t="shared" si="5"/>
        <v>0</v>
      </c>
      <c r="G1429" s="13">
        <f t="shared" si="6"/>
        <v>1</v>
      </c>
      <c r="H1429" s="13">
        <f>'Orbit Info'!C1428*((C1429*$O$2)+(D1429*$O$3)+(E1429*$O$4)+(F1429*$O$5))</f>
        <v>11.721024</v>
      </c>
      <c r="I1429" s="13">
        <f t="shared" si="7"/>
        <v>17.54526</v>
      </c>
      <c r="J1429" s="18">
        <f t="shared" si="8"/>
        <v>-0.0970706</v>
      </c>
      <c r="K1429" s="18">
        <f t="shared" si="10"/>
        <v>62.5232284</v>
      </c>
      <c r="L1429" s="4"/>
      <c r="M1429" s="4"/>
      <c r="N1429" s="4"/>
      <c r="O1429" s="4"/>
      <c r="P1429" s="4"/>
      <c r="Q1429" s="4"/>
      <c r="R1429" s="4"/>
      <c r="S1429" s="4"/>
      <c r="T1429" s="4"/>
      <c r="U1429" s="4"/>
      <c r="V1429" s="4"/>
      <c r="W1429" s="4"/>
    </row>
    <row r="1430" ht="15.75" customHeight="1">
      <c r="A1430" s="13">
        <f t="shared" si="9"/>
        <v>1427</v>
      </c>
      <c r="B1430" s="18">
        <f>A1430/'Orbit Info'!$G$10</f>
        <v>15.08241845</v>
      </c>
      <c r="C1430" s="13">
        <f t="shared" si="2"/>
        <v>0</v>
      </c>
      <c r="D1430" s="13">
        <f t="shared" si="3"/>
        <v>0</v>
      </c>
      <c r="E1430" s="13">
        <f t="shared" si="4"/>
        <v>1</v>
      </c>
      <c r="F1430" s="13">
        <f t="shared" si="5"/>
        <v>0</v>
      </c>
      <c r="G1430" s="13">
        <f t="shared" si="6"/>
        <v>1</v>
      </c>
      <c r="H1430" s="13">
        <f>'Orbit Info'!C1429*((C1430*$O$2)+(D1430*$O$3)+(E1430*$O$4)+(F1430*$O$5))</f>
        <v>11.721024</v>
      </c>
      <c r="I1430" s="13">
        <f t="shared" si="7"/>
        <v>17.54526</v>
      </c>
      <c r="J1430" s="18">
        <f t="shared" si="8"/>
        <v>-0.0970706</v>
      </c>
      <c r="K1430" s="18">
        <f t="shared" si="10"/>
        <v>62.4261578</v>
      </c>
      <c r="L1430" s="4"/>
      <c r="M1430" s="4"/>
      <c r="N1430" s="4"/>
      <c r="O1430" s="4"/>
      <c r="P1430" s="4"/>
      <c r="Q1430" s="4"/>
      <c r="R1430" s="4"/>
      <c r="S1430" s="4"/>
      <c r="T1430" s="4"/>
      <c r="U1430" s="4"/>
      <c r="V1430" s="4"/>
      <c r="W1430" s="4"/>
    </row>
    <row r="1431" ht="15.75" customHeight="1">
      <c r="A1431" s="13">
        <f t="shared" si="9"/>
        <v>1428</v>
      </c>
      <c r="B1431" s="18">
        <f>A1431/'Orbit Info'!$G$10</f>
        <v>15.09298777</v>
      </c>
      <c r="C1431" s="13">
        <f t="shared" si="2"/>
        <v>0</v>
      </c>
      <c r="D1431" s="13">
        <f t="shared" si="3"/>
        <v>0</v>
      </c>
      <c r="E1431" s="13">
        <f t="shared" si="4"/>
        <v>1</v>
      </c>
      <c r="F1431" s="13">
        <f t="shared" si="5"/>
        <v>0</v>
      </c>
      <c r="G1431" s="13">
        <f t="shared" si="6"/>
        <v>1</v>
      </c>
      <c r="H1431" s="13">
        <f>'Orbit Info'!C1430*((C1431*$O$2)+(D1431*$O$3)+(E1431*$O$4)+(F1431*$O$5))</f>
        <v>11.721024</v>
      </c>
      <c r="I1431" s="13">
        <f t="shared" si="7"/>
        <v>17.54526</v>
      </c>
      <c r="J1431" s="18">
        <f t="shared" si="8"/>
        <v>-0.0970706</v>
      </c>
      <c r="K1431" s="18">
        <f t="shared" si="10"/>
        <v>62.3290872</v>
      </c>
      <c r="L1431" s="4"/>
      <c r="M1431" s="4"/>
      <c r="N1431" s="4"/>
      <c r="O1431" s="4"/>
      <c r="P1431" s="4"/>
      <c r="Q1431" s="4"/>
      <c r="R1431" s="4"/>
      <c r="S1431" s="4"/>
      <c r="T1431" s="4"/>
      <c r="U1431" s="4"/>
      <c r="V1431" s="4"/>
      <c r="W1431" s="4"/>
    </row>
    <row r="1432" ht="15.75" customHeight="1">
      <c r="A1432" s="13">
        <f t="shared" si="9"/>
        <v>1429</v>
      </c>
      <c r="B1432" s="18">
        <f>A1432/'Orbit Info'!$G$10</f>
        <v>15.10355709</v>
      </c>
      <c r="C1432" s="13">
        <f t="shared" si="2"/>
        <v>0</v>
      </c>
      <c r="D1432" s="13">
        <f t="shared" si="3"/>
        <v>0</v>
      </c>
      <c r="E1432" s="13">
        <f t="shared" si="4"/>
        <v>1</v>
      </c>
      <c r="F1432" s="13">
        <f t="shared" si="5"/>
        <v>0</v>
      </c>
      <c r="G1432" s="13">
        <f t="shared" si="6"/>
        <v>1</v>
      </c>
      <c r="H1432" s="13">
        <f>'Orbit Info'!C1431*((C1432*$O$2)+(D1432*$O$3)+(E1432*$O$4)+(F1432*$O$5))</f>
        <v>11.721024</v>
      </c>
      <c r="I1432" s="13">
        <f t="shared" si="7"/>
        <v>17.54526</v>
      </c>
      <c r="J1432" s="18">
        <f t="shared" si="8"/>
        <v>-0.0970706</v>
      </c>
      <c r="K1432" s="18">
        <f t="shared" si="10"/>
        <v>62.2320166</v>
      </c>
      <c r="L1432" s="4"/>
      <c r="M1432" s="4"/>
      <c r="N1432" s="4"/>
      <c r="O1432" s="4"/>
      <c r="P1432" s="4"/>
      <c r="Q1432" s="4"/>
      <c r="R1432" s="4"/>
      <c r="S1432" s="4"/>
      <c r="T1432" s="4"/>
      <c r="U1432" s="4"/>
      <c r="V1432" s="4"/>
      <c r="W1432" s="4"/>
    </row>
    <row r="1433" ht="15.75" customHeight="1">
      <c r="A1433" s="13">
        <f t="shared" si="9"/>
        <v>1430</v>
      </c>
      <c r="B1433" s="18">
        <f>A1433/'Orbit Info'!$G$10</f>
        <v>15.11412641</v>
      </c>
      <c r="C1433" s="13">
        <f t="shared" si="2"/>
        <v>0</v>
      </c>
      <c r="D1433" s="13">
        <f t="shared" si="3"/>
        <v>0</v>
      </c>
      <c r="E1433" s="13">
        <f t="shared" si="4"/>
        <v>1</v>
      </c>
      <c r="F1433" s="13">
        <f t="shared" si="5"/>
        <v>0</v>
      </c>
      <c r="G1433" s="13">
        <f t="shared" si="6"/>
        <v>1</v>
      </c>
      <c r="H1433" s="13">
        <f>'Orbit Info'!C1432*((C1433*$O$2)+(D1433*$O$3)+(E1433*$O$4)+(F1433*$O$5))</f>
        <v>11.721024</v>
      </c>
      <c r="I1433" s="13">
        <f t="shared" si="7"/>
        <v>17.54526</v>
      </c>
      <c r="J1433" s="18">
        <f t="shared" si="8"/>
        <v>-0.0970706</v>
      </c>
      <c r="K1433" s="18">
        <f t="shared" si="10"/>
        <v>62.134946</v>
      </c>
      <c r="L1433" s="4"/>
      <c r="M1433" s="4"/>
      <c r="N1433" s="4"/>
      <c r="O1433" s="4"/>
      <c r="P1433" s="4"/>
      <c r="Q1433" s="4"/>
      <c r="R1433" s="4"/>
      <c r="S1433" s="4"/>
      <c r="T1433" s="4"/>
      <c r="U1433" s="4"/>
      <c r="V1433" s="4"/>
      <c r="W1433" s="4"/>
    </row>
    <row r="1434" ht="15.75" customHeight="1">
      <c r="A1434" s="13">
        <f t="shared" si="9"/>
        <v>1431</v>
      </c>
      <c r="B1434" s="18">
        <f>A1434/'Orbit Info'!$G$10</f>
        <v>15.12469573</v>
      </c>
      <c r="C1434" s="13">
        <f t="shared" si="2"/>
        <v>0</v>
      </c>
      <c r="D1434" s="13">
        <f t="shared" si="3"/>
        <v>0</v>
      </c>
      <c r="E1434" s="13">
        <f t="shared" si="4"/>
        <v>1</v>
      </c>
      <c r="F1434" s="13">
        <f t="shared" si="5"/>
        <v>0</v>
      </c>
      <c r="G1434" s="13">
        <f t="shared" si="6"/>
        <v>1</v>
      </c>
      <c r="H1434" s="13">
        <f>'Orbit Info'!C1433*((C1434*$O$2)+(D1434*$O$3)+(E1434*$O$4)+(F1434*$O$5))</f>
        <v>11.721024</v>
      </c>
      <c r="I1434" s="13">
        <f t="shared" si="7"/>
        <v>17.54526</v>
      </c>
      <c r="J1434" s="18">
        <f t="shared" si="8"/>
        <v>-0.0970706</v>
      </c>
      <c r="K1434" s="18">
        <f t="shared" si="10"/>
        <v>62.0378754</v>
      </c>
      <c r="L1434" s="4"/>
      <c r="M1434" s="4"/>
      <c r="N1434" s="4"/>
      <c r="O1434" s="4"/>
      <c r="P1434" s="4"/>
      <c r="Q1434" s="4"/>
      <c r="R1434" s="4"/>
      <c r="S1434" s="4"/>
      <c r="T1434" s="4"/>
      <c r="U1434" s="4"/>
      <c r="V1434" s="4"/>
      <c r="W1434" s="4"/>
    </row>
    <row r="1435" ht="15.75" customHeight="1">
      <c r="A1435" s="13">
        <f t="shared" si="9"/>
        <v>1432</v>
      </c>
      <c r="B1435" s="18">
        <f>A1435/'Orbit Info'!$G$10</f>
        <v>15.13526505</v>
      </c>
      <c r="C1435" s="13">
        <f t="shared" si="2"/>
        <v>0</v>
      </c>
      <c r="D1435" s="13">
        <f t="shared" si="3"/>
        <v>0</v>
      </c>
      <c r="E1435" s="13">
        <f t="shared" si="4"/>
        <v>1</v>
      </c>
      <c r="F1435" s="13">
        <f t="shared" si="5"/>
        <v>0</v>
      </c>
      <c r="G1435" s="13">
        <f t="shared" si="6"/>
        <v>1</v>
      </c>
      <c r="H1435" s="13">
        <f>'Orbit Info'!C1434*((C1435*$O$2)+(D1435*$O$3)+(E1435*$O$4)+(F1435*$O$5))</f>
        <v>11.721024</v>
      </c>
      <c r="I1435" s="13">
        <f t="shared" si="7"/>
        <v>17.54526</v>
      </c>
      <c r="J1435" s="18">
        <f t="shared" si="8"/>
        <v>-0.0970706</v>
      </c>
      <c r="K1435" s="18">
        <f t="shared" si="10"/>
        <v>61.9408048</v>
      </c>
      <c r="L1435" s="4"/>
      <c r="M1435" s="4"/>
      <c r="N1435" s="4"/>
      <c r="O1435" s="4"/>
      <c r="P1435" s="4"/>
      <c r="Q1435" s="4"/>
      <c r="R1435" s="4"/>
      <c r="S1435" s="4"/>
      <c r="T1435" s="4"/>
      <c r="U1435" s="4"/>
      <c r="V1435" s="4"/>
      <c r="W1435" s="4"/>
    </row>
    <row r="1436" ht="15.75" customHeight="1">
      <c r="A1436" s="13">
        <f t="shared" si="9"/>
        <v>1433</v>
      </c>
      <c r="B1436" s="18">
        <f>A1436/'Orbit Info'!$G$10</f>
        <v>15.14583436</v>
      </c>
      <c r="C1436" s="13">
        <f t="shared" si="2"/>
        <v>0</v>
      </c>
      <c r="D1436" s="13">
        <f t="shared" si="3"/>
        <v>0</v>
      </c>
      <c r="E1436" s="13">
        <f t="shared" si="4"/>
        <v>1</v>
      </c>
      <c r="F1436" s="13">
        <f t="shared" si="5"/>
        <v>0</v>
      </c>
      <c r="G1436" s="13">
        <f t="shared" si="6"/>
        <v>1</v>
      </c>
      <c r="H1436" s="13">
        <f>'Orbit Info'!C1435*((C1436*$O$2)+(D1436*$O$3)+(E1436*$O$4)+(F1436*$O$5))</f>
        <v>11.721024</v>
      </c>
      <c r="I1436" s="13">
        <f t="shared" si="7"/>
        <v>17.54526</v>
      </c>
      <c r="J1436" s="18">
        <f t="shared" si="8"/>
        <v>-0.0970706</v>
      </c>
      <c r="K1436" s="18">
        <f t="shared" si="10"/>
        <v>61.8437342</v>
      </c>
      <c r="L1436" s="4"/>
      <c r="M1436" s="4"/>
      <c r="N1436" s="4"/>
      <c r="O1436" s="4"/>
      <c r="P1436" s="4"/>
      <c r="Q1436" s="4"/>
      <c r="R1436" s="4"/>
      <c r="S1436" s="4"/>
      <c r="T1436" s="4"/>
      <c r="U1436" s="4"/>
      <c r="V1436" s="4"/>
      <c r="W1436" s="4"/>
    </row>
    <row r="1437" ht="15.75" customHeight="1">
      <c r="A1437" s="13">
        <f t="shared" si="9"/>
        <v>1434</v>
      </c>
      <c r="B1437" s="18">
        <f>A1437/'Orbit Info'!$G$10</f>
        <v>15.15640368</v>
      </c>
      <c r="C1437" s="13">
        <f t="shared" si="2"/>
        <v>0</v>
      </c>
      <c r="D1437" s="13">
        <f t="shared" si="3"/>
        <v>0</v>
      </c>
      <c r="E1437" s="13">
        <f t="shared" si="4"/>
        <v>1</v>
      </c>
      <c r="F1437" s="13">
        <f t="shared" si="5"/>
        <v>0</v>
      </c>
      <c r="G1437" s="13">
        <f t="shared" si="6"/>
        <v>1</v>
      </c>
      <c r="H1437" s="13">
        <f>'Orbit Info'!C1436*((C1437*$O$2)+(D1437*$O$3)+(E1437*$O$4)+(F1437*$O$5))</f>
        <v>11.721024</v>
      </c>
      <c r="I1437" s="13">
        <f t="shared" si="7"/>
        <v>17.54526</v>
      </c>
      <c r="J1437" s="18">
        <f t="shared" si="8"/>
        <v>-0.0970706</v>
      </c>
      <c r="K1437" s="18">
        <f t="shared" si="10"/>
        <v>61.7466636</v>
      </c>
      <c r="L1437" s="4"/>
      <c r="M1437" s="4"/>
      <c r="N1437" s="4"/>
      <c r="O1437" s="4"/>
      <c r="P1437" s="4"/>
      <c r="Q1437" s="4"/>
      <c r="R1437" s="4"/>
      <c r="S1437" s="4"/>
      <c r="T1437" s="4"/>
      <c r="U1437" s="4"/>
      <c r="V1437" s="4"/>
      <c r="W1437" s="4"/>
    </row>
    <row r="1438" ht="15.75" customHeight="1">
      <c r="A1438" s="13">
        <f t="shared" si="9"/>
        <v>1435</v>
      </c>
      <c r="B1438" s="18">
        <f>A1438/'Orbit Info'!$G$10</f>
        <v>15.166973</v>
      </c>
      <c r="C1438" s="13">
        <f t="shared" si="2"/>
        <v>0</v>
      </c>
      <c r="D1438" s="13">
        <f t="shared" si="3"/>
        <v>0</v>
      </c>
      <c r="E1438" s="13">
        <f t="shared" si="4"/>
        <v>1</v>
      </c>
      <c r="F1438" s="13">
        <f t="shared" si="5"/>
        <v>0</v>
      </c>
      <c r="G1438" s="13">
        <f t="shared" si="6"/>
        <v>1</v>
      </c>
      <c r="H1438" s="13">
        <f>'Orbit Info'!C1437*((C1438*$O$2)+(D1438*$O$3)+(E1438*$O$4)+(F1438*$O$5))</f>
        <v>11.721024</v>
      </c>
      <c r="I1438" s="13">
        <f t="shared" si="7"/>
        <v>17.54526</v>
      </c>
      <c r="J1438" s="18">
        <f t="shared" si="8"/>
        <v>-0.0970706</v>
      </c>
      <c r="K1438" s="18">
        <f t="shared" si="10"/>
        <v>61.649593</v>
      </c>
      <c r="L1438" s="4"/>
      <c r="M1438" s="4"/>
      <c r="N1438" s="4"/>
      <c r="O1438" s="4"/>
      <c r="P1438" s="4"/>
      <c r="Q1438" s="4"/>
      <c r="R1438" s="4"/>
      <c r="S1438" s="4"/>
      <c r="T1438" s="4"/>
      <c r="U1438" s="4"/>
      <c r="V1438" s="4"/>
      <c r="W1438" s="4"/>
    </row>
    <row r="1439" ht="15.75" customHeight="1">
      <c r="A1439" s="13">
        <f t="shared" si="9"/>
        <v>1436</v>
      </c>
      <c r="B1439" s="18">
        <f>A1439/'Orbit Info'!$G$10</f>
        <v>15.17754232</v>
      </c>
      <c r="C1439" s="13">
        <f t="shared" si="2"/>
        <v>0</v>
      </c>
      <c r="D1439" s="13">
        <f t="shared" si="3"/>
        <v>0</v>
      </c>
      <c r="E1439" s="13">
        <f t="shared" si="4"/>
        <v>1</v>
      </c>
      <c r="F1439" s="13">
        <f t="shared" si="5"/>
        <v>0</v>
      </c>
      <c r="G1439" s="13">
        <f t="shared" si="6"/>
        <v>1</v>
      </c>
      <c r="H1439" s="13">
        <f>'Orbit Info'!C1438*((C1439*$O$2)+(D1439*$O$3)+(E1439*$O$4)+(F1439*$O$5))</f>
        <v>11.721024</v>
      </c>
      <c r="I1439" s="13">
        <f t="shared" si="7"/>
        <v>17.54526</v>
      </c>
      <c r="J1439" s="18">
        <f t="shared" si="8"/>
        <v>-0.0970706</v>
      </c>
      <c r="K1439" s="18">
        <f t="shared" si="10"/>
        <v>61.5525224</v>
      </c>
      <c r="L1439" s="4"/>
      <c r="M1439" s="4"/>
      <c r="N1439" s="4"/>
      <c r="O1439" s="4"/>
      <c r="P1439" s="4"/>
      <c r="Q1439" s="4"/>
      <c r="R1439" s="4"/>
      <c r="S1439" s="4"/>
      <c r="T1439" s="4"/>
      <c r="U1439" s="4"/>
      <c r="V1439" s="4"/>
      <c r="W1439" s="4"/>
    </row>
    <row r="1440" ht="15.75" customHeight="1">
      <c r="A1440" s="13">
        <f t="shared" si="9"/>
        <v>1437</v>
      </c>
      <c r="B1440" s="18">
        <f>A1440/'Orbit Info'!$G$10</f>
        <v>15.18811164</v>
      </c>
      <c r="C1440" s="13">
        <f t="shared" si="2"/>
        <v>0</v>
      </c>
      <c r="D1440" s="13">
        <f t="shared" si="3"/>
        <v>0</v>
      </c>
      <c r="E1440" s="13">
        <f t="shared" si="4"/>
        <v>1</v>
      </c>
      <c r="F1440" s="13">
        <f t="shared" si="5"/>
        <v>0</v>
      </c>
      <c r="G1440" s="13">
        <f t="shared" si="6"/>
        <v>1</v>
      </c>
      <c r="H1440" s="13">
        <f>'Orbit Info'!C1439*((C1440*$O$2)+(D1440*$O$3)+(E1440*$O$4)+(F1440*$O$5))</f>
        <v>11.721024</v>
      </c>
      <c r="I1440" s="13">
        <f t="shared" si="7"/>
        <v>17.54526</v>
      </c>
      <c r="J1440" s="18">
        <f t="shared" si="8"/>
        <v>-0.0970706</v>
      </c>
      <c r="K1440" s="18">
        <f t="shared" si="10"/>
        <v>61.4554518</v>
      </c>
      <c r="L1440" s="4"/>
      <c r="M1440" s="4"/>
      <c r="N1440" s="4"/>
      <c r="O1440" s="4"/>
      <c r="P1440" s="4"/>
      <c r="Q1440" s="4"/>
      <c r="R1440" s="4"/>
      <c r="S1440" s="4"/>
      <c r="T1440" s="4"/>
      <c r="U1440" s="4"/>
      <c r="V1440" s="4"/>
      <c r="W1440" s="4"/>
    </row>
    <row r="1441" ht="15.75" customHeight="1">
      <c r="A1441" s="13">
        <f t="shared" si="9"/>
        <v>1438</v>
      </c>
      <c r="B1441" s="18">
        <f>A1441/'Orbit Info'!$G$10</f>
        <v>15.19868096</v>
      </c>
      <c r="C1441" s="13">
        <f t="shared" si="2"/>
        <v>0</v>
      </c>
      <c r="D1441" s="13">
        <f t="shared" si="3"/>
        <v>0</v>
      </c>
      <c r="E1441" s="13">
        <f t="shared" si="4"/>
        <v>1</v>
      </c>
      <c r="F1441" s="13">
        <f t="shared" si="5"/>
        <v>0</v>
      </c>
      <c r="G1441" s="13">
        <f t="shared" si="6"/>
        <v>1</v>
      </c>
      <c r="H1441" s="13">
        <f>'Orbit Info'!C1440*((C1441*$O$2)+(D1441*$O$3)+(E1441*$O$4)+(F1441*$O$5))</f>
        <v>11.721024</v>
      </c>
      <c r="I1441" s="13">
        <f t="shared" si="7"/>
        <v>17.54526</v>
      </c>
      <c r="J1441" s="18">
        <f t="shared" si="8"/>
        <v>-0.0970706</v>
      </c>
      <c r="K1441" s="18">
        <f t="shared" si="10"/>
        <v>61.3583812</v>
      </c>
      <c r="L1441" s="4"/>
      <c r="M1441" s="4"/>
      <c r="N1441" s="4"/>
      <c r="O1441" s="4"/>
      <c r="P1441" s="4"/>
      <c r="Q1441" s="4"/>
      <c r="R1441" s="4"/>
      <c r="S1441" s="4"/>
      <c r="T1441" s="4"/>
      <c r="U1441" s="4"/>
      <c r="V1441" s="4"/>
      <c r="W1441" s="4"/>
    </row>
    <row r="1442" ht="15.75" customHeight="1">
      <c r="A1442" s="13">
        <f t="shared" si="9"/>
        <v>1439</v>
      </c>
      <c r="B1442" s="18">
        <f>A1442/'Orbit Info'!$G$10</f>
        <v>15.20925028</v>
      </c>
      <c r="C1442" s="13">
        <f t="shared" si="2"/>
        <v>0</v>
      </c>
      <c r="D1442" s="13">
        <f t="shared" si="3"/>
        <v>0</v>
      </c>
      <c r="E1442" s="13">
        <f t="shared" si="4"/>
        <v>1</v>
      </c>
      <c r="F1442" s="13">
        <f t="shared" si="5"/>
        <v>0</v>
      </c>
      <c r="G1442" s="13">
        <f t="shared" si="6"/>
        <v>1</v>
      </c>
      <c r="H1442" s="13">
        <f>'Orbit Info'!C1441*((C1442*$O$2)+(D1442*$O$3)+(E1442*$O$4)+(F1442*$O$5))</f>
        <v>11.721024</v>
      </c>
      <c r="I1442" s="13">
        <f t="shared" si="7"/>
        <v>17.54526</v>
      </c>
      <c r="J1442" s="18">
        <f t="shared" si="8"/>
        <v>-0.0970706</v>
      </c>
      <c r="K1442" s="18">
        <f t="shared" si="10"/>
        <v>61.2613106</v>
      </c>
      <c r="L1442" s="4"/>
      <c r="M1442" s="4"/>
      <c r="N1442" s="4"/>
      <c r="O1442" s="4"/>
      <c r="P1442" s="4"/>
      <c r="Q1442" s="4"/>
      <c r="R1442" s="4"/>
      <c r="S1442" s="4"/>
      <c r="T1442" s="4"/>
      <c r="U1442" s="4"/>
      <c r="V1442" s="4"/>
      <c r="W1442" s="4"/>
    </row>
    <row r="1443" ht="15.75" customHeight="1">
      <c r="A1443" s="13">
        <f t="shared" si="9"/>
        <v>1440</v>
      </c>
      <c r="B1443" s="18">
        <f>A1443/'Orbit Info'!$G$10</f>
        <v>15.2198196</v>
      </c>
      <c r="C1443" s="13">
        <f t="shared" si="2"/>
        <v>0</v>
      </c>
      <c r="D1443" s="13">
        <f t="shared" si="3"/>
        <v>0</v>
      </c>
      <c r="E1443" s="13">
        <f t="shared" si="4"/>
        <v>1</v>
      </c>
      <c r="F1443" s="13">
        <f t="shared" si="5"/>
        <v>0</v>
      </c>
      <c r="G1443" s="13">
        <f t="shared" si="6"/>
        <v>1</v>
      </c>
      <c r="H1443" s="13">
        <f>'Orbit Info'!C1442*((C1443*$O$2)+(D1443*$O$3)+(E1443*$O$4)+(F1443*$O$5))</f>
        <v>11.721024</v>
      </c>
      <c r="I1443" s="13">
        <f t="shared" si="7"/>
        <v>17.54526</v>
      </c>
      <c r="J1443" s="18">
        <f t="shared" si="8"/>
        <v>-0.0970706</v>
      </c>
      <c r="K1443" s="18">
        <f t="shared" si="10"/>
        <v>61.16424</v>
      </c>
      <c r="L1443" s="4"/>
      <c r="M1443" s="4"/>
      <c r="N1443" s="4"/>
      <c r="O1443" s="4"/>
      <c r="P1443" s="4"/>
      <c r="Q1443" s="4"/>
      <c r="R1443" s="4"/>
      <c r="S1443" s="4"/>
      <c r="T1443" s="4"/>
      <c r="U1443" s="4"/>
      <c r="V1443" s="4"/>
      <c r="W1443" s="4"/>
    </row>
  </sheetData>
  <mergeCells count="16">
    <mergeCell ref="U2:V2"/>
    <mergeCell ref="W2:X2"/>
    <mergeCell ref="S9:Z13"/>
    <mergeCell ref="P2:Q2"/>
    <mergeCell ref="P3:Q3"/>
    <mergeCell ref="P4:Q4"/>
    <mergeCell ref="P5:Q5"/>
    <mergeCell ref="M6:O6"/>
    <mergeCell ref="M12:Q22"/>
    <mergeCell ref="A1:K1"/>
    <mergeCell ref="P1:Q1"/>
    <mergeCell ref="S1:Z1"/>
    <mergeCell ref="B2:B3"/>
    <mergeCell ref="C2:F2"/>
    <mergeCell ref="S2:T2"/>
    <mergeCell ref="Y2:Z2"/>
  </mergeCells>
  <conditionalFormatting sqref="N11">
    <cfRule type="cellIs" dxfId="3" priority="1" operator="greaterThan">
      <formula>1</formula>
    </cfRule>
  </conditionalFormatting>
  <conditionalFormatting sqref="P2:P5 R2:R5">
    <cfRule type="cellIs" dxfId="4" priority="2" operator="equal">
      <formula>0</formula>
    </cfRule>
  </conditionalFormatting>
  <conditionalFormatting sqref="P2:P5 R2:R5">
    <cfRule type="cellIs" dxfId="1" priority="3" operator="lessThan">
      <formula>0</formula>
    </cfRule>
  </conditionalFormatting>
  <conditionalFormatting sqref="P2:P5 R2:R5">
    <cfRule type="cellIs" dxfId="2" priority="4" operator="greaterThan">
      <formula>0</formula>
    </cfRule>
  </conditionalFormatting>
  <conditionalFormatting sqref="S4:T8">
    <cfRule type="expression" dxfId="5" priority="5">
      <formula>$N$2&gt;0</formula>
    </cfRule>
  </conditionalFormatting>
  <conditionalFormatting sqref="S4:T8">
    <cfRule type="expression" dxfId="6" priority="6">
      <formula>$N$2=0</formula>
    </cfRule>
  </conditionalFormatting>
  <conditionalFormatting sqref="U4:V8">
    <cfRule type="expression" dxfId="5" priority="7">
      <formula>$N$3&gt;0</formula>
    </cfRule>
  </conditionalFormatting>
  <conditionalFormatting sqref="U4:V8">
    <cfRule type="expression" dxfId="6" priority="8">
      <formula>$N$3=0</formula>
    </cfRule>
  </conditionalFormatting>
  <conditionalFormatting sqref="W4:X8">
    <cfRule type="expression" dxfId="5" priority="9">
      <formula>$N$4&gt;0</formula>
    </cfRule>
  </conditionalFormatting>
  <conditionalFormatting sqref="W4:X8">
    <cfRule type="expression" dxfId="6" priority="10">
      <formula>$N$4=0</formula>
    </cfRule>
  </conditionalFormatting>
  <conditionalFormatting sqref="Y4:Z8">
    <cfRule type="expression" dxfId="5" priority="11">
      <formula>$N$5&gt;0</formula>
    </cfRule>
  </conditionalFormatting>
  <conditionalFormatting sqref="Y4:Z8">
    <cfRule type="expression" dxfId="6" priority="12">
      <formula>$N$5=0</formula>
    </cfRule>
  </conditionalFormatting>
  <printOptions/>
  <pageMargins bottom="0.75" footer="0.0" header="0.0" left="0.7" right="0.7" top="0.75"/>
  <pageSetup orientation="portrait"/>
  <drawing r:id="rId2"/>
  <legacyDrawing r:id="rId3"/>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xSplit="2.0" topLeftCell="C1" activePane="topRight" state="frozen"/>
      <selection activeCell="D2" sqref="D2" pane="topRight"/>
    </sheetView>
  </sheetViews>
  <sheetFormatPr customHeight="1" defaultColWidth="12.63" defaultRowHeight="15.0" outlineLevelRow="1"/>
  <cols>
    <col customWidth="1" min="1" max="1" width="14.13"/>
    <col customWidth="1" min="2" max="2" width="38.13"/>
    <col customWidth="1" min="3" max="3" width="21.5"/>
    <col customWidth="1" min="4" max="4" width="21.63"/>
    <col customWidth="1" min="5" max="5" width="20.0"/>
    <col customWidth="1" min="6" max="6" width="20.5"/>
    <col customWidth="1" min="7" max="7" width="21.25"/>
  </cols>
  <sheetData>
    <row r="1">
      <c r="A1" s="652"/>
      <c r="B1" s="653"/>
      <c r="C1" s="654"/>
      <c r="D1" s="655" t="s">
        <v>944</v>
      </c>
      <c r="E1" s="656"/>
      <c r="F1" s="654"/>
      <c r="G1" s="654"/>
      <c r="H1" s="654"/>
      <c r="I1" s="654"/>
      <c r="J1" s="654"/>
      <c r="K1" s="654"/>
      <c r="L1" s="653"/>
      <c r="M1" s="653"/>
      <c r="N1" s="653"/>
      <c r="O1" s="653"/>
      <c r="P1" s="653"/>
      <c r="Q1" s="653"/>
      <c r="R1" s="653"/>
      <c r="S1" s="653"/>
      <c r="T1" s="653"/>
      <c r="U1" s="653"/>
      <c r="V1" s="653"/>
      <c r="W1" s="653"/>
      <c r="X1" s="653"/>
      <c r="Y1" s="653"/>
      <c r="Z1" s="657"/>
    </row>
    <row r="2">
      <c r="A2" s="658" t="s">
        <v>14</v>
      </c>
      <c r="B2" s="654" t="s">
        <v>945</v>
      </c>
      <c r="C2" s="654" t="s">
        <v>946</v>
      </c>
      <c r="D2" s="654" t="s">
        <v>947</v>
      </c>
      <c r="E2" s="654" t="s">
        <v>948</v>
      </c>
      <c r="F2" s="654" t="s">
        <v>949</v>
      </c>
      <c r="G2" s="654" t="s">
        <v>950</v>
      </c>
      <c r="H2" s="654"/>
      <c r="I2" s="659" t="s">
        <v>951</v>
      </c>
      <c r="J2" s="654"/>
      <c r="K2" s="654"/>
      <c r="L2" s="654"/>
      <c r="M2" s="654"/>
      <c r="N2" s="654"/>
      <c r="O2" s="654"/>
      <c r="P2" s="654"/>
      <c r="Q2" s="654"/>
      <c r="R2" s="654"/>
      <c r="S2" s="654"/>
      <c r="T2" s="654"/>
      <c r="U2" s="654"/>
      <c r="V2" s="654"/>
      <c r="W2" s="654"/>
      <c r="X2" s="654"/>
      <c r="Y2" s="654"/>
      <c r="Z2" s="660"/>
    </row>
    <row r="3">
      <c r="A3" s="635" t="s">
        <v>75</v>
      </c>
      <c r="B3" s="11" t="s">
        <v>952</v>
      </c>
      <c r="C3" s="466" t="s">
        <v>953</v>
      </c>
      <c r="D3" s="466" t="s">
        <v>953</v>
      </c>
      <c r="E3" s="466"/>
      <c r="F3" s="466"/>
      <c r="G3" s="466"/>
      <c r="I3" s="11" t="s">
        <v>954</v>
      </c>
      <c r="K3" s="11" t="s">
        <v>955</v>
      </c>
    </row>
    <row r="4">
      <c r="A4" s="11"/>
      <c r="B4" s="642" t="s">
        <v>956</v>
      </c>
      <c r="C4" s="466">
        <v>-40.0</v>
      </c>
      <c r="D4" s="466">
        <v>90.0</v>
      </c>
      <c r="E4" s="466"/>
      <c r="F4" s="466"/>
      <c r="G4" s="466"/>
      <c r="I4" s="11"/>
      <c r="J4" s="11"/>
      <c r="K4" s="11"/>
      <c r="L4" s="11"/>
      <c r="M4" s="11"/>
      <c r="N4" s="11"/>
      <c r="O4" s="11"/>
      <c r="P4" s="11"/>
    </row>
    <row r="5">
      <c r="A5" s="11"/>
      <c r="B5" s="11" t="s">
        <v>957</v>
      </c>
      <c r="C5" s="466">
        <v>0.0</v>
      </c>
      <c r="D5" s="466">
        <v>45.0</v>
      </c>
      <c r="E5" s="466"/>
      <c r="F5" s="466"/>
      <c r="G5" s="466"/>
      <c r="I5" s="11" t="s">
        <v>958</v>
      </c>
      <c r="K5" s="11" t="s">
        <v>959</v>
      </c>
    </row>
    <row r="6">
      <c r="B6" s="11" t="s">
        <v>960</v>
      </c>
      <c r="C6" s="466">
        <v>-10.0</v>
      </c>
      <c r="D6" s="466">
        <v>60.0</v>
      </c>
      <c r="E6" s="466"/>
      <c r="F6" s="466"/>
      <c r="I6" s="11"/>
      <c r="J6" s="11"/>
      <c r="K6" s="11"/>
      <c r="L6" s="11"/>
      <c r="M6" s="11"/>
      <c r="N6" s="11"/>
      <c r="O6" s="11"/>
      <c r="P6" s="11"/>
    </row>
    <row r="7">
      <c r="A7" s="11"/>
      <c r="B7" s="11" t="s">
        <v>961</v>
      </c>
      <c r="C7" s="11">
        <v>10.0</v>
      </c>
      <c r="D7" s="11">
        <v>70.0</v>
      </c>
      <c r="E7" s="466"/>
      <c r="F7" s="466"/>
      <c r="G7" s="466"/>
    </row>
    <row r="8">
      <c r="A8" s="11"/>
      <c r="E8" s="466"/>
      <c r="F8" s="466"/>
      <c r="G8" s="466"/>
    </row>
    <row r="9">
      <c r="A9" s="11"/>
      <c r="F9" s="466"/>
      <c r="G9" s="466"/>
    </row>
    <row r="10">
      <c r="A10" s="11"/>
      <c r="F10" s="466"/>
      <c r="G10" s="466"/>
    </row>
    <row r="11">
      <c r="E11" s="466"/>
      <c r="F11" s="466"/>
      <c r="G11" s="466"/>
    </row>
    <row r="12">
      <c r="A12" s="661" t="s">
        <v>87</v>
      </c>
      <c r="B12" s="661"/>
      <c r="C12" s="662"/>
      <c r="D12" s="662"/>
      <c r="E12" s="663"/>
      <c r="F12" s="663"/>
      <c r="G12" s="466"/>
    </row>
    <row r="13">
      <c r="A13" s="664"/>
      <c r="B13" s="664"/>
      <c r="C13" s="662"/>
      <c r="D13" s="662"/>
      <c r="E13" s="663"/>
      <c r="F13" s="663"/>
      <c r="G13" s="466"/>
    </row>
    <row r="14">
      <c r="A14" s="664"/>
      <c r="B14" s="665" t="s">
        <v>962</v>
      </c>
      <c r="C14" s="662">
        <v>-55.0</v>
      </c>
      <c r="D14" s="662">
        <v>85.0</v>
      </c>
      <c r="E14" s="663"/>
      <c r="F14" s="663"/>
      <c r="G14" s="466"/>
    </row>
    <row r="15">
      <c r="A15" s="664"/>
      <c r="B15" s="665" t="s">
        <v>963</v>
      </c>
      <c r="C15" s="662">
        <v>-20.0</v>
      </c>
      <c r="D15" s="662">
        <v>80.0</v>
      </c>
      <c r="E15" s="663"/>
      <c r="F15" s="663"/>
      <c r="G15" s="466"/>
    </row>
    <row r="16">
      <c r="A16" s="664"/>
      <c r="B16" s="664" t="s">
        <v>964</v>
      </c>
      <c r="C16" s="662">
        <v>-55.0</v>
      </c>
      <c r="D16" s="662">
        <v>85.0</v>
      </c>
      <c r="E16" s="663" t="s">
        <v>953</v>
      </c>
      <c r="F16" s="663" t="s">
        <v>953</v>
      </c>
      <c r="G16" s="466"/>
    </row>
    <row r="17">
      <c r="A17" s="664"/>
      <c r="B17" s="664" t="s">
        <v>965</v>
      </c>
      <c r="C17" s="662">
        <v>-40.0</v>
      </c>
      <c r="D17" s="662">
        <v>100.0</v>
      </c>
      <c r="E17" s="663"/>
      <c r="F17" s="663"/>
      <c r="G17" s="466"/>
    </row>
    <row r="18">
      <c r="A18" s="664"/>
      <c r="B18" s="664" t="s">
        <v>840</v>
      </c>
      <c r="C18" s="662">
        <v>-40.0</v>
      </c>
      <c r="D18" s="662">
        <v>85.0</v>
      </c>
      <c r="E18" s="663"/>
      <c r="F18" s="663"/>
      <c r="G18" s="466"/>
    </row>
    <row r="19">
      <c r="A19" s="11"/>
      <c r="E19" s="663"/>
      <c r="F19" s="663"/>
      <c r="G19" s="466"/>
    </row>
    <row r="20">
      <c r="C20" s="466"/>
      <c r="D20" s="466"/>
      <c r="E20" s="466"/>
      <c r="F20" s="466"/>
      <c r="G20" s="466"/>
    </row>
    <row r="21" ht="15.75" customHeight="1">
      <c r="A21" s="661" t="s">
        <v>966</v>
      </c>
      <c r="B21" s="661"/>
      <c r="C21" s="666"/>
      <c r="D21" s="666"/>
      <c r="E21" s="466"/>
      <c r="F21" s="466"/>
      <c r="G21" s="466"/>
    </row>
    <row r="22" ht="15.75" customHeight="1">
      <c r="A22" s="664"/>
      <c r="B22" s="665" t="s">
        <v>967</v>
      </c>
      <c r="C22" s="666">
        <v>-40.0</v>
      </c>
      <c r="D22" s="666">
        <v>85.0</v>
      </c>
      <c r="E22" s="466"/>
      <c r="F22" s="466"/>
      <c r="G22" s="466"/>
    </row>
    <row r="23" ht="15.75" customHeight="1">
      <c r="A23" s="664"/>
      <c r="B23" s="664" t="s">
        <v>880</v>
      </c>
      <c r="C23" s="666">
        <v>-40.0</v>
      </c>
      <c r="D23" s="666">
        <v>85.0</v>
      </c>
      <c r="E23" s="466"/>
      <c r="F23" s="466"/>
      <c r="G23" s="466"/>
    </row>
    <row r="24" ht="15.75" customHeight="1">
      <c r="A24" s="664"/>
      <c r="B24" s="664" t="s">
        <v>968</v>
      </c>
      <c r="C24" s="666">
        <v>-40.0</v>
      </c>
      <c r="D24" s="666">
        <v>90.0</v>
      </c>
      <c r="E24" s="466"/>
      <c r="F24" s="466"/>
      <c r="G24" s="466"/>
    </row>
    <row r="25" ht="15.75" customHeight="1">
      <c r="A25" s="664"/>
      <c r="B25" s="664"/>
      <c r="C25" s="664"/>
      <c r="D25" s="664"/>
      <c r="E25" s="466"/>
      <c r="F25" s="466"/>
      <c r="G25" s="466"/>
    </row>
    <row r="26" ht="15.75" customHeight="1">
      <c r="C26" s="466"/>
      <c r="D26" s="466"/>
      <c r="E26" s="466"/>
      <c r="F26" s="466"/>
      <c r="G26" s="466"/>
    </row>
    <row r="27" ht="15.75" customHeight="1">
      <c r="A27" s="635" t="s">
        <v>303</v>
      </c>
      <c r="B27" s="635"/>
      <c r="C27" s="466"/>
      <c r="D27" s="466"/>
      <c r="E27" s="466"/>
      <c r="F27" s="466"/>
      <c r="G27" s="466"/>
    </row>
    <row r="28" ht="15.75" customHeight="1">
      <c r="A28" s="11"/>
      <c r="B28" s="11" t="s">
        <v>969</v>
      </c>
      <c r="C28" s="466">
        <v>-40.0</v>
      </c>
      <c r="D28" s="466">
        <v>85.0</v>
      </c>
      <c r="E28" s="466"/>
      <c r="F28" s="466"/>
      <c r="G28" s="466"/>
    </row>
    <row r="29" ht="15.75" customHeight="1">
      <c r="A29" s="11"/>
      <c r="B29" s="11" t="s">
        <v>970</v>
      </c>
      <c r="C29" s="466">
        <v>-20.0</v>
      </c>
      <c r="D29" s="466">
        <v>50.0</v>
      </c>
      <c r="E29" s="466"/>
      <c r="F29" s="466"/>
      <c r="G29" s="466"/>
    </row>
    <row r="30" ht="15.75" customHeight="1">
      <c r="A30" s="11"/>
      <c r="B30" s="11" t="s">
        <v>971</v>
      </c>
      <c r="C30" s="466">
        <v>0.0</v>
      </c>
      <c r="D30" s="466">
        <v>50.0</v>
      </c>
      <c r="E30" s="466"/>
      <c r="F30" s="466"/>
      <c r="G30" s="466"/>
    </row>
    <row r="31" ht="15.75" customHeight="1">
      <c r="A31" s="11"/>
      <c r="B31" s="11" t="s">
        <v>972</v>
      </c>
      <c r="C31" s="466">
        <v>-40.0</v>
      </c>
      <c r="D31" s="466">
        <v>65.0</v>
      </c>
      <c r="E31" s="466"/>
      <c r="F31" s="466"/>
      <c r="G31" s="466"/>
    </row>
    <row r="32" ht="15.75" customHeight="1">
      <c r="C32" s="466"/>
      <c r="D32" s="466"/>
      <c r="E32" s="466"/>
      <c r="F32" s="466"/>
      <c r="G32" s="466"/>
    </row>
    <row r="33" ht="15.75" customHeight="1">
      <c r="C33" s="466"/>
      <c r="D33" s="466"/>
      <c r="E33" s="466"/>
      <c r="F33" s="466"/>
      <c r="G33" s="466"/>
    </row>
    <row r="34" ht="15.75" customHeight="1">
      <c r="A34" s="635" t="s">
        <v>973</v>
      </c>
      <c r="B34" s="635"/>
      <c r="C34" s="466"/>
      <c r="D34" s="466"/>
      <c r="E34" s="466"/>
      <c r="F34" s="466"/>
      <c r="G34" s="466"/>
    </row>
    <row r="35" ht="15.75" customHeight="1">
      <c r="A35" s="11"/>
      <c r="B35" s="11" t="s">
        <v>974</v>
      </c>
      <c r="C35" s="466">
        <v>-40.0</v>
      </c>
      <c r="D35" s="466">
        <v>75.0</v>
      </c>
      <c r="E35" s="466"/>
      <c r="F35" s="466"/>
      <c r="G35" s="466"/>
    </row>
    <row r="36" ht="15.75" customHeight="1">
      <c r="A36" s="11"/>
      <c r="B36" s="11" t="s">
        <v>975</v>
      </c>
      <c r="C36" s="466">
        <v>-40.0</v>
      </c>
      <c r="D36" s="466">
        <v>120.0</v>
      </c>
      <c r="E36" s="466"/>
      <c r="F36" s="466"/>
      <c r="G36" s="466"/>
    </row>
    <row r="37" ht="15.75" customHeight="1">
      <c r="A37" s="635"/>
      <c r="B37" s="635"/>
      <c r="C37" s="466"/>
      <c r="D37" s="466"/>
      <c r="E37" s="466"/>
      <c r="F37" s="466"/>
      <c r="G37" s="466"/>
    </row>
    <row r="38" ht="15.75" customHeight="1">
      <c r="A38" s="635" t="s">
        <v>280</v>
      </c>
      <c r="B38" s="635"/>
      <c r="C38" s="466"/>
      <c r="D38" s="466"/>
      <c r="E38" s="466"/>
      <c r="F38" s="466"/>
      <c r="G38" s="466"/>
    </row>
    <row r="39" ht="15.75" customHeight="1">
      <c r="A39" s="11"/>
      <c r="B39" s="11" t="s">
        <v>976</v>
      </c>
      <c r="C39" s="466">
        <v>-270.0</v>
      </c>
      <c r="D39" s="466">
        <v>500.0</v>
      </c>
      <c r="E39" s="466"/>
      <c r="F39" s="466"/>
      <c r="G39" s="466"/>
    </row>
    <row r="40" ht="15.75" customHeight="1">
      <c r="A40" s="11"/>
      <c r="B40" s="642" t="s">
        <v>977</v>
      </c>
      <c r="C40" s="466">
        <v>-40.0</v>
      </c>
      <c r="D40" s="466">
        <v>149.0</v>
      </c>
      <c r="E40" s="466"/>
      <c r="F40" s="466"/>
      <c r="G40" s="466"/>
      <c r="I40" s="11"/>
      <c r="J40" s="11"/>
      <c r="K40" s="11"/>
      <c r="L40" s="11"/>
      <c r="M40" s="11"/>
      <c r="N40" s="11"/>
      <c r="O40" s="11"/>
      <c r="P40" s="11"/>
    </row>
    <row r="41" ht="15.75" customHeight="1">
      <c r="B41" s="11" t="s">
        <v>979</v>
      </c>
      <c r="C41" s="11">
        <v>-210.0</v>
      </c>
      <c r="D41" s="11">
        <v>500.0</v>
      </c>
    </row>
    <row r="42" ht="15.75" customHeight="1">
      <c r="B42" s="11" t="s">
        <v>980</v>
      </c>
      <c r="C42" s="11" t="s">
        <v>953</v>
      </c>
      <c r="D42" s="11" t="s">
        <v>953</v>
      </c>
    </row>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D1:E1"/>
    <mergeCell ref="I3:J3"/>
    <mergeCell ref="K3:P3"/>
    <mergeCell ref="A5:A6"/>
    <mergeCell ref="G5:G6"/>
    <mergeCell ref="I5:J5"/>
    <mergeCell ref="K5:P5"/>
  </mergeCells>
  <hyperlinks>
    <hyperlink r:id="rId2" ref="B4"/>
    <hyperlink r:id="rId3" ref="B14"/>
    <hyperlink r:id="rId4" ref="B15"/>
    <hyperlink r:id="rId5" ref="B22"/>
    <hyperlink r:id="rId6" ref="B40"/>
  </hyperlinks>
  <printOptions gridLines="1" horizontalCentered="1"/>
  <pageMargins bottom="0.75" footer="0.0" header="0.0" left="0.7" right="0.7" top="0.75"/>
  <pageSetup fitToHeight="0" cellComments="atEnd" orientation="landscape" pageOrder="overThenDown"/>
  <drawing r:id="rId7"/>
  <legacyDrawing r:id="rId8"/>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4"/>
    <pageSetUpPr/>
  </sheetPr>
  <sheetViews>
    <sheetView showGridLines="0" workbookViewId="0"/>
  </sheetViews>
  <sheetFormatPr customHeight="1" defaultColWidth="12.63" defaultRowHeight="15.0" outlineLevelRow="1"/>
  <cols>
    <col customWidth="1" min="1" max="1" width="29.13"/>
    <col customWidth="1" min="2" max="2" width="27.5"/>
    <col customWidth="1" min="3" max="3" width="13.0"/>
    <col customWidth="1" min="4" max="4" width="25.75"/>
    <col customWidth="1" hidden="1" min="6" max="6" width="25.88"/>
    <col customWidth="1" min="7" max="7" width="37.5"/>
    <col customWidth="1" min="8" max="10" width="7.63"/>
  </cols>
  <sheetData>
    <row r="1">
      <c r="A1" s="680" t="s">
        <v>992</v>
      </c>
      <c r="B1" s="8"/>
      <c r="C1" s="8"/>
      <c r="D1" s="8"/>
      <c r="E1" s="10"/>
      <c r="F1" s="4"/>
      <c r="G1" s="20" t="s">
        <v>238</v>
      </c>
    </row>
    <row r="2">
      <c r="A2" s="683" t="s">
        <v>226</v>
      </c>
      <c r="B2" s="684" t="s">
        <v>993</v>
      </c>
      <c r="C2" s="684" t="s">
        <v>994</v>
      </c>
      <c r="D2" s="684" t="s">
        <v>995</v>
      </c>
      <c r="E2" s="684" t="s">
        <v>996</v>
      </c>
      <c r="F2" s="4"/>
      <c r="G2" s="32"/>
    </row>
    <row r="3">
      <c r="A3" s="685" t="s">
        <v>997</v>
      </c>
      <c r="B3" s="5"/>
      <c r="C3" s="5"/>
      <c r="D3" s="9"/>
      <c r="E3" s="688">
        <f>SUM(E4:E10)</f>
        <v>0.88086</v>
      </c>
      <c r="F3" s="4"/>
      <c r="G3" s="32"/>
      <c r="J3" s="689"/>
    </row>
    <row r="4">
      <c r="A4" s="690" t="s">
        <v>998</v>
      </c>
      <c r="B4" s="39" t="s">
        <v>999</v>
      </c>
      <c r="C4" s="691">
        <v>1.0</v>
      </c>
      <c r="D4" s="691">
        <v>0.54</v>
      </c>
      <c r="E4" s="692">
        <f t="shared" ref="E4:E10" si="1">D4*C4</f>
        <v>0.54</v>
      </c>
      <c r="F4" s="4"/>
      <c r="G4" s="32" t="s">
        <v>1004</v>
      </c>
    </row>
    <row r="5">
      <c r="A5" s="690" t="s">
        <v>1005</v>
      </c>
      <c r="B5" s="39" t="s">
        <v>1006</v>
      </c>
      <c r="C5" s="39">
        <v>4.0</v>
      </c>
      <c r="D5" s="39">
        <f>20/1000</f>
        <v>0.02</v>
      </c>
      <c r="E5" s="104">
        <f t="shared" si="1"/>
        <v>0.08</v>
      </c>
      <c r="F5" s="4"/>
      <c r="G5" s="32" t="s">
        <v>1007</v>
      </c>
    </row>
    <row r="6">
      <c r="A6" s="690" t="s">
        <v>1008</v>
      </c>
      <c r="B6" s="39" t="s">
        <v>999</v>
      </c>
      <c r="C6" s="39">
        <v>4.0</v>
      </c>
      <c r="D6" s="39">
        <f>4.5/1000</f>
        <v>0.0045</v>
      </c>
      <c r="E6" s="104">
        <f t="shared" si="1"/>
        <v>0.018</v>
      </c>
      <c r="F6" s="4"/>
      <c r="G6" s="32"/>
    </row>
    <row r="7">
      <c r="A7" s="690" t="s">
        <v>1009</v>
      </c>
      <c r="B7" s="39" t="s">
        <v>1010</v>
      </c>
      <c r="C7" s="39">
        <v>2.0</v>
      </c>
      <c r="D7" s="39">
        <f>28.93/1000</f>
        <v>0.02893</v>
      </c>
      <c r="E7" s="104">
        <f t="shared" si="1"/>
        <v>0.05786</v>
      </c>
      <c r="F7" s="4"/>
      <c r="G7" s="32"/>
    </row>
    <row r="8">
      <c r="A8" s="690" t="s">
        <v>1011</v>
      </c>
      <c r="B8" s="39" t="s">
        <v>1006</v>
      </c>
      <c r="C8" s="39">
        <f>4+4+4+4+16+32+16+8</f>
        <v>88</v>
      </c>
      <c r="D8" s="39">
        <f>1.25/1000</f>
        <v>0.00125</v>
      </c>
      <c r="E8" s="104">
        <f t="shared" si="1"/>
        <v>0.11</v>
      </c>
      <c r="F8" s="4"/>
      <c r="G8" s="32" t="s">
        <v>1014</v>
      </c>
    </row>
    <row r="9">
      <c r="A9" s="698" t="s">
        <v>1015</v>
      </c>
      <c r="B9" s="39"/>
      <c r="C9" s="39">
        <v>1.0</v>
      </c>
      <c r="D9" s="39">
        <f>20/1000</f>
        <v>0.02</v>
      </c>
      <c r="E9" s="104">
        <f t="shared" si="1"/>
        <v>0.02</v>
      </c>
      <c r="F9" s="4"/>
      <c r="G9" s="32" t="s">
        <v>1016</v>
      </c>
    </row>
    <row r="10">
      <c r="A10" s="698" t="s">
        <v>1017</v>
      </c>
      <c r="B10" s="39" t="s">
        <v>1018</v>
      </c>
      <c r="C10" s="39">
        <v>20.0</v>
      </c>
      <c r="D10" s="39">
        <f>2.75/1000</f>
        <v>0.00275</v>
      </c>
      <c r="E10" s="688">
        <f t="shared" si="1"/>
        <v>0.055</v>
      </c>
      <c r="F10" s="4"/>
      <c r="G10" s="32"/>
    </row>
    <row r="11">
      <c r="A11" s="685" t="s">
        <v>75</v>
      </c>
      <c r="B11" s="5"/>
      <c r="C11" s="5"/>
      <c r="D11" s="9"/>
      <c r="E11" s="688">
        <f>SUM(E12:E16)</f>
        <v>0.93332</v>
      </c>
      <c r="F11" s="4"/>
      <c r="G11" s="32"/>
    </row>
    <row r="12">
      <c r="A12" s="690" t="s">
        <v>1019</v>
      </c>
      <c r="B12" s="39" t="s">
        <v>1020</v>
      </c>
      <c r="C12" s="691">
        <v>1.0</v>
      </c>
      <c r="D12" s="691">
        <f>(23.26+23.26+32.4+32.4)/1000</f>
        <v>0.11132</v>
      </c>
      <c r="E12" s="692">
        <f t="shared" ref="E12:E16" si="2">C12*D12</f>
        <v>0.11132</v>
      </c>
      <c r="F12" s="4" t="s">
        <v>1021</v>
      </c>
      <c r="G12" s="32"/>
    </row>
    <row r="13">
      <c r="A13" s="690" t="s">
        <v>1022</v>
      </c>
      <c r="B13" s="39" t="s">
        <v>1023</v>
      </c>
      <c r="C13" s="691">
        <v>2.0</v>
      </c>
      <c r="D13" s="691">
        <f>63/1000</f>
        <v>0.063</v>
      </c>
      <c r="E13" s="692">
        <f t="shared" si="2"/>
        <v>0.126</v>
      </c>
      <c r="F13" s="4" t="s">
        <v>1021</v>
      </c>
      <c r="G13" s="32" t="s">
        <v>1024</v>
      </c>
    </row>
    <row r="14" ht="58.5" customHeight="1">
      <c r="A14" s="699" t="s">
        <v>1025</v>
      </c>
      <c r="B14" s="75" t="s">
        <v>1026</v>
      </c>
      <c r="C14" s="691">
        <v>6.0</v>
      </c>
      <c r="D14" s="691">
        <f>42.5/1000</f>
        <v>0.0425</v>
      </c>
      <c r="E14" s="692">
        <f t="shared" si="2"/>
        <v>0.255</v>
      </c>
      <c r="F14" s="4"/>
      <c r="G14" s="32"/>
    </row>
    <row r="15">
      <c r="A15" s="690" t="s">
        <v>1027</v>
      </c>
      <c r="B15" s="39"/>
      <c r="C15" s="39">
        <v>1.0</v>
      </c>
      <c r="D15" s="39">
        <f>(219/1000)/2</f>
        <v>0.1095</v>
      </c>
      <c r="E15" s="104">
        <f t="shared" si="2"/>
        <v>0.1095</v>
      </c>
      <c r="F15" s="4"/>
      <c r="G15" s="32" t="s">
        <v>1028</v>
      </c>
    </row>
    <row r="16">
      <c r="A16" s="690" t="s">
        <v>1029</v>
      </c>
      <c r="B16" s="700"/>
      <c r="C16" s="700">
        <v>1.0</v>
      </c>
      <c r="D16" s="700">
        <f>331.5/1000</f>
        <v>0.3315</v>
      </c>
      <c r="E16" s="104">
        <f t="shared" si="2"/>
        <v>0.3315</v>
      </c>
      <c r="F16" s="4"/>
      <c r="G16" s="32"/>
    </row>
    <row r="17">
      <c r="A17" s="685" t="s">
        <v>87</v>
      </c>
      <c r="B17" s="5"/>
      <c r="C17" s="5"/>
      <c r="D17" s="9"/>
      <c r="E17" s="688">
        <f>SUM(E18:E21)</f>
        <v>0.1185</v>
      </c>
      <c r="F17" s="4"/>
      <c r="G17" s="32" t="s">
        <v>1030</v>
      </c>
    </row>
    <row r="18">
      <c r="A18" s="690" t="s">
        <v>1031</v>
      </c>
      <c r="B18" s="39" t="s">
        <v>1032</v>
      </c>
      <c r="C18" s="691">
        <v>2.0</v>
      </c>
      <c r="D18" s="691">
        <v>0.0165</v>
      </c>
      <c r="E18" s="692">
        <f t="shared" ref="E18:E20" si="3">C18*D18</f>
        <v>0.033</v>
      </c>
      <c r="F18" s="4" t="s">
        <v>1033</v>
      </c>
      <c r="G18" s="32" t="s">
        <v>1034</v>
      </c>
    </row>
    <row r="19">
      <c r="A19" s="690" t="s">
        <v>1035</v>
      </c>
      <c r="B19" s="39" t="s">
        <v>1036</v>
      </c>
      <c r="C19" s="691">
        <v>1.0</v>
      </c>
      <c r="D19" s="691">
        <v>0.0075</v>
      </c>
      <c r="E19" s="692">
        <f t="shared" si="3"/>
        <v>0.0075</v>
      </c>
      <c r="F19" s="4"/>
      <c r="G19" s="32" t="s">
        <v>1037</v>
      </c>
    </row>
    <row r="20">
      <c r="A20" s="690" t="s">
        <v>1038</v>
      </c>
      <c r="B20" s="39"/>
      <c r="C20" s="691">
        <v>1.0</v>
      </c>
      <c r="D20" s="691">
        <v>0.015</v>
      </c>
      <c r="E20" s="692">
        <f t="shared" si="3"/>
        <v>0.015</v>
      </c>
      <c r="F20" s="4" t="s">
        <v>1033</v>
      </c>
      <c r="G20" s="32" t="s">
        <v>1039</v>
      </c>
    </row>
    <row r="21" ht="15.75" customHeight="1">
      <c r="A21" s="690" t="s">
        <v>1040</v>
      </c>
      <c r="B21" s="700" t="s">
        <v>1023</v>
      </c>
      <c r="C21" s="701">
        <v>1.0</v>
      </c>
      <c r="D21" s="701">
        <f>63/1000</f>
        <v>0.063</v>
      </c>
      <c r="E21" s="692">
        <f>D21*C21</f>
        <v>0.063</v>
      </c>
      <c r="F21" s="4"/>
      <c r="G21" s="32" t="s">
        <v>1024</v>
      </c>
    </row>
    <row r="22" ht="15.75" customHeight="1">
      <c r="A22" s="685" t="s">
        <v>1041</v>
      </c>
      <c r="B22" s="5"/>
      <c r="C22" s="5"/>
      <c r="D22" s="9"/>
      <c r="E22" s="688">
        <f>SUM(E23:E25)</f>
        <v>0.5195</v>
      </c>
      <c r="F22" s="4"/>
      <c r="G22" s="32"/>
    </row>
    <row r="23" ht="15.75" customHeight="1">
      <c r="A23" s="690" t="s">
        <v>1042</v>
      </c>
      <c r="B23" s="39" t="s">
        <v>1043</v>
      </c>
      <c r="C23" s="691">
        <v>1.0</v>
      </c>
      <c r="D23" s="691">
        <v>0.19085</v>
      </c>
      <c r="E23" s="692">
        <f>(D23*C23)</f>
        <v>0.19085</v>
      </c>
      <c r="F23" s="4" t="s">
        <v>1021</v>
      </c>
      <c r="G23" s="32" t="s">
        <v>1044</v>
      </c>
    </row>
    <row r="24" ht="15.75" customHeight="1">
      <c r="A24" s="690" t="s">
        <v>1045</v>
      </c>
      <c r="B24" s="39" t="s">
        <v>1046</v>
      </c>
      <c r="C24" s="691">
        <v>1.0</v>
      </c>
      <c r="D24" s="691">
        <f>136.65/1000</f>
        <v>0.13665</v>
      </c>
      <c r="E24" s="692">
        <f>D24*C24</f>
        <v>0.13665</v>
      </c>
      <c r="F24" s="4"/>
      <c r="G24" s="32" t="s">
        <v>1047</v>
      </c>
    </row>
    <row r="25" ht="15.75" customHeight="1">
      <c r="A25" s="690" t="s">
        <v>1048</v>
      </c>
      <c r="B25" s="39" t="s">
        <v>1049</v>
      </c>
      <c r="C25" s="691">
        <v>2.0</v>
      </c>
      <c r="D25" s="691">
        <f>96/1000</f>
        <v>0.096</v>
      </c>
      <c r="E25" s="692">
        <f>(C25*D25)</f>
        <v>0.192</v>
      </c>
      <c r="F25" s="4" t="s">
        <v>1021</v>
      </c>
      <c r="G25" s="32" t="s">
        <v>1050</v>
      </c>
    </row>
    <row r="26" ht="15.75" customHeight="1">
      <c r="A26" s="685" t="s">
        <v>303</v>
      </c>
      <c r="B26" s="5"/>
      <c r="C26" s="5"/>
      <c r="D26" s="9"/>
      <c r="E26" s="688">
        <f>SUM(E27:E36)</f>
        <v>1.21007</v>
      </c>
      <c r="F26" s="4"/>
      <c r="G26" s="32"/>
    </row>
    <row r="27" ht="15.75" customHeight="1">
      <c r="A27" s="690" t="s">
        <v>997</v>
      </c>
      <c r="B27" s="700" t="s">
        <v>999</v>
      </c>
      <c r="C27" s="701">
        <v>1.0</v>
      </c>
      <c r="D27" s="701">
        <f>((27.15*4)+(79.91*2)+(25.86*2)+(22.31*2)+28.15+33.6+28.06+33.5+3.43+2.47)/1000</f>
        <v>0.49397</v>
      </c>
      <c r="E27" s="692">
        <f t="shared" ref="E27:E36" si="4">C27*D27</f>
        <v>0.49397</v>
      </c>
      <c r="F27" s="4"/>
      <c r="G27" s="32"/>
    </row>
    <row r="28" ht="15.75" customHeight="1">
      <c r="A28" s="690" t="s">
        <v>1051</v>
      </c>
      <c r="B28" s="700"/>
      <c r="C28" s="701">
        <v>50.0</v>
      </c>
      <c r="D28" s="701">
        <f>1.25/1000</f>
        <v>0.00125</v>
      </c>
      <c r="E28" s="692">
        <f t="shared" si="4"/>
        <v>0.0625</v>
      </c>
      <c r="F28" s="4"/>
      <c r="G28" s="32"/>
    </row>
    <row r="29" ht="15.75" customHeight="1">
      <c r="A29" s="690" t="s">
        <v>1052</v>
      </c>
      <c r="B29" s="39" t="s">
        <v>1053</v>
      </c>
      <c r="C29" s="691">
        <v>1.0</v>
      </c>
      <c r="D29" s="691">
        <f t="shared" ref="D29:D30" si="5">28.3/1000</f>
        <v>0.0283</v>
      </c>
      <c r="E29" s="692">
        <f t="shared" si="4"/>
        <v>0.0283</v>
      </c>
      <c r="F29" s="4" t="s">
        <v>1021</v>
      </c>
      <c r="G29" s="32" t="s">
        <v>1054</v>
      </c>
    </row>
    <row r="30" ht="15.75" customHeight="1">
      <c r="A30" s="690" t="s">
        <v>1055</v>
      </c>
      <c r="B30" s="39" t="s">
        <v>1053</v>
      </c>
      <c r="C30" s="691">
        <v>1.0</v>
      </c>
      <c r="D30" s="691">
        <f t="shared" si="5"/>
        <v>0.0283</v>
      </c>
      <c r="E30" s="692">
        <f t="shared" si="4"/>
        <v>0.0283</v>
      </c>
      <c r="F30" s="4" t="s">
        <v>1021</v>
      </c>
      <c r="G30" s="32" t="s">
        <v>1054</v>
      </c>
    </row>
    <row r="31" ht="15.75" customHeight="1">
      <c r="A31" s="690" t="s">
        <v>1056</v>
      </c>
      <c r="B31" s="700" t="s">
        <v>1057</v>
      </c>
      <c r="C31" s="701">
        <v>1.0</v>
      </c>
      <c r="D31" s="700">
        <f>270/1000</f>
        <v>0.27</v>
      </c>
      <c r="E31" s="692">
        <f t="shared" si="4"/>
        <v>0.27</v>
      </c>
      <c r="F31" s="4"/>
      <c r="G31" s="32" t="s">
        <v>1058</v>
      </c>
    </row>
    <row r="32" ht="15.75" customHeight="1">
      <c r="A32" s="690" t="s">
        <v>1059</v>
      </c>
      <c r="B32" s="700" t="s">
        <v>1049</v>
      </c>
      <c r="C32" s="701">
        <v>1.0</v>
      </c>
      <c r="D32" s="700">
        <f>70/1000</f>
        <v>0.07</v>
      </c>
      <c r="E32" s="692">
        <f t="shared" si="4"/>
        <v>0.07</v>
      </c>
      <c r="F32" s="4"/>
      <c r="G32" s="32" t="s">
        <v>1060</v>
      </c>
    </row>
    <row r="33" ht="15.75" customHeight="1">
      <c r="A33" s="690" t="s">
        <v>1061</v>
      </c>
      <c r="B33" s="700" t="s">
        <v>1049</v>
      </c>
      <c r="C33" s="701">
        <v>1.0</v>
      </c>
      <c r="D33" s="701">
        <f>67/1000</f>
        <v>0.067</v>
      </c>
      <c r="E33" s="692">
        <f t="shared" si="4"/>
        <v>0.067</v>
      </c>
      <c r="F33" s="4"/>
      <c r="G33" s="32" t="s">
        <v>1062</v>
      </c>
    </row>
    <row r="34" ht="15.75" customHeight="1">
      <c r="A34" s="690" t="s">
        <v>1040</v>
      </c>
      <c r="B34" s="700" t="s">
        <v>1023</v>
      </c>
      <c r="C34" s="701">
        <v>2.0</v>
      </c>
      <c r="D34" s="701">
        <f>63/1000</f>
        <v>0.063</v>
      </c>
      <c r="E34" s="692">
        <f t="shared" si="4"/>
        <v>0.126</v>
      </c>
      <c r="F34" s="4"/>
      <c r="G34" s="32" t="s">
        <v>1024</v>
      </c>
    </row>
    <row r="35" ht="15.75" customHeight="1">
      <c r="A35" s="690" t="s">
        <v>1048</v>
      </c>
      <c r="B35" s="700" t="s">
        <v>1063</v>
      </c>
      <c r="C35" s="701">
        <v>1.0</v>
      </c>
      <c r="D35" s="701">
        <f>40/1000</f>
        <v>0.04</v>
      </c>
      <c r="E35" s="692">
        <f t="shared" si="4"/>
        <v>0.04</v>
      </c>
      <c r="F35" s="4"/>
      <c r="G35" s="32" t="s">
        <v>1064</v>
      </c>
    </row>
    <row r="36" ht="15.75" customHeight="1">
      <c r="A36" s="690" t="s">
        <v>1065</v>
      </c>
      <c r="B36" s="700" t="s">
        <v>1023</v>
      </c>
      <c r="C36" s="701">
        <v>1.0</v>
      </c>
      <c r="D36" s="701">
        <f>24/1000</f>
        <v>0.024</v>
      </c>
      <c r="E36" s="692">
        <f t="shared" si="4"/>
        <v>0.024</v>
      </c>
      <c r="F36" s="4"/>
      <c r="G36" s="32" t="s">
        <v>1066</v>
      </c>
    </row>
    <row r="37" ht="15.75" customHeight="1">
      <c r="A37" s="685" t="s">
        <v>280</v>
      </c>
      <c r="B37" s="5"/>
      <c r="C37" s="5"/>
      <c r="D37" s="9"/>
      <c r="E37" s="688">
        <f>SUM(E38:E40)</f>
        <v>0.00295</v>
      </c>
      <c r="F37" s="4"/>
      <c r="G37" s="32"/>
    </row>
    <row r="38" ht="15.75" customHeight="1">
      <c r="A38" s="690" t="s">
        <v>1067</v>
      </c>
      <c r="B38" s="39" t="s">
        <v>1068</v>
      </c>
      <c r="C38" s="691">
        <v>3.0</v>
      </c>
      <c r="D38" s="691">
        <v>0.0</v>
      </c>
      <c r="E38" s="692">
        <f t="shared" ref="E38:E40" si="6">C38*D38</f>
        <v>0</v>
      </c>
      <c r="F38" s="4"/>
      <c r="G38" s="32" t="s">
        <v>1069</v>
      </c>
    </row>
    <row r="39" ht="15.75" customHeight="1">
      <c r="A39" s="690" t="s">
        <v>1070</v>
      </c>
      <c r="B39" s="39" t="s">
        <v>1071</v>
      </c>
      <c r="C39" s="691">
        <v>1.0</v>
      </c>
      <c r="D39" s="691">
        <f>0.15/1000</f>
        <v>0.00015</v>
      </c>
      <c r="E39" s="692">
        <f t="shared" si="6"/>
        <v>0.00015</v>
      </c>
      <c r="F39" s="710"/>
      <c r="G39" s="32"/>
    </row>
    <row r="40" ht="15.75" customHeight="1">
      <c r="A40" s="690" t="s">
        <v>1072</v>
      </c>
      <c r="B40" s="39" t="s">
        <v>1073</v>
      </c>
      <c r="C40" s="691">
        <v>8.0</v>
      </c>
      <c r="D40" s="691">
        <f>0.35/1000</f>
        <v>0.00035</v>
      </c>
      <c r="E40" s="692">
        <f t="shared" si="6"/>
        <v>0.0028</v>
      </c>
      <c r="F40" s="710"/>
      <c r="G40" s="32"/>
    </row>
    <row r="41" ht="15.75" customHeight="1">
      <c r="A41" s="685" t="s">
        <v>40</v>
      </c>
      <c r="B41" s="5"/>
      <c r="C41" s="5"/>
      <c r="D41" s="9"/>
      <c r="E41" s="711">
        <f>SUM(E42,E43)</f>
        <v>0.103</v>
      </c>
      <c r="F41" s="4"/>
      <c r="G41" s="32"/>
    </row>
    <row r="42" ht="15.75" customHeight="1">
      <c r="A42" s="690" t="s">
        <v>1074</v>
      </c>
      <c r="B42" s="712"/>
      <c r="C42" s="713" t="s">
        <v>1075</v>
      </c>
      <c r="D42" s="713" t="s">
        <v>1077</v>
      </c>
      <c r="E42" s="692">
        <v>0.04</v>
      </c>
      <c r="F42" s="4"/>
      <c r="G42" s="32" t="s">
        <v>1078</v>
      </c>
    </row>
    <row r="43" ht="15.75" customHeight="1">
      <c r="A43" s="716" t="s">
        <v>1040</v>
      </c>
      <c r="B43" s="718"/>
      <c r="C43" s="718">
        <v>1.0</v>
      </c>
      <c r="D43" s="718">
        <f>63/1000</f>
        <v>0.063</v>
      </c>
      <c r="E43" s="720">
        <f>C43*D43</f>
        <v>0.063</v>
      </c>
      <c r="F43" s="4"/>
      <c r="G43" s="32" t="s">
        <v>1024</v>
      </c>
    </row>
    <row r="44" ht="15.75" customHeight="1">
      <c r="A44" s="721"/>
      <c r="B44" s="4"/>
      <c r="C44" s="4"/>
      <c r="D44" s="722" t="s">
        <v>1079</v>
      </c>
      <c r="E44" s="723">
        <f>SUM(E3,E11,E17,E22,E26,E37,E41)</f>
        <v>3.7682</v>
      </c>
      <c r="F44" s="4"/>
      <c r="G44" s="32"/>
    </row>
    <row r="45" ht="15.75" customHeight="1">
      <c r="A45" s="721"/>
      <c r="B45" s="4"/>
      <c r="C45" s="4"/>
      <c r="D45" s="722" t="s">
        <v>1080</v>
      </c>
      <c r="E45" s="724">
        <f>(E44*0.25)+E44</f>
        <v>4.71025</v>
      </c>
      <c r="F45" s="4"/>
      <c r="G45" s="32"/>
    </row>
    <row r="46" ht="15.75" customHeight="1">
      <c r="A46" s="725"/>
      <c r="B46" s="726"/>
      <c r="C46" s="726"/>
      <c r="D46" s="726" t="s">
        <v>1081</v>
      </c>
      <c r="E46" s="727">
        <v>6.0</v>
      </c>
      <c r="F46" s="4"/>
      <c r="G46" s="32"/>
    </row>
    <row r="47" ht="15.75" customHeight="1">
      <c r="A47" s="728"/>
      <c r="B47" s="4"/>
      <c r="C47" s="4"/>
      <c r="D47" s="4"/>
      <c r="E47" s="4"/>
      <c r="F47" s="4"/>
      <c r="G47" s="729"/>
    </row>
    <row r="48" ht="15.75" customHeight="1">
      <c r="A48" s="728"/>
      <c r="B48" s="4"/>
      <c r="C48" s="4"/>
      <c r="D48" s="4"/>
      <c r="E48" s="4"/>
      <c r="F48" s="4"/>
      <c r="G48" s="729"/>
    </row>
    <row r="49" ht="15.75" customHeight="1">
      <c r="A49" s="730"/>
      <c r="B49" s="11"/>
      <c r="C49" s="11"/>
      <c r="D49" s="11"/>
      <c r="E49" s="11"/>
      <c r="F49" s="11"/>
      <c r="G49" s="11"/>
    </row>
    <row r="50" ht="15.75" customHeight="1">
      <c r="A50" s="11"/>
      <c r="B50" s="11"/>
      <c r="C50" s="11"/>
      <c r="D50" s="11"/>
      <c r="E50" s="11"/>
      <c r="F50" s="11"/>
      <c r="G50" s="11"/>
    </row>
    <row r="51" ht="15.75" customHeight="1">
      <c r="A51" s="11"/>
      <c r="B51" s="731"/>
      <c r="C51" s="11"/>
      <c r="D51" s="11"/>
      <c r="E51" s="11"/>
      <c r="F51" s="11"/>
      <c r="G51" s="11"/>
    </row>
    <row r="52" ht="15.75" customHeight="1">
      <c r="A52" s="11"/>
      <c r="B52" s="731"/>
      <c r="C52" s="11"/>
      <c r="D52" s="11"/>
      <c r="F52" s="11"/>
      <c r="G52" s="11"/>
    </row>
    <row r="53" ht="15.75" customHeight="1">
      <c r="A53" s="11"/>
      <c r="B53" s="731"/>
      <c r="C53" s="11"/>
      <c r="D53" s="11"/>
      <c r="F53" s="11"/>
      <c r="G53" s="11"/>
    </row>
    <row r="54" ht="15.75" customHeight="1">
      <c r="A54" s="11"/>
      <c r="B54" s="731"/>
      <c r="C54" s="11"/>
      <c r="D54" s="11"/>
      <c r="F54" s="11"/>
      <c r="G54" s="11"/>
    </row>
    <row r="55" ht="15.75" customHeight="1">
      <c r="A55" s="11"/>
      <c r="B55" s="731"/>
      <c r="C55" s="11"/>
      <c r="D55" s="11"/>
      <c r="F55" s="11"/>
      <c r="G55" s="11"/>
    </row>
    <row r="56" ht="15.75" customHeight="1">
      <c r="A56" s="11"/>
      <c r="B56" s="731"/>
      <c r="C56" s="11"/>
      <c r="F56" s="11"/>
      <c r="G56" s="11"/>
    </row>
    <row r="57" ht="15.75" customHeight="1">
      <c r="A57" s="11"/>
      <c r="B57" s="731"/>
      <c r="C57" s="11"/>
      <c r="D57" s="11"/>
      <c r="F57" s="11"/>
      <c r="G57" s="11"/>
    </row>
    <row r="58" ht="15.75" customHeight="1">
      <c r="A58" s="11"/>
      <c r="B58" s="11"/>
      <c r="C58" s="11"/>
      <c r="D58" s="11"/>
      <c r="E58" s="11"/>
      <c r="G58" s="11"/>
    </row>
    <row r="59" ht="15.75" customHeight="1">
      <c r="A59" s="11"/>
      <c r="B59" s="11"/>
    </row>
    <row r="60" ht="15.75" customHeight="1">
      <c r="B60" s="731"/>
      <c r="G60" s="11"/>
    </row>
    <row r="61" ht="15.75" customHeight="1">
      <c r="B61" s="11"/>
      <c r="G61" s="11"/>
    </row>
    <row r="62" ht="15.75" customHeight="1">
      <c r="G62" s="11"/>
    </row>
    <row r="63" ht="15.75" customHeight="1">
      <c r="G63" s="11"/>
    </row>
    <row r="64" ht="15.75" customHeight="1">
      <c r="G64" s="11"/>
    </row>
    <row r="65" ht="15.75" customHeight="1">
      <c r="G65" s="11"/>
    </row>
    <row r="66" ht="15.75" customHeight="1">
      <c r="G66" s="11"/>
    </row>
    <row r="67" ht="15.75" customHeight="1">
      <c r="G67" s="11"/>
    </row>
    <row r="68" ht="15.75" customHeight="1">
      <c r="G68" s="11"/>
    </row>
    <row r="69" ht="15.75" customHeight="1">
      <c r="A69" s="730"/>
      <c r="B69" s="11"/>
      <c r="C69" s="11"/>
      <c r="D69" s="11"/>
      <c r="E69" s="11"/>
      <c r="F69" s="11"/>
      <c r="G69" s="11"/>
    </row>
    <row r="70" ht="15.75" customHeight="1">
      <c r="A70" s="728"/>
      <c r="B70" s="4"/>
      <c r="C70" s="4"/>
      <c r="D70" s="4"/>
      <c r="E70" s="4"/>
      <c r="F70" s="4"/>
      <c r="G70" s="729"/>
    </row>
    <row r="71" ht="15.75" customHeight="1">
      <c r="A71" s="728"/>
      <c r="B71" s="4"/>
      <c r="C71" s="4"/>
      <c r="D71" s="4"/>
      <c r="E71" s="4"/>
      <c r="F71" s="4"/>
      <c r="G71" s="729"/>
    </row>
    <row r="72" ht="15.75" customHeight="1">
      <c r="A72" s="728"/>
      <c r="B72" s="4"/>
      <c r="C72" s="4"/>
      <c r="D72" s="4"/>
      <c r="E72" s="4"/>
      <c r="F72" s="4"/>
      <c r="G72" s="729"/>
    </row>
    <row r="73" ht="15.75" customHeight="1">
      <c r="A73" s="728"/>
      <c r="B73" s="4"/>
      <c r="C73" s="4"/>
      <c r="D73" s="4"/>
      <c r="E73" s="4"/>
      <c r="F73" s="4"/>
      <c r="G73" s="729"/>
    </row>
    <row r="74" ht="15.75" customHeight="1">
      <c r="A74" s="728"/>
      <c r="B74" s="4"/>
      <c r="C74" s="4"/>
      <c r="D74" s="4"/>
      <c r="E74" s="4"/>
      <c r="F74" s="4"/>
      <c r="G74" s="729"/>
    </row>
    <row r="75" ht="15.75" customHeight="1">
      <c r="A75" s="728"/>
      <c r="B75" s="4"/>
      <c r="C75" s="4"/>
      <c r="D75" s="4"/>
      <c r="E75" s="4"/>
      <c r="F75" s="4"/>
      <c r="G75" s="729"/>
    </row>
    <row r="76" ht="15.75" customHeight="1">
      <c r="A76" s="728"/>
      <c r="B76" s="4"/>
      <c r="C76" s="4"/>
      <c r="D76" s="4"/>
      <c r="E76" s="4"/>
      <c r="F76" s="4"/>
      <c r="G76" s="729"/>
    </row>
    <row r="77" ht="15.75" customHeight="1">
      <c r="A77" s="728"/>
      <c r="B77" s="4"/>
      <c r="C77" s="4"/>
      <c r="D77" s="4"/>
      <c r="E77" s="4"/>
      <c r="F77" s="4"/>
      <c r="G77" s="729"/>
    </row>
    <row r="78" ht="15.75" customHeight="1">
      <c r="A78" s="728"/>
      <c r="B78" s="4"/>
      <c r="C78" s="4"/>
      <c r="D78" s="4"/>
      <c r="E78" s="4"/>
      <c r="F78" s="4"/>
      <c r="G78" s="729"/>
    </row>
    <row r="79" ht="15.75" customHeight="1">
      <c r="A79" s="728"/>
      <c r="B79" s="4"/>
      <c r="C79" s="4"/>
      <c r="D79" s="4"/>
      <c r="E79" s="4"/>
      <c r="F79" s="4"/>
      <c r="G79" s="729"/>
    </row>
    <row r="80" ht="15.75" customHeight="1">
      <c r="A80" s="728"/>
      <c r="B80" s="4"/>
      <c r="C80" s="4"/>
      <c r="D80" s="4"/>
      <c r="E80" s="4"/>
      <c r="F80" s="4"/>
      <c r="G80" s="729"/>
    </row>
    <row r="81" ht="15.75" customHeight="1">
      <c r="A81" s="728"/>
      <c r="B81" s="4"/>
      <c r="C81" s="4"/>
      <c r="D81" s="4"/>
      <c r="E81" s="4"/>
      <c r="F81" s="4"/>
      <c r="G81" s="729"/>
    </row>
    <row r="82" ht="15.75" customHeight="1">
      <c r="A82" s="728"/>
      <c r="B82" s="4"/>
      <c r="C82" s="4"/>
      <c r="D82" s="4"/>
      <c r="E82" s="4"/>
      <c r="F82" s="4"/>
      <c r="G82" s="729"/>
    </row>
    <row r="83" ht="15.75" customHeight="1">
      <c r="A83" s="728"/>
      <c r="B83" s="4"/>
      <c r="C83" s="4"/>
      <c r="D83" s="4"/>
      <c r="E83" s="4"/>
      <c r="F83" s="4"/>
      <c r="G83" s="729"/>
    </row>
    <row r="84" ht="15.75" customHeight="1">
      <c r="A84" s="728"/>
      <c r="B84" s="4"/>
      <c r="C84" s="4"/>
      <c r="D84" s="4"/>
      <c r="E84" s="4"/>
      <c r="F84" s="4"/>
      <c r="G84" s="729"/>
    </row>
    <row r="85" ht="15.75" customHeight="1">
      <c r="A85" s="728"/>
      <c r="B85" s="4"/>
      <c r="C85" s="4"/>
      <c r="D85" s="4"/>
      <c r="E85" s="4"/>
      <c r="F85" s="4"/>
      <c r="G85" s="729"/>
    </row>
    <row r="86" ht="15.75" customHeight="1">
      <c r="A86" s="728"/>
      <c r="B86" s="4"/>
      <c r="C86" s="4"/>
      <c r="D86" s="4"/>
      <c r="E86" s="4"/>
      <c r="F86" s="4"/>
      <c r="G86" s="729"/>
    </row>
    <row r="87" ht="15.75" customHeight="1">
      <c r="A87" s="728"/>
      <c r="B87" s="4"/>
      <c r="C87" s="4"/>
      <c r="D87" s="4"/>
      <c r="E87" s="4"/>
      <c r="F87" s="4"/>
      <c r="G87" s="729"/>
    </row>
    <row r="88" ht="15.75" customHeight="1">
      <c r="A88" s="728"/>
      <c r="B88" s="4"/>
      <c r="C88" s="4"/>
      <c r="D88" s="4"/>
      <c r="E88" s="4"/>
      <c r="F88" s="4"/>
      <c r="G88" s="729"/>
    </row>
    <row r="89" ht="15.75" customHeight="1">
      <c r="A89" s="728"/>
      <c r="B89" s="4"/>
      <c r="C89" s="4"/>
      <c r="D89" s="4"/>
      <c r="E89" s="4"/>
      <c r="F89" s="4"/>
      <c r="G89" s="729"/>
    </row>
    <row r="90" ht="15.75" customHeight="1">
      <c r="A90" s="728"/>
      <c r="B90" s="4"/>
      <c r="C90" s="4"/>
      <c r="D90" s="4"/>
      <c r="E90" s="4"/>
      <c r="F90" s="4"/>
      <c r="G90" s="729"/>
    </row>
    <row r="91" ht="15.75" customHeight="1">
      <c r="A91" s="728"/>
      <c r="B91" s="4"/>
      <c r="C91" s="4"/>
      <c r="D91" s="4"/>
      <c r="E91" s="4"/>
      <c r="F91" s="4"/>
      <c r="G91" s="729"/>
    </row>
    <row r="92" ht="15.75" customHeight="1">
      <c r="A92" s="728"/>
      <c r="B92" s="4"/>
      <c r="C92" s="4"/>
      <c r="D92" s="4"/>
      <c r="E92" s="4"/>
      <c r="F92" s="4"/>
      <c r="G92" s="729"/>
    </row>
    <row r="93" ht="15.75" customHeight="1">
      <c r="A93" s="728"/>
      <c r="B93" s="4"/>
      <c r="C93" s="4"/>
      <c r="D93" s="4"/>
      <c r="E93" s="4"/>
      <c r="F93" s="4"/>
      <c r="G93" s="729"/>
    </row>
    <row r="94" ht="15.75" customHeight="1">
      <c r="A94" s="728"/>
      <c r="B94" s="4"/>
      <c r="C94" s="4"/>
      <c r="D94" s="4"/>
      <c r="E94" s="4"/>
      <c r="F94" s="4"/>
      <c r="G94" s="729"/>
    </row>
    <row r="95" ht="15.75" customHeight="1">
      <c r="A95" s="728"/>
      <c r="B95" s="4"/>
      <c r="C95" s="4"/>
      <c r="D95" s="4"/>
      <c r="E95" s="4"/>
      <c r="F95" s="4"/>
      <c r="G95" s="729"/>
    </row>
    <row r="96" ht="15.75" customHeight="1">
      <c r="A96" s="728"/>
      <c r="B96" s="4"/>
      <c r="C96" s="4"/>
      <c r="D96" s="4"/>
      <c r="E96" s="4"/>
      <c r="F96" s="4"/>
      <c r="G96" s="729"/>
    </row>
    <row r="97" ht="15.75" customHeight="1">
      <c r="A97" s="728"/>
      <c r="B97" s="4"/>
      <c r="C97" s="4"/>
      <c r="D97" s="4"/>
      <c r="E97" s="4"/>
      <c r="F97" s="4"/>
      <c r="G97" s="729"/>
    </row>
    <row r="98" ht="15.75" customHeight="1">
      <c r="A98" s="728"/>
      <c r="B98" s="4"/>
      <c r="C98" s="4"/>
      <c r="D98" s="4"/>
      <c r="E98" s="4"/>
      <c r="F98" s="4"/>
      <c r="G98" s="729"/>
    </row>
    <row r="99" ht="15.75" customHeight="1">
      <c r="A99" s="728"/>
      <c r="B99" s="4"/>
      <c r="C99" s="4"/>
      <c r="D99" s="4"/>
      <c r="E99" s="4"/>
      <c r="F99" s="4"/>
      <c r="G99" s="729"/>
    </row>
    <row r="100" ht="15.75" customHeight="1">
      <c r="A100" s="728"/>
      <c r="B100" s="4"/>
      <c r="C100" s="4"/>
      <c r="D100" s="4"/>
      <c r="E100" s="4"/>
      <c r="F100" s="4"/>
      <c r="G100" s="729"/>
    </row>
    <row r="101" ht="15.75" customHeight="1">
      <c r="A101" s="728"/>
      <c r="B101" s="4"/>
      <c r="C101" s="4"/>
      <c r="D101" s="4"/>
      <c r="E101" s="4"/>
      <c r="F101" s="4"/>
      <c r="G101" s="729"/>
    </row>
    <row r="102" ht="15.75" customHeight="1">
      <c r="A102" s="728"/>
      <c r="B102" s="4"/>
      <c r="C102" s="4"/>
      <c r="D102" s="4"/>
      <c r="E102" s="4"/>
      <c r="F102" s="4"/>
      <c r="G102" s="729"/>
    </row>
    <row r="103" ht="15.75" customHeight="1">
      <c r="A103" s="728"/>
      <c r="B103" s="4"/>
      <c r="C103" s="4"/>
      <c r="D103" s="4"/>
      <c r="E103" s="4"/>
      <c r="F103" s="4"/>
      <c r="G103" s="729"/>
    </row>
    <row r="104" ht="15.75" customHeight="1">
      <c r="A104" s="728"/>
      <c r="B104" s="4"/>
      <c r="C104" s="4"/>
      <c r="D104" s="4"/>
      <c r="E104" s="4"/>
      <c r="F104" s="4"/>
      <c r="G104" s="729"/>
    </row>
    <row r="105" ht="15.75" customHeight="1">
      <c r="A105" s="728"/>
      <c r="B105" s="4"/>
      <c r="C105" s="4"/>
      <c r="D105" s="4"/>
      <c r="E105" s="4"/>
      <c r="F105" s="4"/>
      <c r="G105" s="729"/>
    </row>
    <row r="106" ht="15.75" customHeight="1">
      <c r="A106" s="728"/>
      <c r="B106" s="4"/>
      <c r="C106" s="4"/>
      <c r="D106" s="4"/>
      <c r="E106" s="4"/>
      <c r="F106" s="4"/>
      <c r="G106" s="729"/>
    </row>
    <row r="107" ht="15.75" customHeight="1">
      <c r="A107" s="728"/>
      <c r="B107" s="4"/>
      <c r="C107" s="4"/>
      <c r="D107" s="4"/>
      <c r="E107" s="4"/>
      <c r="F107" s="4"/>
      <c r="G107" s="729"/>
    </row>
    <row r="108" ht="15.75" customHeight="1">
      <c r="A108" s="728"/>
      <c r="B108" s="4"/>
      <c r="C108" s="4"/>
      <c r="D108" s="4"/>
      <c r="E108" s="4"/>
      <c r="F108" s="4"/>
      <c r="G108" s="729"/>
    </row>
    <row r="109" ht="15.75" customHeight="1">
      <c r="A109" s="728"/>
      <c r="B109" s="4"/>
      <c r="C109" s="4"/>
      <c r="D109" s="4"/>
      <c r="E109" s="4"/>
      <c r="F109" s="4"/>
      <c r="G109" s="729"/>
    </row>
    <row r="110" ht="15.75" customHeight="1">
      <c r="A110" s="728"/>
      <c r="B110" s="4"/>
      <c r="C110" s="4"/>
      <c r="D110" s="4"/>
      <c r="E110" s="4"/>
      <c r="F110" s="4"/>
      <c r="G110" s="729"/>
    </row>
    <row r="111" ht="15.75" customHeight="1">
      <c r="A111" s="728"/>
      <c r="B111" s="4"/>
      <c r="C111" s="4"/>
      <c r="D111" s="4"/>
      <c r="E111" s="4"/>
      <c r="F111" s="4"/>
      <c r="G111" s="729"/>
    </row>
    <row r="112" ht="15.75" customHeight="1">
      <c r="A112" s="728"/>
      <c r="B112" s="4"/>
      <c r="C112" s="4"/>
      <c r="D112" s="4"/>
      <c r="E112" s="4"/>
      <c r="F112" s="4"/>
      <c r="G112" s="729"/>
    </row>
    <row r="113" ht="15.75" customHeight="1">
      <c r="A113" s="728"/>
      <c r="B113" s="4"/>
      <c r="C113" s="4"/>
      <c r="D113" s="4"/>
      <c r="E113" s="4"/>
      <c r="F113" s="4"/>
      <c r="G113" s="729"/>
    </row>
    <row r="114" ht="15.75" customHeight="1">
      <c r="A114" s="728"/>
      <c r="B114" s="4"/>
      <c r="C114" s="4"/>
      <c r="D114" s="4"/>
      <c r="E114" s="4"/>
      <c r="F114" s="4"/>
      <c r="G114" s="729"/>
    </row>
    <row r="115" ht="15.75" customHeight="1">
      <c r="A115" s="728"/>
      <c r="B115" s="4"/>
      <c r="C115" s="4"/>
      <c r="D115" s="4"/>
      <c r="E115" s="4"/>
      <c r="F115" s="4"/>
      <c r="G115" s="729"/>
    </row>
    <row r="116" ht="15.75" customHeight="1">
      <c r="A116" s="728"/>
      <c r="B116" s="4"/>
      <c r="C116" s="4"/>
      <c r="D116" s="4"/>
      <c r="E116" s="4"/>
      <c r="F116" s="4"/>
      <c r="G116" s="729"/>
    </row>
    <row r="117" ht="15.75" customHeight="1">
      <c r="A117" s="728"/>
      <c r="B117" s="4"/>
      <c r="C117" s="4"/>
      <c r="D117" s="4"/>
      <c r="E117" s="4"/>
      <c r="F117" s="4"/>
      <c r="G117" s="729"/>
    </row>
    <row r="118" ht="15.75" customHeight="1">
      <c r="A118" s="728"/>
      <c r="B118" s="4"/>
      <c r="C118" s="4"/>
      <c r="D118" s="4"/>
      <c r="E118" s="4"/>
      <c r="F118" s="4"/>
      <c r="G118" s="729"/>
    </row>
    <row r="119" ht="15.75" customHeight="1">
      <c r="A119" s="728"/>
      <c r="B119" s="4"/>
      <c r="C119" s="4"/>
      <c r="D119" s="4"/>
      <c r="E119" s="4"/>
      <c r="F119" s="4"/>
      <c r="G119" s="729"/>
    </row>
    <row r="120" ht="15.75" customHeight="1">
      <c r="A120" s="728"/>
      <c r="B120" s="4"/>
      <c r="C120" s="4"/>
      <c r="D120" s="4"/>
      <c r="E120" s="4"/>
      <c r="F120" s="4"/>
      <c r="G120" s="729"/>
    </row>
    <row r="121" ht="15.75" customHeight="1">
      <c r="A121" s="728"/>
      <c r="B121" s="4"/>
      <c r="C121" s="4"/>
      <c r="D121" s="4"/>
      <c r="E121" s="4"/>
      <c r="F121" s="4"/>
      <c r="G121" s="729"/>
    </row>
    <row r="122" ht="15.75" customHeight="1">
      <c r="A122" s="728"/>
      <c r="B122" s="4"/>
      <c r="C122" s="4"/>
      <c r="D122" s="4"/>
      <c r="E122" s="4"/>
      <c r="F122" s="4"/>
      <c r="G122" s="729"/>
    </row>
    <row r="123" ht="15.75" customHeight="1">
      <c r="A123" s="728"/>
      <c r="B123" s="4"/>
      <c r="C123" s="4"/>
      <c r="D123" s="4"/>
      <c r="E123" s="4"/>
      <c r="F123" s="4"/>
      <c r="G123" s="729"/>
    </row>
    <row r="124" ht="15.75" customHeight="1">
      <c r="A124" s="728"/>
      <c r="B124" s="4"/>
      <c r="C124" s="4"/>
      <c r="D124" s="4"/>
      <c r="E124" s="4"/>
      <c r="F124" s="4"/>
      <c r="G124" s="729"/>
    </row>
    <row r="125" ht="15.75" customHeight="1">
      <c r="A125" s="728"/>
      <c r="B125" s="4"/>
      <c r="C125" s="4"/>
      <c r="D125" s="4"/>
      <c r="E125" s="4"/>
      <c r="F125" s="4"/>
      <c r="G125" s="729"/>
    </row>
    <row r="126" ht="15.75" customHeight="1">
      <c r="A126" s="728"/>
      <c r="B126" s="4"/>
      <c r="C126" s="4"/>
      <c r="D126" s="4"/>
      <c r="E126" s="4"/>
      <c r="F126" s="4"/>
      <c r="G126" s="729"/>
    </row>
    <row r="127" ht="15.75" customHeight="1">
      <c r="A127" s="728"/>
      <c r="B127" s="4"/>
      <c r="C127" s="4"/>
      <c r="D127" s="4"/>
      <c r="E127" s="4"/>
      <c r="F127" s="4"/>
      <c r="G127" s="729"/>
    </row>
    <row r="128" ht="15.75" customHeight="1">
      <c r="A128" s="728"/>
      <c r="B128" s="4"/>
      <c r="C128" s="4"/>
      <c r="D128" s="4"/>
      <c r="E128" s="4"/>
      <c r="F128" s="4"/>
      <c r="G128" s="729"/>
    </row>
    <row r="129" ht="15.75" customHeight="1">
      <c r="A129" s="728"/>
      <c r="B129" s="4"/>
      <c r="C129" s="4"/>
      <c r="D129" s="4"/>
      <c r="E129" s="4"/>
      <c r="F129" s="4"/>
      <c r="G129" s="729"/>
    </row>
    <row r="130" ht="15.75" customHeight="1">
      <c r="A130" s="728"/>
      <c r="B130" s="4"/>
      <c r="C130" s="4"/>
      <c r="D130" s="4"/>
      <c r="E130" s="4"/>
      <c r="F130" s="4"/>
      <c r="G130" s="729"/>
    </row>
    <row r="131" ht="15.75" customHeight="1">
      <c r="A131" s="728"/>
      <c r="B131" s="4"/>
      <c r="C131" s="4"/>
      <c r="D131" s="4"/>
      <c r="E131" s="4"/>
      <c r="F131" s="4"/>
      <c r="G131" s="729"/>
    </row>
    <row r="132" ht="15.75" customHeight="1">
      <c r="A132" s="728"/>
      <c r="B132" s="4"/>
      <c r="C132" s="4"/>
      <c r="D132" s="4"/>
      <c r="E132" s="4"/>
      <c r="F132" s="4"/>
      <c r="G132" s="729"/>
    </row>
    <row r="133" ht="15.75" customHeight="1">
      <c r="A133" s="728"/>
      <c r="B133" s="4"/>
      <c r="C133" s="4"/>
      <c r="D133" s="4"/>
      <c r="E133" s="4"/>
      <c r="F133" s="4"/>
      <c r="G133" s="729"/>
    </row>
    <row r="134" ht="15.75" customHeight="1">
      <c r="A134" s="728"/>
      <c r="B134" s="4"/>
      <c r="C134" s="4"/>
      <c r="D134" s="4"/>
      <c r="E134" s="4"/>
      <c r="F134" s="4"/>
      <c r="G134" s="729"/>
    </row>
    <row r="135" ht="15.75" customHeight="1">
      <c r="A135" s="728"/>
      <c r="B135" s="4"/>
      <c r="C135" s="4"/>
      <c r="D135" s="4"/>
      <c r="E135" s="4"/>
      <c r="F135" s="4"/>
      <c r="G135" s="729"/>
    </row>
    <row r="136" ht="15.75" customHeight="1">
      <c r="A136" s="728"/>
      <c r="B136" s="4"/>
      <c r="C136" s="4"/>
      <c r="D136" s="4"/>
      <c r="E136" s="4"/>
      <c r="F136" s="4"/>
      <c r="G136" s="729"/>
    </row>
    <row r="137" ht="15.75" customHeight="1">
      <c r="A137" s="728"/>
      <c r="B137" s="4"/>
      <c r="C137" s="4"/>
      <c r="D137" s="4"/>
      <c r="E137" s="4"/>
      <c r="F137" s="4"/>
      <c r="G137" s="729"/>
    </row>
    <row r="138" ht="15.75" customHeight="1">
      <c r="A138" s="728"/>
      <c r="B138" s="4"/>
      <c r="C138" s="4"/>
      <c r="D138" s="4"/>
      <c r="E138" s="4"/>
      <c r="F138" s="4"/>
      <c r="G138" s="729"/>
    </row>
    <row r="139" ht="15.75" customHeight="1">
      <c r="A139" s="728"/>
      <c r="B139" s="4"/>
      <c r="C139" s="4"/>
      <c r="D139" s="4"/>
      <c r="E139" s="4"/>
      <c r="F139" s="4"/>
      <c r="G139" s="729"/>
    </row>
    <row r="140" ht="15.75" customHeight="1">
      <c r="A140" s="728"/>
      <c r="B140" s="4"/>
      <c r="C140" s="4"/>
      <c r="D140" s="4"/>
      <c r="E140" s="4"/>
      <c r="F140" s="4"/>
      <c r="G140" s="729"/>
    </row>
    <row r="141" ht="15.75" customHeight="1">
      <c r="A141" s="728"/>
      <c r="B141" s="4"/>
      <c r="C141" s="4"/>
      <c r="D141" s="4"/>
      <c r="E141" s="4"/>
      <c r="F141" s="4"/>
      <c r="G141" s="729"/>
    </row>
    <row r="142" ht="15.75" customHeight="1">
      <c r="A142" s="728"/>
      <c r="B142" s="4"/>
      <c r="C142" s="4"/>
      <c r="D142" s="4"/>
      <c r="E142" s="4"/>
      <c r="F142" s="4"/>
      <c r="G142" s="729"/>
    </row>
    <row r="143" ht="15.75" customHeight="1">
      <c r="A143" s="728"/>
      <c r="B143" s="4"/>
      <c r="C143" s="4"/>
      <c r="D143" s="4"/>
      <c r="E143" s="4"/>
      <c r="F143" s="4"/>
      <c r="G143" s="729"/>
    </row>
    <row r="144" ht="15.75" customHeight="1">
      <c r="A144" s="728"/>
      <c r="B144" s="4"/>
      <c r="C144" s="4"/>
      <c r="D144" s="4"/>
      <c r="E144" s="4"/>
      <c r="F144" s="4"/>
      <c r="G144" s="729"/>
    </row>
    <row r="145" ht="15.75" customHeight="1">
      <c r="A145" s="728"/>
      <c r="B145" s="4"/>
      <c r="C145" s="4"/>
      <c r="D145" s="4"/>
      <c r="E145" s="4"/>
      <c r="F145" s="4"/>
      <c r="G145" s="729"/>
    </row>
    <row r="146" ht="15.75" customHeight="1">
      <c r="A146" s="728"/>
      <c r="B146" s="4"/>
      <c r="C146" s="4"/>
      <c r="D146" s="4"/>
      <c r="E146" s="4"/>
      <c r="F146" s="4"/>
      <c r="G146" s="729"/>
    </row>
    <row r="147" ht="15.75" customHeight="1">
      <c r="A147" s="728"/>
      <c r="B147" s="4"/>
      <c r="C147" s="4"/>
      <c r="D147" s="4"/>
      <c r="E147" s="4"/>
      <c r="F147" s="4"/>
      <c r="G147" s="729"/>
    </row>
    <row r="148" ht="15.75" customHeight="1">
      <c r="A148" s="728"/>
      <c r="B148" s="4"/>
      <c r="C148" s="4"/>
      <c r="D148" s="4"/>
      <c r="E148" s="4"/>
      <c r="F148" s="4"/>
      <c r="G148" s="729"/>
    </row>
    <row r="149" ht="15.75" customHeight="1">
      <c r="A149" s="728"/>
      <c r="B149" s="4"/>
      <c r="C149" s="4"/>
      <c r="D149" s="4"/>
      <c r="E149" s="4"/>
      <c r="F149" s="4"/>
      <c r="G149" s="729"/>
    </row>
    <row r="150" ht="15.75" customHeight="1">
      <c r="A150" s="728"/>
      <c r="B150" s="4"/>
      <c r="C150" s="4"/>
      <c r="D150" s="4"/>
      <c r="E150" s="4"/>
      <c r="F150" s="4"/>
      <c r="G150" s="729"/>
    </row>
    <row r="151" ht="15.75" customHeight="1">
      <c r="A151" s="728"/>
      <c r="B151" s="4"/>
      <c r="C151" s="4"/>
      <c r="D151" s="4"/>
      <c r="E151" s="4"/>
      <c r="F151" s="4"/>
      <c r="G151" s="729"/>
    </row>
    <row r="152" ht="15.75" customHeight="1">
      <c r="A152" s="728"/>
      <c r="B152" s="4"/>
      <c r="C152" s="4"/>
      <c r="D152" s="4"/>
      <c r="E152" s="4"/>
      <c r="F152" s="4"/>
      <c r="G152" s="729"/>
    </row>
    <row r="153" ht="15.75" customHeight="1">
      <c r="A153" s="728"/>
      <c r="B153" s="4"/>
      <c r="C153" s="4"/>
      <c r="D153" s="4"/>
      <c r="E153" s="4"/>
      <c r="F153" s="4"/>
      <c r="G153" s="729"/>
    </row>
    <row r="154" ht="15.75" customHeight="1">
      <c r="A154" s="728"/>
      <c r="B154" s="4"/>
      <c r="C154" s="4"/>
      <c r="D154" s="4"/>
      <c r="E154" s="4"/>
      <c r="F154" s="4"/>
      <c r="G154" s="729"/>
    </row>
    <row r="155" ht="15.75" customHeight="1">
      <c r="A155" s="728"/>
      <c r="B155" s="4"/>
      <c r="C155" s="4"/>
      <c r="D155" s="4"/>
      <c r="E155" s="4"/>
      <c r="F155" s="4"/>
      <c r="G155" s="729"/>
    </row>
    <row r="156" ht="15.75" customHeight="1">
      <c r="A156" s="728"/>
      <c r="B156" s="4"/>
      <c r="C156" s="4"/>
      <c r="D156" s="4"/>
      <c r="E156" s="4"/>
      <c r="F156" s="4"/>
      <c r="G156" s="729"/>
    </row>
    <row r="157" ht="15.75" customHeight="1">
      <c r="A157" s="728"/>
      <c r="B157" s="4"/>
      <c r="C157" s="4"/>
      <c r="D157" s="4"/>
      <c r="E157" s="4"/>
      <c r="F157" s="4"/>
      <c r="G157" s="729"/>
    </row>
    <row r="158" ht="15.75" customHeight="1">
      <c r="A158" s="728"/>
      <c r="B158" s="4"/>
      <c r="C158" s="4"/>
      <c r="D158" s="4"/>
      <c r="E158" s="4"/>
      <c r="F158" s="4"/>
      <c r="G158" s="729"/>
    </row>
    <row r="159" ht="15.75" customHeight="1">
      <c r="A159" s="728"/>
      <c r="B159" s="4"/>
      <c r="C159" s="4"/>
      <c r="D159" s="4"/>
      <c r="E159" s="4"/>
      <c r="F159" s="4"/>
      <c r="G159" s="729"/>
    </row>
    <row r="160" ht="15.75" customHeight="1">
      <c r="A160" s="728"/>
      <c r="B160" s="4"/>
      <c r="C160" s="4"/>
      <c r="D160" s="4"/>
      <c r="E160" s="4"/>
      <c r="F160" s="4"/>
      <c r="G160" s="729"/>
    </row>
    <row r="161" ht="15.75" customHeight="1">
      <c r="A161" s="728"/>
      <c r="B161" s="4"/>
      <c r="C161" s="4"/>
      <c r="D161" s="4"/>
      <c r="E161" s="4"/>
      <c r="F161" s="4"/>
      <c r="G161" s="729"/>
    </row>
    <row r="162" ht="15.75" customHeight="1">
      <c r="A162" s="728"/>
      <c r="B162" s="4"/>
      <c r="C162" s="4"/>
      <c r="D162" s="4"/>
      <c r="E162" s="4"/>
      <c r="F162" s="4"/>
      <c r="G162" s="729"/>
    </row>
    <row r="163" ht="15.75" customHeight="1">
      <c r="A163" s="728"/>
      <c r="B163" s="4"/>
      <c r="C163" s="4"/>
      <c r="D163" s="4"/>
      <c r="E163" s="4"/>
      <c r="F163" s="4"/>
      <c r="G163" s="729"/>
    </row>
    <row r="164" ht="15.75" customHeight="1">
      <c r="A164" s="728"/>
      <c r="B164" s="4"/>
      <c r="C164" s="4"/>
      <c r="D164" s="4"/>
      <c r="E164" s="4"/>
      <c r="F164" s="4"/>
      <c r="G164" s="729"/>
    </row>
    <row r="165" ht="15.75" customHeight="1">
      <c r="A165" s="728"/>
      <c r="B165" s="4"/>
      <c r="C165" s="4"/>
      <c r="D165" s="4"/>
      <c r="E165" s="4"/>
      <c r="F165" s="4"/>
      <c r="G165" s="729"/>
    </row>
    <row r="166" ht="15.75" customHeight="1">
      <c r="A166" s="728"/>
      <c r="B166" s="4"/>
      <c r="C166" s="4"/>
      <c r="D166" s="4"/>
      <c r="E166" s="4"/>
      <c r="F166" s="4"/>
      <c r="G166" s="729"/>
    </row>
    <row r="167" ht="15.75" customHeight="1">
      <c r="A167" s="728"/>
      <c r="B167" s="4"/>
      <c r="C167" s="4"/>
      <c r="D167" s="4"/>
      <c r="E167" s="4"/>
      <c r="F167" s="4"/>
      <c r="G167" s="729"/>
    </row>
    <row r="168" ht="15.75" customHeight="1">
      <c r="A168" s="728"/>
      <c r="B168" s="4"/>
      <c r="C168" s="4"/>
      <c r="D168" s="4"/>
      <c r="E168" s="4"/>
      <c r="F168" s="4"/>
      <c r="G168" s="729"/>
    </row>
    <row r="169" ht="15.75" customHeight="1">
      <c r="A169" s="728"/>
      <c r="B169" s="4"/>
      <c r="C169" s="4"/>
      <c r="D169" s="4"/>
      <c r="E169" s="4"/>
      <c r="F169" s="4"/>
      <c r="G169" s="729"/>
    </row>
    <row r="170" ht="15.75" customHeight="1">
      <c r="A170" s="728"/>
      <c r="B170" s="4"/>
      <c r="C170" s="4"/>
      <c r="D170" s="4"/>
      <c r="E170" s="4"/>
      <c r="F170" s="4"/>
      <c r="G170" s="729"/>
    </row>
    <row r="171" ht="15.75" customHeight="1">
      <c r="A171" s="728"/>
      <c r="B171" s="4"/>
      <c r="C171" s="4"/>
      <c r="D171" s="4"/>
      <c r="E171" s="4"/>
      <c r="F171" s="4"/>
      <c r="G171" s="729"/>
    </row>
    <row r="172" ht="15.75" customHeight="1">
      <c r="A172" s="728"/>
      <c r="B172" s="4"/>
      <c r="C172" s="4"/>
      <c r="D172" s="4"/>
      <c r="E172" s="4"/>
      <c r="F172" s="4"/>
      <c r="G172" s="729"/>
    </row>
    <row r="173" ht="15.75" customHeight="1">
      <c r="A173" s="728"/>
      <c r="B173" s="4"/>
      <c r="C173" s="4"/>
      <c r="D173" s="4"/>
      <c r="E173" s="4"/>
      <c r="F173" s="4"/>
      <c r="G173" s="729"/>
    </row>
    <row r="174" ht="15.75" customHeight="1">
      <c r="A174" s="728"/>
      <c r="B174" s="4"/>
      <c r="C174" s="4"/>
      <c r="D174" s="4"/>
      <c r="E174" s="4"/>
      <c r="F174" s="4"/>
      <c r="G174" s="729"/>
    </row>
    <row r="175" ht="15.75" customHeight="1">
      <c r="A175" s="728"/>
      <c r="B175" s="4"/>
      <c r="C175" s="4"/>
      <c r="D175" s="4"/>
      <c r="E175" s="4"/>
      <c r="F175" s="4"/>
      <c r="G175" s="729"/>
    </row>
    <row r="176" ht="15.75" customHeight="1">
      <c r="A176" s="728"/>
      <c r="B176" s="4"/>
      <c r="C176" s="4"/>
      <c r="D176" s="4"/>
      <c r="E176" s="4"/>
      <c r="F176" s="4"/>
      <c r="G176" s="729"/>
    </row>
    <row r="177" ht="15.75" customHeight="1">
      <c r="A177" s="728"/>
      <c r="B177" s="4"/>
      <c r="C177" s="4"/>
      <c r="D177" s="4"/>
      <c r="E177" s="4"/>
      <c r="F177" s="4"/>
      <c r="G177" s="729"/>
    </row>
    <row r="178" ht="15.75" customHeight="1">
      <c r="A178" s="728"/>
      <c r="B178" s="4"/>
      <c r="C178" s="4"/>
      <c r="D178" s="4"/>
      <c r="E178" s="4"/>
      <c r="F178" s="4"/>
      <c r="G178" s="729"/>
    </row>
    <row r="179" ht="15.75" customHeight="1">
      <c r="A179" s="728"/>
      <c r="B179" s="4"/>
      <c r="C179" s="4"/>
      <c r="D179" s="4"/>
      <c r="E179" s="4"/>
      <c r="F179" s="4"/>
      <c r="G179" s="729"/>
    </row>
    <row r="180" ht="15.75" customHeight="1">
      <c r="A180" s="728"/>
      <c r="B180" s="4"/>
      <c r="C180" s="4"/>
      <c r="D180" s="4"/>
      <c r="E180" s="4"/>
      <c r="F180" s="4"/>
      <c r="G180" s="729"/>
    </row>
    <row r="181" ht="15.75" customHeight="1">
      <c r="A181" s="728"/>
      <c r="B181" s="4"/>
      <c r="C181" s="4"/>
      <c r="D181" s="4"/>
      <c r="E181" s="4"/>
      <c r="F181" s="4"/>
      <c r="G181" s="729"/>
    </row>
    <row r="182" ht="15.75" customHeight="1">
      <c r="A182" s="728"/>
      <c r="B182" s="4"/>
      <c r="C182" s="4"/>
      <c r="D182" s="4"/>
      <c r="E182" s="4"/>
      <c r="F182" s="4"/>
      <c r="G182" s="729"/>
    </row>
    <row r="183" ht="15.75" customHeight="1">
      <c r="A183" s="728"/>
      <c r="B183" s="4"/>
      <c r="C183" s="4"/>
      <c r="D183" s="4"/>
      <c r="E183" s="4"/>
      <c r="F183" s="4"/>
      <c r="G183" s="729"/>
    </row>
    <row r="184" ht="15.75" customHeight="1">
      <c r="A184" s="728"/>
      <c r="B184" s="4"/>
      <c r="C184" s="4"/>
      <c r="D184" s="4"/>
      <c r="E184" s="4"/>
      <c r="F184" s="4"/>
      <c r="G184" s="729"/>
    </row>
    <row r="185" ht="15.75" customHeight="1">
      <c r="A185" s="728"/>
      <c r="B185" s="4"/>
      <c r="C185" s="4"/>
      <c r="D185" s="4"/>
      <c r="E185" s="4"/>
      <c r="F185" s="4"/>
      <c r="G185" s="729"/>
    </row>
    <row r="186" ht="15.75" customHeight="1">
      <c r="A186" s="728"/>
      <c r="B186" s="4"/>
      <c r="C186" s="4"/>
      <c r="D186" s="4"/>
      <c r="E186" s="4"/>
      <c r="F186" s="4"/>
      <c r="G186" s="729"/>
    </row>
    <row r="187" ht="15.75" customHeight="1">
      <c r="A187" s="728"/>
      <c r="B187" s="4"/>
      <c r="C187" s="4"/>
      <c r="D187" s="4"/>
      <c r="E187" s="4"/>
      <c r="F187" s="4"/>
      <c r="G187" s="729"/>
    </row>
    <row r="188" ht="15.75" customHeight="1">
      <c r="A188" s="728"/>
      <c r="B188" s="4"/>
      <c r="C188" s="4"/>
      <c r="D188" s="4"/>
      <c r="E188" s="4"/>
      <c r="F188" s="4"/>
      <c r="G188" s="729"/>
    </row>
    <row r="189" ht="15.75" customHeight="1">
      <c r="A189" s="728"/>
      <c r="B189" s="4"/>
      <c r="C189" s="4"/>
      <c r="D189" s="4"/>
      <c r="E189" s="4"/>
      <c r="F189" s="4"/>
      <c r="G189" s="729"/>
    </row>
    <row r="190" ht="15.75" customHeight="1">
      <c r="A190" s="728"/>
      <c r="B190" s="4"/>
      <c r="C190" s="4"/>
      <c r="D190" s="4"/>
      <c r="E190" s="4"/>
      <c r="F190" s="4"/>
      <c r="G190" s="729"/>
    </row>
    <row r="191" ht="15.75" customHeight="1">
      <c r="A191" s="728"/>
      <c r="B191" s="4"/>
      <c r="C191" s="4"/>
      <c r="D191" s="4"/>
      <c r="E191" s="4"/>
      <c r="F191" s="4"/>
      <c r="G191" s="729"/>
    </row>
    <row r="192" ht="15.75" customHeight="1">
      <c r="A192" s="728"/>
      <c r="B192" s="4"/>
      <c r="C192" s="4"/>
      <c r="D192" s="4"/>
      <c r="E192" s="4"/>
      <c r="F192" s="4"/>
      <c r="G192" s="729"/>
    </row>
    <row r="193" ht="15.75" customHeight="1">
      <c r="A193" s="728"/>
      <c r="B193" s="4"/>
      <c r="C193" s="4"/>
      <c r="D193" s="4"/>
      <c r="E193" s="4"/>
      <c r="F193" s="4"/>
      <c r="G193" s="729"/>
    </row>
    <row r="194" ht="15.75" customHeight="1">
      <c r="A194" s="728"/>
      <c r="B194" s="4"/>
      <c r="C194" s="4"/>
      <c r="D194" s="4"/>
      <c r="E194" s="4"/>
      <c r="F194" s="4"/>
      <c r="G194" s="729"/>
    </row>
    <row r="195" ht="15.75" customHeight="1">
      <c r="A195" s="728"/>
      <c r="B195" s="4"/>
      <c r="C195" s="4"/>
      <c r="D195" s="4"/>
      <c r="E195" s="4"/>
      <c r="F195" s="4"/>
      <c r="G195" s="729"/>
    </row>
    <row r="196" ht="15.75" customHeight="1">
      <c r="A196" s="728"/>
      <c r="B196" s="4"/>
      <c r="C196" s="4"/>
      <c r="D196" s="4"/>
      <c r="E196" s="4"/>
      <c r="F196" s="4"/>
      <c r="G196" s="729"/>
    </row>
    <row r="197" ht="15.75" customHeight="1">
      <c r="A197" s="728"/>
      <c r="B197" s="4"/>
      <c r="C197" s="4"/>
      <c r="D197" s="4"/>
      <c r="E197" s="4"/>
      <c r="F197" s="4"/>
      <c r="G197" s="729"/>
    </row>
    <row r="198" ht="15.75" customHeight="1">
      <c r="A198" s="728"/>
      <c r="B198" s="4"/>
      <c r="C198" s="4"/>
      <c r="D198" s="4"/>
      <c r="E198" s="4"/>
      <c r="F198" s="4"/>
      <c r="G198" s="729"/>
    </row>
    <row r="199" ht="15.75" customHeight="1">
      <c r="A199" s="728"/>
      <c r="B199" s="4"/>
      <c r="C199" s="4"/>
      <c r="D199" s="4"/>
      <c r="E199" s="4"/>
      <c r="F199" s="4"/>
      <c r="G199" s="729"/>
    </row>
    <row r="200" ht="15.75" customHeight="1">
      <c r="A200" s="728"/>
      <c r="B200" s="4"/>
      <c r="C200" s="4"/>
      <c r="D200" s="4"/>
      <c r="E200" s="4"/>
      <c r="F200" s="4"/>
      <c r="G200" s="729"/>
    </row>
    <row r="201" ht="15.75" customHeight="1">
      <c r="A201" s="728"/>
      <c r="B201" s="4"/>
      <c r="C201" s="4"/>
      <c r="D201" s="4"/>
      <c r="E201" s="4"/>
      <c r="F201" s="4"/>
      <c r="G201" s="729"/>
    </row>
    <row r="202" ht="15.75" customHeight="1">
      <c r="A202" s="728"/>
      <c r="B202" s="4"/>
      <c r="C202" s="4"/>
      <c r="D202" s="4"/>
      <c r="E202" s="4"/>
      <c r="F202" s="4"/>
      <c r="G202" s="729"/>
    </row>
    <row r="203" ht="15.75" customHeight="1">
      <c r="A203" s="728"/>
      <c r="B203" s="4"/>
      <c r="C203" s="4"/>
      <c r="D203" s="4"/>
      <c r="E203" s="4"/>
      <c r="F203" s="4"/>
      <c r="G203" s="729"/>
    </row>
    <row r="204" ht="15.75" customHeight="1">
      <c r="A204" s="728"/>
      <c r="B204" s="4"/>
      <c r="C204" s="4"/>
      <c r="D204" s="4"/>
      <c r="E204" s="4"/>
      <c r="F204" s="4"/>
      <c r="G204" s="729"/>
    </row>
    <row r="205" ht="15.75" customHeight="1">
      <c r="A205" s="728"/>
      <c r="B205" s="4"/>
      <c r="C205" s="4"/>
      <c r="D205" s="4"/>
      <c r="E205" s="4"/>
      <c r="F205" s="4"/>
      <c r="G205" s="729"/>
    </row>
    <row r="206" ht="15.75" customHeight="1">
      <c r="A206" s="728"/>
      <c r="B206" s="4"/>
      <c r="C206" s="4"/>
      <c r="D206" s="4"/>
      <c r="E206" s="4"/>
      <c r="F206" s="4"/>
      <c r="G206" s="729"/>
    </row>
    <row r="207" ht="15.75" customHeight="1">
      <c r="A207" s="728"/>
      <c r="B207" s="4"/>
      <c r="C207" s="4"/>
      <c r="D207" s="4"/>
      <c r="E207" s="4"/>
      <c r="F207" s="4"/>
      <c r="G207" s="729"/>
    </row>
    <row r="208" ht="15.75" customHeight="1">
      <c r="A208" s="728"/>
      <c r="B208" s="4"/>
      <c r="C208" s="4"/>
      <c r="D208" s="4"/>
      <c r="E208" s="4"/>
      <c r="F208" s="4"/>
      <c r="G208" s="729"/>
    </row>
    <row r="209" ht="15.75" customHeight="1">
      <c r="A209" s="728"/>
      <c r="B209" s="4"/>
      <c r="C209" s="4"/>
      <c r="D209" s="4"/>
      <c r="E209" s="4"/>
      <c r="F209" s="4"/>
      <c r="G209" s="729"/>
    </row>
    <row r="210" ht="15.75" customHeight="1">
      <c r="A210" s="728"/>
      <c r="B210" s="4"/>
      <c r="C210" s="4"/>
      <c r="D210" s="4"/>
      <c r="E210" s="4"/>
      <c r="F210" s="4"/>
      <c r="G210" s="729"/>
    </row>
    <row r="211" ht="15.75" customHeight="1">
      <c r="A211" s="728"/>
      <c r="B211" s="4"/>
      <c r="C211" s="4"/>
      <c r="D211" s="4"/>
      <c r="E211" s="4"/>
      <c r="F211" s="4"/>
      <c r="G211" s="729"/>
    </row>
    <row r="212" ht="15.75" customHeight="1">
      <c r="A212" s="728"/>
      <c r="B212" s="4"/>
      <c r="C212" s="4"/>
      <c r="D212" s="4"/>
      <c r="E212" s="4"/>
      <c r="F212" s="4"/>
      <c r="G212" s="729"/>
    </row>
    <row r="213" ht="15.75" customHeight="1">
      <c r="A213" s="728"/>
      <c r="B213" s="4"/>
      <c r="C213" s="4"/>
      <c r="D213" s="4"/>
      <c r="E213" s="4"/>
      <c r="F213" s="4"/>
      <c r="G213" s="729"/>
    </row>
    <row r="214" ht="15.75" customHeight="1">
      <c r="A214" s="728"/>
      <c r="B214" s="4"/>
      <c r="C214" s="4"/>
      <c r="D214" s="4"/>
      <c r="E214" s="4"/>
      <c r="F214" s="4"/>
      <c r="G214" s="729"/>
    </row>
    <row r="215" ht="15.75" customHeight="1">
      <c r="A215" s="728"/>
      <c r="B215" s="4"/>
      <c r="C215" s="4"/>
      <c r="D215" s="4"/>
      <c r="E215" s="4"/>
      <c r="F215" s="4"/>
      <c r="G215" s="729"/>
    </row>
    <row r="216" ht="15.75" customHeight="1">
      <c r="A216" s="728"/>
      <c r="B216" s="4"/>
      <c r="C216" s="4"/>
      <c r="D216" s="4"/>
      <c r="E216" s="4"/>
      <c r="F216" s="4"/>
      <c r="G216" s="729"/>
    </row>
    <row r="217" ht="15.75" customHeight="1">
      <c r="A217" s="728"/>
      <c r="B217" s="4"/>
      <c r="C217" s="4"/>
      <c r="D217" s="4"/>
      <c r="E217" s="4"/>
      <c r="F217" s="4"/>
      <c r="G217" s="729"/>
    </row>
    <row r="218" ht="15.75" customHeight="1">
      <c r="A218" s="728"/>
      <c r="B218" s="4"/>
      <c r="C218" s="4"/>
      <c r="D218" s="4"/>
      <c r="E218" s="4"/>
      <c r="F218" s="4"/>
      <c r="G218" s="729"/>
    </row>
    <row r="219" ht="15.75" customHeight="1">
      <c r="A219" s="728"/>
      <c r="B219" s="4"/>
      <c r="C219" s="4"/>
      <c r="D219" s="4"/>
      <c r="E219" s="4"/>
      <c r="F219" s="4"/>
      <c r="G219" s="729"/>
    </row>
    <row r="220" ht="15.75" customHeight="1">
      <c r="A220" s="728"/>
      <c r="B220" s="4"/>
      <c r="C220" s="4"/>
      <c r="D220" s="4"/>
      <c r="E220" s="4"/>
      <c r="F220" s="4"/>
      <c r="G220" s="729"/>
    </row>
    <row r="221" ht="15.75" customHeight="1">
      <c r="A221" s="728"/>
      <c r="B221" s="4"/>
      <c r="C221" s="4"/>
      <c r="D221" s="4"/>
      <c r="E221" s="4"/>
      <c r="F221" s="4"/>
      <c r="G221" s="729"/>
    </row>
    <row r="222" ht="15.75" customHeight="1">
      <c r="A222" s="728"/>
      <c r="B222" s="4"/>
      <c r="C222" s="4"/>
      <c r="D222" s="4"/>
      <c r="E222" s="4"/>
      <c r="F222" s="4"/>
      <c r="G222" s="729"/>
    </row>
    <row r="223" ht="15.75" customHeight="1">
      <c r="A223" s="728"/>
      <c r="B223" s="4"/>
      <c r="C223" s="4"/>
      <c r="D223" s="4"/>
      <c r="E223" s="4"/>
      <c r="F223" s="4"/>
      <c r="G223" s="729"/>
    </row>
    <row r="224" ht="15.75" customHeight="1">
      <c r="A224" s="728"/>
      <c r="B224" s="4"/>
      <c r="C224" s="4"/>
      <c r="D224" s="4"/>
      <c r="E224" s="4"/>
      <c r="F224" s="4"/>
      <c r="G224" s="729"/>
    </row>
    <row r="225" ht="15.75" customHeight="1">
      <c r="A225" s="728"/>
      <c r="B225" s="4"/>
      <c r="C225" s="4"/>
      <c r="D225" s="4"/>
      <c r="E225" s="4"/>
      <c r="F225" s="4"/>
      <c r="G225" s="729"/>
    </row>
    <row r="226" ht="15.75" customHeight="1">
      <c r="A226" s="728"/>
      <c r="B226" s="4"/>
      <c r="C226" s="4"/>
      <c r="D226" s="4"/>
      <c r="E226" s="4"/>
      <c r="F226" s="4"/>
      <c r="G226" s="729"/>
    </row>
    <row r="227" ht="15.75" customHeight="1">
      <c r="A227" s="728"/>
      <c r="B227" s="4"/>
      <c r="C227" s="4"/>
      <c r="D227" s="4"/>
      <c r="E227" s="4"/>
      <c r="F227" s="4"/>
      <c r="G227" s="729"/>
    </row>
    <row r="228" ht="15.75" customHeight="1">
      <c r="A228" s="728"/>
      <c r="B228" s="4"/>
      <c r="C228" s="4"/>
      <c r="D228" s="4"/>
      <c r="E228" s="4"/>
      <c r="F228" s="4"/>
      <c r="G228" s="729"/>
    </row>
    <row r="229" ht="15.75" customHeight="1">
      <c r="A229" s="728"/>
      <c r="B229" s="4"/>
      <c r="C229" s="4"/>
      <c r="D229" s="4"/>
      <c r="E229" s="4"/>
      <c r="F229" s="4"/>
      <c r="G229" s="729"/>
    </row>
    <row r="230" ht="15.75" customHeight="1">
      <c r="A230" s="728"/>
      <c r="B230" s="4"/>
      <c r="C230" s="4"/>
      <c r="D230" s="4"/>
      <c r="E230" s="4"/>
      <c r="F230" s="4"/>
      <c r="G230" s="729"/>
    </row>
    <row r="231" ht="15.75" customHeight="1">
      <c r="A231" s="728"/>
      <c r="B231" s="4"/>
      <c r="C231" s="4"/>
      <c r="D231" s="4"/>
      <c r="E231" s="4"/>
      <c r="F231" s="4"/>
      <c r="G231" s="729"/>
    </row>
    <row r="232" ht="15.75" customHeight="1">
      <c r="A232" s="728"/>
      <c r="B232" s="4"/>
      <c r="C232" s="4"/>
      <c r="D232" s="4"/>
      <c r="E232" s="4"/>
      <c r="F232" s="4"/>
      <c r="G232" s="729"/>
    </row>
    <row r="233" ht="15.75" customHeight="1">
      <c r="A233" s="728"/>
      <c r="B233" s="4"/>
      <c r="C233" s="4"/>
      <c r="D233" s="4"/>
      <c r="E233" s="4"/>
      <c r="F233" s="4"/>
      <c r="G233" s="729"/>
    </row>
    <row r="234" ht="15.75" customHeight="1">
      <c r="A234" s="728"/>
      <c r="B234" s="4"/>
      <c r="C234" s="4"/>
      <c r="D234" s="4"/>
      <c r="E234" s="4"/>
      <c r="F234" s="4"/>
      <c r="G234" s="729"/>
    </row>
    <row r="235" ht="15.75" customHeight="1">
      <c r="A235" s="728"/>
      <c r="B235" s="4"/>
      <c r="C235" s="4"/>
      <c r="D235" s="4"/>
      <c r="E235" s="4"/>
      <c r="F235" s="4"/>
      <c r="G235" s="729"/>
    </row>
    <row r="236" ht="15.75" customHeight="1">
      <c r="A236" s="728"/>
      <c r="B236" s="4"/>
      <c r="C236" s="4"/>
      <c r="D236" s="4"/>
      <c r="E236" s="4"/>
      <c r="F236" s="4"/>
      <c r="G236" s="729"/>
    </row>
    <row r="237" ht="15.75" customHeight="1">
      <c r="A237" s="728"/>
      <c r="B237" s="4"/>
      <c r="C237" s="4"/>
      <c r="D237" s="4"/>
      <c r="E237" s="4"/>
      <c r="F237" s="4"/>
      <c r="G237" s="729"/>
    </row>
    <row r="238" ht="15.75" customHeight="1">
      <c r="A238" s="728"/>
      <c r="B238" s="4"/>
      <c r="C238" s="4"/>
      <c r="D238" s="4"/>
      <c r="E238" s="4"/>
      <c r="F238" s="4"/>
      <c r="G238" s="729"/>
    </row>
    <row r="239" ht="15.75" customHeight="1">
      <c r="A239" s="728"/>
      <c r="B239" s="4"/>
      <c r="C239" s="4"/>
      <c r="D239" s="4"/>
      <c r="E239" s="4"/>
      <c r="F239" s="4"/>
      <c r="G239" s="729"/>
    </row>
    <row r="240" ht="15.75" customHeight="1">
      <c r="A240" s="728"/>
      <c r="B240" s="4"/>
      <c r="C240" s="4"/>
      <c r="D240" s="4"/>
      <c r="E240" s="4"/>
      <c r="F240" s="4"/>
      <c r="G240" s="729"/>
    </row>
    <row r="241" ht="15.75" customHeight="1">
      <c r="A241" s="728"/>
      <c r="B241" s="4"/>
      <c r="C241" s="4"/>
      <c r="D241" s="4"/>
      <c r="E241" s="4"/>
      <c r="F241" s="4"/>
      <c r="G241" s="729"/>
    </row>
    <row r="242" ht="15.75" customHeight="1">
      <c r="A242" s="728"/>
      <c r="B242" s="4"/>
      <c r="C242" s="4"/>
      <c r="D242" s="4"/>
      <c r="E242" s="4"/>
      <c r="F242" s="4"/>
      <c r="G242" s="729"/>
    </row>
    <row r="243" ht="15.75" customHeight="1">
      <c r="A243" s="728"/>
      <c r="B243" s="4"/>
      <c r="C243" s="4"/>
      <c r="D243" s="4"/>
      <c r="E243" s="4"/>
      <c r="F243" s="4"/>
      <c r="G243" s="729"/>
    </row>
    <row r="244" ht="15.75" customHeight="1">
      <c r="A244" s="728"/>
      <c r="B244" s="4"/>
      <c r="C244" s="4"/>
      <c r="D244" s="4"/>
      <c r="E244" s="4"/>
      <c r="F244" s="4"/>
      <c r="G244" s="729"/>
    </row>
    <row r="245" ht="15.75" customHeight="1">
      <c r="A245" s="728"/>
      <c r="B245" s="4"/>
      <c r="C245" s="4"/>
      <c r="D245" s="4"/>
      <c r="E245" s="4"/>
      <c r="F245" s="4"/>
      <c r="G245" s="729"/>
    </row>
    <row r="246" ht="15.75" customHeight="1">
      <c r="A246" s="728"/>
      <c r="B246" s="4"/>
      <c r="C246" s="4"/>
      <c r="D246" s="4"/>
      <c r="E246" s="4"/>
      <c r="F246" s="4"/>
      <c r="G246" s="729"/>
    </row>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A1:E1"/>
    <mergeCell ref="A3:D3"/>
    <mergeCell ref="A11:D11"/>
    <mergeCell ref="A17:D17"/>
    <mergeCell ref="A22:D22"/>
    <mergeCell ref="A26:D26"/>
    <mergeCell ref="A37:D37"/>
    <mergeCell ref="A41:D41"/>
  </mergeCells>
  <conditionalFormatting sqref="E45">
    <cfRule type="cellIs" dxfId="1" priority="1" operator="greaterThan">
      <formula>$E$46</formula>
    </cfRule>
  </conditionalFormatting>
  <conditionalFormatting sqref="E45">
    <cfRule type="cellIs" dxfId="2" priority="2" operator="lessThan">
      <formula>$E$46</formula>
    </cfRule>
  </conditionalFormatting>
  <printOptions/>
  <pageMargins bottom="0.75" footer="0.0" header="0.0" left="0.7" right="0.7" top="0.75"/>
  <pageSetup orientation="portrait"/>
  <drawing r:id="rId2"/>
  <legacyDrawing r:id="rId3"/>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5588"/>
    <pageSetUpPr/>
  </sheetPr>
  <sheetViews>
    <sheetView showGridLines="0" workbookViewId="0"/>
  </sheetViews>
  <sheetFormatPr customHeight="1" defaultColWidth="12.63" defaultRowHeight="15.0" outlineLevelRow="1"/>
  <cols>
    <col customWidth="1" min="1" max="1" width="24.13"/>
    <col customWidth="1" min="2" max="2" width="15.88"/>
    <col customWidth="1" min="3" max="3" width="9.25"/>
    <col customWidth="1" min="4" max="4" width="74.0"/>
    <col customWidth="1" min="5" max="5" width="1.63"/>
    <col customWidth="1" min="6" max="6" width="10.38"/>
    <col customWidth="1" min="7" max="7" width="10.0"/>
    <col customWidth="1" min="8" max="8" width="1.63"/>
    <col customWidth="1" min="9" max="9" width="17.13"/>
    <col customWidth="1" min="10" max="10" width="1.75"/>
    <col customWidth="1" min="11" max="13" width="7.5"/>
    <col customWidth="1" min="14" max="14" width="7.75"/>
    <col customWidth="1" min="15" max="15" width="7.63"/>
    <col customWidth="1" min="16" max="16" width="9.75"/>
    <col customWidth="1" min="17" max="17" width="7.63"/>
    <col customWidth="1" min="18" max="18" width="8.25"/>
    <col customWidth="1" min="19" max="19" width="8.38"/>
    <col customWidth="1" min="20" max="31" width="7.63"/>
  </cols>
  <sheetData>
    <row r="1" ht="14.25" customHeight="1">
      <c r="A1" s="317" t="s">
        <v>485</v>
      </c>
      <c r="B1" s="318"/>
      <c r="C1" s="318"/>
      <c r="D1" s="319"/>
      <c r="E1" s="4"/>
      <c r="F1" s="320" t="s">
        <v>486</v>
      </c>
      <c r="G1" s="319"/>
      <c r="H1" s="4"/>
      <c r="I1" s="321" t="s">
        <v>8</v>
      </c>
      <c r="J1" s="4"/>
      <c r="K1" s="322" t="s">
        <v>487</v>
      </c>
      <c r="L1" s="8"/>
      <c r="M1" s="10"/>
    </row>
    <row r="2" ht="14.25" customHeight="1">
      <c r="A2" s="323" t="s">
        <v>488</v>
      </c>
      <c r="B2" s="324" t="s">
        <v>32</v>
      </c>
      <c r="C2" s="324" t="s">
        <v>489</v>
      </c>
      <c r="D2" s="325" t="s">
        <v>490</v>
      </c>
      <c r="E2" s="4"/>
      <c r="F2" s="327" t="s">
        <v>492</v>
      </c>
      <c r="G2" s="329"/>
      <c r="H2" s="4"/>
      <c r="I2" s="330" t="s">
        <v>49</v>
      </c>
      <c r="J2" s="4"/>
      <c r="K2" s="4" t="s">
        <v>493</v>
      </c>
      <c r="L2" s="4"/>
      <c r="M2" s="4"/>
    </row>
    <row r="3" ht="14.25" customHeight="1">
      <c r="A3" s="332" t="s">
        <v>494</v>
      </c>
      <c r="B3" s="333"/>
      <c r="C3" s="333"/>
      <c r="D3" s="329"/>
      <c r="E3" s="4"/>
      <c r="F3" s="145" t="s">
        <v>495</v>
      </c>
      <c r="G3" s="334" t="s">
        <v>497</v>
      </c>
      <c r="H3" s="4"/>
      <c r="I3" s="336" t="s">
        <v>51</v>
      </c>
      <c r="J3" s="4"/>
      <c r="K3" s="4"/>
      <c r="L3" s="4"/>
      <c r="M3" s="4"/>
    </row>
    <row r="4" ht="14.25" customHeight="1">
      <c r="A4" s="337" t="s">
        <v>498</v>
      </c>
      <c r="B4" s="339">
        <v>10.0</v>
      </c>
      <c r="C4" s="340" t="s">
        <v>502</v>
      </c>
      <c r="D4" s="341" t="s">
        <v>504</v>
      </c>
      <c r="E4" s="4"/>
      <c r="F4" s="342" t="s">
        <v>505</v>
      </c>
      <c r="G4" s="343" t="s">
        <v>506</v>
      </c>
      <c r="H4" s="4"/>
      <c r="I4" s="344"/>
      <c r="J4" s="4"/>
      <c r="K4" s="4"/>
      <c r="L4" s="4"/>
      <c r="M4" s="4"/>
    </row>
    <row r="5" ht="14.25" customHeight="1">
      <c r="A5" s="337" t="s">
        <v>508</v>
      </c>
      <c r="B5" s="346" t="str">
        <f>'[1]Orbit Info (1)'!G4</f>
        <v>#REF!</v>
      </c>
      <c r="C5" s="340" t="s">
        <v>37</v>
      </c>
      <c r="D5" s="341"/>
      <c r="E5" s="4"/>
      <c r="F5" s="4"/>
      <c r="G5" s="348"/>
      <c r="H5" s="4"/>
      <c r="I5" s="349"/>
      <c r="J5" s="4"/>
      <c r="K5" s="4"/>
      <c r="L5" s="4"/>
      <c r="M5" s="4"/>
    </row>
    <row r="6" ht="14.25" customHeight="1">
      <c r="A6" s="337" t="s">
        <v>516</v>
      </c>
      <c r="B6" s="346">
        <v>500.0</v>
      </c>
      <c r="C6" s="340" t="s">
        <v>37</v>
      </c>
      <c r="D6" s="341"/>
      <c r="E6" s="4"/>
      <c r="F6" s="146" t="s">
        <v>1090</v>
      </c>
      <c r="G6" s="147"/>
      <c r="H6" s="147"/>
      <c r="I6" s="147"/>
      <c r="J6" s="147"/>
      <c r="K6" s="147"/>
      <c r="L6" s="147"/>
      <c r="M6" s="148"/>
    </row>
    <row r="7" ht="14.25" hidden="1" customHeight="1">
      <c r="A7" s="350" t="s">
        <v>519</v>
      </c>
      <c r="B7" s="346">
        <v>1.0</v>
      </c>
      <c r="C7" s="340"/>
      <c r="D7" s="351" t="s">
        <v>521</v>
      </c>
      <c r="E7" s="4"/>
      <c r="F7" s="151"/>
      <c r="M7" s="81"/>
    </row>
    <row r="8" ht="14.25" hidden="1" customHeight="1">
      <c r="A8" s="350" t="s">
        <v>523</v>
      </c>
      <c r="B8" s="346" t="str">
        <f>-2*B5*COS(PI()/2+B4*PI()/180)</f>
        <v>#REF!</v>
      </c>
      <c r="C8" s="340"/>
      <c r="D8" s="353"/>
      <c r="E8" s="4"/>
      <c r="F8" s="151"/>
      <c r="M8" s="81"/>
    </row>
    <row r="9" ht="14.25" hidden="1" customHeight="1">
      <c r="A9" s="350" t="s">
        <v>525</v>
      </c>
      <c r="B9" s="346" t="str">
        <f>B5^2-(B5+B6)^2</f>
        <v>#REF!</v>
      </c>
      <c r="C9" s="340"/>
      <c r="D9" s="355"/>
      <c r="E9" s="4"/>
      <c r="F9" s="151"/>
      <c r="M9" s="81"/>
    </row>
    <row r="10" ht="14.25" customHeight="1">
      <c r="A10" s="337" t="s">
        <v>529</v>
      </c>
      <c r="B10" s="358" t="str">
        <f>(-B8+SQRT(B8^2-4*B7*B9))/(2*B7)</f>
        <v>#REF!</v>
      </c>
      <c r="C10" s="340" t="s">
        <v>37</v>
      </c>
      <c r="D10" s="341"/>
      <c r="E10" s="4"/>
      <c r="F10" s="151"/>
      <c r="M10" s="81"/>
    </row>
    <row r="11" ht="14.25" customHeight="1">
      <c r="A11" s="337" t="s">
        <v>533</v>
      </c>
      <c r="B11" s="360">
        <v>2.99792458E8</v>
      </c>
      <c r="C11" s="340" t="s">
        <v>463</v>
      </c>
      <c r="D11" s="341"/>
      <c r="E11" s="4"/>
      <c r="F11" s="151"/>
      <c r="M11" s="81"/>
    </row>
    <row r="12" ht="14.25" customHeight="1">
      <c r="A12" s="337" t="s">
        <v>536</v>
      </c>
      <c r="B12" s="361">
        <v>1.380649E-23</v>
      </c>
      <c r="C12" s="340" t="s">
        <v>538</v>
      </c>
      <c r="D12" s="341"/>
      <c r="E12" s="4"/>
      <c r="F12" s="151"/>
      <c r="M12" s="81"/>
    </row>
    <row r="13" ht="14.25" customHeight="1">
      <c r="A13" s="362"/>
      <c r="B13" s="363">
        <f>10*LOG10(B12)</f>
        <v>-228.5991672</v>
      </c>
      <c r="C13" s="364" t="s">
        <v>539</v>
      </c>
      <c r="D13" s="365" t="s">
        <v>540</v>
      </c>
      <c r="E13" s="4"/>
      <c r="F13" s="151"/>
      <c r="M13" s="81"/>
    </row>
    <row r="14" ht="14.25" customHeight="1">
      <c r="A14" s="332" t="s">
        <v>541</v>
      </c>
      <c r="B14" s="333"/>
      <c r="C14" s="333"/>
      <c r="D14" s="329"/>
      <c r="E14" s="4"/>
      <c r="F14" s="151"/>
      <c r="M14" s="81"/>
    </row>
    <row r="15" ht="14.25" customHeight="1">
      <c r="A15" s="337" t="s">
        <v>18</v>
      </c>
      <c r="B15" s="366">
        <v>2.23</v>
      </c>
      <c r="C15" s="340" t="s">
        <v>543</v>
      </c>
      <c r="D15" s="341" t="s">
        <v>1091</v>
      </c>
      <c r="E15" s="4"/>
      <c r="F15" s="153"/>
      <c r="G15" s="86"/>
      <c r="H15" s="86"/>
      <c r="I15" s="86"/>
      <c r="J15" s="86"/>
      <c r="K15" s="86"/>
      <c r="L15" s="86"/>
      <c r="M15" s="88"/>
    </row>
    <row r="16" ht="14.25" customHeight="1">
      <c r="A16" s="337" t="s">
        <v>546</v>
      </c>
      <c r="B16" s="366">
        <v>0.3</v>
      </c>
      <c r="C16" s="340" t="s">
        <v>548</v>
      </c>
      <c r="D16" s="341" t="s">
        <v>550</v>
      </c>
      <c r="E16" s="4"/>
      <c r="F16" s="368"/>
      <c r="G16" s="368"/>
      <c r="H16" s="368"/>
      <c r="I16" s="368"/>
      <c r="J16" s="368"/>
      <c r="K16" s="368"/>
      <c r="L16" s="368"/>
      <c r="M16" s="368"/>
    </row>
    <row r="17" ht="14.25" customHeight="1">
      <c r="A17" s="337" t="s">
        <v>553</v>
      </c>
      <c r="B17" s="346">
        <f>B11/(B15*10^9)</f>
        <v>0.1344360798</v>
      </c>
      <c r="C17" s="340" t="s">
        <v>475</v>
      </c>
      <c r="D17" s="341" t="s">
        <v>556</v>
      </c>
      <c r="E17" s="4"/>
      <c r="F17" s="370"/>
      <c r="G17" s="370"/>
      <c r="H17" s="370"/>
      <c r="I17" s="370"/>
      <c r="J17" s="370"/>
      <c r="K17" s="370"/>
      <c r="L17" s="370"/>
      <c r="M17" s="370"/>
      <c r="N17" s="371"/>
      <c r="O17" s="371"/>
      <c r="P17" s="371"/>
      <c r="Q17" s="371"/>
      <c r="R17" s="371"/>
      <c r="S17" s="371"/>
      <c r="T17" s="371"/>
      <c r="U17" s="371"/>
      <c r="V17" s="371"/>
      <c r="W17" s="371"/>
      <c r="X17" s="371"/>
      <c r="Y17" s="371"/>
      <c r="Z17" s="371"/>
      <c r="AA17" s="371"/>
      <c r="AB17" s="371"/>
      <c r="AC17" s="371"/>
      <c r="AD17" s="371"/>
      <c r="AE17" s="371"/>
    </row>
    <row r="18" ht="14.25" customHeight="1">
      <c r="A18" s="337" t="s">
        <v>559</v>
      </c>
      <c r="B18" s="372">
        <v>0.125</v>
      </c>
      <c r="C18" s="340" t="s">
        <v>561</v>
      </c>
      <c r="D18" s="341" t="s">
        <v>562</v>
      </c>
      <c r="E18" s="4"/>
      <c r="F18" s="373"/>
      <c r="G18" s="373"/>
      <c r="H18" s="373"/>
      <c r="I18" s="373"/>
      <c r="J18" s="373"/>
      <c r="K18" s="373"/>
      <c r="L18" s="373"/>
      <c r="M18" s="373"/>
      <c r="N18" s="371"/>
      <c r="O18" s="371"/>
      <c r="P18" s="371"/>
      <c r="Q18" s="371"/>
      <c r="R18" s="371"/>
      <c r="S18" s="371"/>
      <c r="T18" s="371"/>
      <c r="U18" s="371"/>
      <c r="V18" s="371"/>
      <c r="W18" s="371"/>
      <c r="X18" s="371"/>
      <c r="Y18" s="371"/>
      <c r="Z18" s="371"/>
      <c r="AA18" s="371"/>
      <c r="AB18" s="371"/>
      <c r="AC18" s="371"/>
      <c r="AD18" s="371"/>
      <c r="AE18" s="371"/>
    </row>
    <row r="19" ht="14.25" customHeight="1">
      <c r="A19" s="337" t="s">
        <v>563</v>
      </c>
      <c r="B19" s="374">
        <v>2.0</v>
      </c>
      <c r="C19" s="340" t="s">
        <v>564</v>
      </c>
      <c r="D19" s="341"/>
      <c r="E19" s="4"/>
      <c r="F19" s="373"/>
      <c r="G19" s="373"/>
      <c r="H19" s="373"/>
      <c r="I19" s="373"/>
      <c r="J19" s="373"/>
      <c r="K19" s="373"/>
      <c r="L19" s="373"/>
      <c r="M19" s="373"/>
      <c r="N19" s="371"/>
      <c r="O19" s="371"/>
      <c r="P19" s="371"/>
      <c r="Q19" s="371"/>
      <c r="R19" s="371"/>
      <c r="S19" s="371"/>
      <c r="T19" s="371"/>
      <c r="U19" s="371"/>
      <c r="V19" s="371"/>
      <c r="W19" s="371"/>
      <c r="X19" s="371"/>
      <c r="Y19" s="371"/>
      <c r="Z19" s="371"/>
      <c r="AA19" s="371"/>
      <c r="AB19" s="371"/>
      <c r="AC19" s="371"/>
      <c r="AD19" s="371"/>
      <c r="AE19" s="371"/>
    </row>
    <row r="20" ht="14.25" customHeight="1">
      <c r="A20" s="337" t="s">
        <v>563</v>
      </c>
      <c r="B20" s="346">
        <f>10*LOG10(B19*1000)</f>
        <v>33.01029996</v>
      </c>
      <c r="C20" s="340" t="s">
        <v>567</v>
      </c>
      <c r="D20" s="341"/>
      <c r="E20" s="4"/>
      <c r="F20" s="373"/>
      <c r="G20" s="373"/>
      <c r="H20" s="373"/>
      <c r="I20" s="373"/>
      <c r="J20" s="373"/>
      <c r="K20" s="375"/>
      <c r="L20" s="373"/>
      <c r="M20" s="373"/>
      <c r="N20" s="371"/>
      <c r="O20" s="371"/>
      <c r="P20" s="371"/>
      <c r="Q20" s="371"/>
      <c r="R20" s="371"/>
      <c r="S20" s="371"/>
      <c r="T20" s="371"/>
      <c r="U20" s="371"/>
      <c r="V20" s="371"/>
      <c r="W20" s="371"/>
      <c r="X20" s="371"/>
      <c r="Y20" s="371"/>
      <c r="Z20" s="371"/>
      <c r="AA20" s="371"/>
      <c r="AB20" s="371"/>
      <c r="AC20" s="371"/>
      <c r="AD20" s="371"/>
      <c r="AE20" s="371"/>
    </row>
    <row r="21" ht="14.25" customHeight="1">
      <c r="A21" s="337" t="s">
        <v>570</v>
      </c>
      <c r="B21" s="366">
        <v>6.5</v>
      </c>
      <c r="C21" s="340" t="s">
        <v>571</v>
      </c>
      <c r="D21" s="341" t="s">
        <v>572</v>
      </c>
      <c r="E21" s="4"/>
      <c r="F21" s="373"/>
      <c r="G21" s="376"/>
      <c r="H21" s="373"/>
      <c r="I21" s="373"/>
      <c r="J21" s="373"/>
      <c r="K21" s="375"/>
      <c r="L21" s="373"/>
      <c r="M21" s="373"/>
      <c r="N21" s="371"/>
      <c r="O21" s="371"/>
      <c r="P21" s="371"/>
      <c r="Q21" s="371"/>
      <c r="R21" s="371"/>
      <c r="S21" s="371"/>
      <c r="T21" s="371"/>
      <c r="U21" s="371"/>
      <c r="V21" s="371"/>
      <c r="W21" s="371"/>
      <c r="X21" s="371"/>
      <c r="Y21" s="371"/>
      <c r="Z21" s="371"/>
      <c r="AA21" s="371"/>
      <c r="AB21" s="371"/>
      <c r="AC21" s="371"/>
      <c r="AD21" s="371"/>
      <c r="AE21" s="371"/>
    </row>
    <row r="22" ht="14.25" customHeight="1">
      <c r="A22" s="337" t="s">
        <v>573</v>
      </c>
      <c r="B22" s="366">
        <v>-4.0</v>
      </c>
      <c r="C22" s="340" t="s">
        <v>574</v>
      </c>
      <c r="D22" s="341" t="s">
        <v>575</v>
      </c>
      <c r="E22" s="4"/>
      <c r="F22" s="373"/>
      <c r="G22" s="376"/>
      <c r="H22" s="373"/>
      <c r="I22" s="376"/>
      <c r="J22" s="373"/>
      <c r="K22" s="375"/>
      <c r="L22" s="373"/>
      <c r="M22" s="373"/>
      <c r="N22" s="371"/>
      <c r="O22" s="371"/>
      <c r="P22" s="371"/>
      <c r="Q22" s="371"/>
      <c r="R22" s="371"/>
      <c r="S22" s="371"/>
      <c r="T22" s="371"/>
      <c r="U22" s="371"/>
      <c r="V22" s="371"/>
      <c r="W22" s="371"/>
      <c r="X22" s="371"/>
      <c r="Y22" s="371"/>
      <c r="Z22" s="371"/>
      <c r="AA22" s="371"/>
      <c r="AB22" s="371"/>
      <c r="AC22" s="371"/>
      <c r="AD22" s="371"/>
      <c r="AE22" s="371"/>
    </row>
    <row r="23" ht="18.75" customHeight="1">
      <c r="A23" s="337" t="s">
        <v>578</v>
      </c>
      <c r="B23" s="346">
        <f>SUM(B20:B22)</f>
        <v>35.51029996</v>
      </c>
      <c r="C23" s="340" t="s">
        <v>567</v>
      </c>
      <c r="D23" s="341"/>
      <c r="E23" s="4"/>
      <c r="F23" s="373"/>
      <c r="G23" s="373"/>
      <c r="H23" s="373"/>
      <c r="I23" s="376"/>
      <c r="J23" s="373"/>
      <c r="K23" s="373"/>
      <c r="L23" s="373"/>
      <c r="M23" s="373"/>
      <c r="N23" s="371"/>
      <c r="O23" s="371"/>
      <c r="P23" s="371"/>
      <c r="Q23" s="371"/>
      <c r="R23" s="371"/>
      <c r="S23" s="371"/>
      <c r="T23" s="371"/>
      <c r="U23" s="371"/>
      <c r="V23" s="371"/>
      <c r="W23" s="371"/>
      <c r="X23" s="371"/>
      <c r="Y23" s="371"/>
      <c r="Z23" s="371"/>
      <c r="AA23" s="371"/>
      <c r="AB23" s="371"/>
      <c r="AC23" s="371"/>
      <c r="AD23" s="371"/>
      <c r="AE23" s="371"/>
    </row>
    <row r="24" ht="14.25" customHeight="1">
      <c r="A24" s="337" t="s">
        <v>581</v>
      </c>
      <c r="B24" s="377" t="str">
        <f>-10*LOG10((4*PI()*B10*10^3*B15*10^9/B11)^2)</f>
        <v>#REF!</v>
      </c>
      <c r="C24" s="340" t="s">
        <v>574</v>
      </c>
      <c r="D24" s="341" t="s">
        <v>584</v>
      </c>
      <c r="E24" s="4"/>
      <c r="F24" s="371"/>
      <c r="G24" s="371"/>
      <c r="H24" s="371"/>
      <c r="I24" s="371"/>
      <c r="J24" s="371"/>
      <c r="K24" s="371"/>
      <c r="L24" s="371"/>
      <c r="M24" s="371"/>
      <c r="N24" s="371"/>
      <c r="O24" s="371"/>
      <c r="P24" s="371"/>
      <c r="Q24" s="371"/>
      <c r="R24" s="371"/>
      <c r="S24" s="371"/>
      <c r="T24" s="371"/>
      <c r="U24" s="371"/>
      <c r="V24" s="371"/>
      <c r="W24" s="371"/>
      <c r="X24" s="371"/>
      <c r="Y24" s="371"/>
      <c r="Z24" s="371"/>
      <c r="AA24" s="371"/>
      <c r="AB24" s="371"/>
      <c r="AC24" s="371"/>
      <c r="AD24" s="371"/>
      <c r="AE24" s="371"/>
    </row>
    <row r="25" ht="14.25" customHeight="1">
      <c r="A25" s="332" t="s">
        <v>589</v>
      </c>
      <c r="B25" s="333"/>
      <c r="C25" s="333"/>
      <c r="D25" s="329"/>
      <c r="E25" s="4"/>
      <c r="F25" s="371"/>
      <c r="G25" s="371"/>
      <c r="H25" s="371"/>
      <c r="I25" s="371"/>
      <c r="J25" s="371"/>
      <c r="K25" s="371"/>
      <c r="L25" s="371"/>
      <c r="M25" s="371"/>
      <c r="N25" s="371"/>
      <c r="O25" s="371"/>
      <c r="P25" s="371"/>
      <c r="Q25" s="371"/>
      <c r="R25" s="371"/>
      <c r="S25" s="371"/>
      <c r="T25" s="371"/>
      <c r="U25" s="371"/>
      <c r="V25" s="371"/>
      <c r="W25" s="371"/>
      <c r="X25" s="371"/>
      <c r="Y25" s="371"/>
      <c r="Z25" s="371"/>
      <c r="AA25" s="371"/>
      <c r="AB25" s="371"/>
      <c r="AC25" s="371"/>
      <c r="AD25" s="371"/>
      <c r="AE25" s="371"/>
    </row>
    <row r="26" ht="14.25" customHeight="1">
      <c r="A26" s="337" t="s">
        <v>594</v>
      </c>
      <c r="B26" s="366">
        <v>2.4</v>
      </c>
      <c r="C26" s="378" t="s">
        <v>475</v>
      </c>
      <c r="D26" s="341"/>
      <c r="E26" s="4"/>
      <c r="F26" s="371"/>
      <c r="G26" s="379"/>
      <c r="H26" s="61"/>
      <c r="I26" s="62"/>
      <c r="J26" s="371"/>
      <c r="K26" s="371"/>
      <c r="L26" s="371"/>
      <c r="M26" s="371"/>
      <c r="N26" s="371"/>
      <c r="O26" s="371"/>
      <c r="P26" s="371"/>
      <c r="Q26" s="371"/>
      <c r="R26" s="371"/>
      <c r="S26" s="371"/>
      <c r="T26" s="371"/>
      <c r="U26" s="371"/>
      <c r="V26" s="371"/>
      <c r="W26" s="371"/>
      <c r="X26" s="371"/>
      <c r="Y26" s="371"/>
      <c r="Z26" s="371"/>
      <c r="AA26" s="371"/>
      <c r="AB26" s="371"/>
      <c r="AC26" s="371"/>
      <c r="AD26" s="371"/>
      <c r="AE26" s="371"/>
    </row>
    <row r="27" ht="14.25" customHeight="1">
      <c r="A27" s="337" t="s">
        <v>597</v>
      </c>
      <c r="B27" s="366" t="s">
        <v>500</v>
      </c>
      <c r="C27" s="378" t="s">
        <v>156</v>
      </c>
      <c r="D27" s="341"/>
      <c r="E27" s="4"/>
      <c r="F27" s="371"/>
      <c r="G27" s="380"/>
      <c r="H27" s="61"/>
      <c r="I27" s="62"/>
      <c r="J27" s="371"/>
      <c r="K27" s="371"/>
      <c r="L27" s="371"/>
      <c r="M27" s="371"/>
      <c r="N27" s="371"/>
      <c r="O27" s="371"/>
      <c r="P27" s="371"/>
      <c r="Q27" s="371"/>
      <c r="R27" s="371"/>
      <c r="S27" s="371"/>
      <c r="T27" s="371"/>
      <c r="U27" s="371"/>
      <c r="V27" s="371"/>
      <c r="W27" s="371"/>
      <c r="X27" s="371"/>
      <c r="Y27" s="371"/>
      <c r="Z27" s="371"/>
      <c r="AA27" s="371"/>
      <c r="AB27" s="371"/>
      <c r="AC27" s="371"/>
      <c r="AD27" s="371"/>
      <c r="AE27" s="371"/>
    </row>
    <row r="28" ht="14.25" customHeight="1">
      <c r="A28" s="337" t="s">
        <v>600</v>
      </c>
      <c r="B28" s="381">
        <v>31.7</v>
      </c>
      <c r="C28" s="378" t="s">
        <v>571</v>
      </c>
      <c r="D28" s="341" t="s">
        <v>603</v>
      </c>
      <c r="E28" s="4"/>
      <c r="F28" s="371"/>
      <c r="G28" s="380"/>
      <c r="H28" s="61"/>
      <c r="I28" s="62"/>
      <c r="J28" s="371"/>
      <c r="K28" s="371"/>
      <c r="L28" s="371"/>
      <c r="M28" s="371"/>
      <c r="N28" s="371"/>
      <c r="O28" s="371"/>
      <c r="P28" s="371"/>
      <c r="Q28" s="371"/>
      <c r="R28" s="371"/>
      <c r="S28" s="371"/>
      <c r="T28" s="371"/>
      <c r="U28" s="371"/>
      <c r="V28" s="371"/>
      <c r="W28" s="371"/>
      <c r="X28" s="371"/>
      <c r="Y28" s="371"/>
      <c r="Z28" s="371"/>
      <c r="AA28" s="371"/>
      <c r="AB28" s="371"/>
      <c r="AC28" s="371"/>
      <c r="AD28" s="371"/>
      <c r="AE28" s="371"/>
    </row>
    <row r="29" ht="14.25" customHeight="1">
      <c r="A29" s="337" t="s">
        <v>606</v>
      </c>
      <c r="B29" s="374">
        <v>307.0</v>
      </c>
      <c r="C29" s="378" t="s">
        <v>607</v>
      </c>
      <c r="D29" s="341"/>
      <c r="E29" s="4"/>
      <c r="F29" s="371"/>
      <c r="G29" s="380"/>
      <c r="H29" s="61"/>
      <c r="I29" s="62"/>
      <c r="J29" s="371"/>
      <c r="K29" s="371"/>
      <c r="L29" s="371"/>
      <c r="M29" s="371"/>
      <c r="N29" s="371"/>
      <c r="O29" s="371"/>
      <c r="P29" s="371"/>
      <c r="Q29" s="371"/>
      <c r="R29" s="371"/>
      <c r="S29" s="371"/>
      <c r="T29" s="371"/>
      <c r="U29" s="371"/>
      <c r="V29" s="371"/>
      <c r="W29" s="371"/>
      <c r="X29" s="371"/>
      <c r="Y29" s="371"/>
      <c r="Z29" s="371"/>
      <c r="AA29" s="371"/>
      <c r="AB29" s="371"/>
      <c r="AC29" s="371"/>
      <c r="AD29" s="371"/>
      <c r="AE29" s="371"/>
    </row>
    <row r="30" ht="14.25" customHeight="1">
      <c r="A30" s="337" t="s">
        <v>610</v>
      </c>
      <c r="B30" s="382">
        <f>10*LOG10(B12*B29*1000)</f>
        <v>-173.7277834</v>
      </c>
      <c r="C30" s="378" t="s">
        <v>612</v>
      </c>
      <c r="D30" s="341" t="s">
        <v>613</v>
      </c>
      <c r="E30" s="4"/>
      <c r="F30" s="371"/>
      <c r="G30" s="383"/>
      <c r="H30" s="61"/>
      <c r="I30" s="62"/>
      <c r="J30" s="371"/>
      <c r="K30" s="371"/>
      <c r="L30" s="371"/>
      <c r="M30" s="371"/>
      <c r="N30" s="371"/>
      <c r="O30" s="371"/>
      <c r="P30" s="371"/>
      <c r="Q30" s="371"/>
      <c r="R30" s="371"/>
      <c r="S30" s="371"/>
      <c r="T30" s="371"/>
      <c r="U30" s="371"/>
      <c r="V30" s="371"/>
      <c r="W30" s="371"/>
      <c r="X30" s="371"/>
      <c r="Y30" s="371"/>
      <c r="Z30" s="371"/>
      <c r="AA30" s="371"/>
      <c r="AB30" s="371"/>
      <c r="AC30" s="371"/>
      <c r="AD30" s="371"/>
      <c r="AE30" s="371"/>
    </row>
    <row r="31" ht="14.25" customHeight="1">
      <c r="A31" s="337" t="s">
        <v>618</v>
      </c>
      <c r="B31" s="366">
        <v>-5.0</v>
      </c>
      <c r="C31" s="378" t="s">
        <v>574</v>
      </c>
      <c r="D31" s="341" t="s">
        <v>619</v>
      </c>
      <c r="E31" s="4"/>
      <c r="F31" s="371"/>
      <c r="G31" s="385"/>
      <c r="H31" s="387"/>
      <c r="I31" s="387"/>
      <c r="J31" s="371"/>
      <c r="K31" s="371"/>
      <c r="L31" s="371"/>
      <c r="M31" s="371"/>
      <c r="N31" s="371"/>
      <c r="O31" s="371"/>
      <c r="P31" s="371"/>
      <c r="Q31" s="371"/>
      <c r="R31" s="371"/>
      <c r="S31" s="371"/>
      <c r="T31" s="371"/>
      <c r="U31" s="371"/>
      <c r="V31" s="371"/>
      <c r="W31" s="371"/>
      <c r="X31" s="371"/>
      <c r="Y31" s="371"/>
      <c r="Z31" s="371"/>
      <c r="AA31" s="371"/>
      <c r="AB31" s="371"/>
      <c r="AC31" s="371"/>
      <c r="AD31" s="371"/>
      <c r="AE31" s="371"/>
    </row>
    <row r="32" ht="14.25" customHeight="1">
      <c r="A32" s="337" t="s">
        <v>631</v>
      </c>
      <c r="B32" s="381" t="str">
        <f>SUM(B23,B28,B24,B31)</f>
        <v>#REF!</v>
      </c>
      <c r="C32" s="378" t="s">
        <v>567</v>
      </c>
      <c r="D32" s="389"/>
      <c r="E32" s="4"/>
      <c r="F32" s="371"/>
      <c r="G32" s="379"/>
      <c r="H32" s="61"/>
      <c r="I32" s="62"/>
      <c r="J32" s="371"/>
      <c r="K32" s="371"/>
      <c r="L32" s="371"/>
      <c r="M32" s="371"/>
      <c r="N32" s="371"/>
      <c r="O32" s="371"/>
      <c r="P32" s="371"/>
      <c r="Q32" s="371"/>
      <c r="R32" s="371"/>
      <c r="S32" s="371"/>
      <c r="T32" s="371"/>
      <c r="U32" s="371"/>
      <c r="V32" s="371"/>
      <c r="W32" s="371"/>
      <c r="X32" s="371"/>
      <c r="Y32" s="371"/>
      <c r="Z32" s="371"/>
      <c r="AA32" s="371"/>
      <c r="AB32" s="371"/>
      <c r="AC32" s="371"/>
      <c r="AD32" s="371"/>
      <c r="AE32" s="371"/>
    </row>
    <row r="33" ht="14.25" customHeight="1">
      <c r="A33" s="337" t="s">
        <v>641</v>
      </c>
      <c r="B33" s="366">
        <v>0.0</v>
      </c>
      <c r="C33" s="378" t="s">
        <v>574</v>
      </c>
      <c r="D33" s="341" t="s">
        <v>642</v>
      </c>
      <c r="E33" s="4"/>
      <c r="F33" s="371"/>
      <c r="G33" s="371"/>
      <c r="H33" s="371"/>
      <c r="I33" s="371"/>
      <c r="J33" s="371"/>
      <c r="K33" s="371"/>
      <c r="L33" s="371"/>
      <c r="M33" s="371"/>
      <c r="N33" s="371"/>
      <c r="O33" s="371"/>
      <c r="P33" s="371"/>
      <c r="Q33" s="371"/>
      <c r="R33" s="371"/>
      <c r="S33" s="371"/>
      <c r="T33" s="371"/>
      <c r="U33" s="371"/>
      <c r="V33" s="371"/>
      <c r="W33" s="371"/>
      <c r="X33" s="371"/>
      <c r="Y33" s="371"/>
      <c r="Z33" s="371"/>
      <c r="AA33" s="371"/>
      <c r="AB33" s="371"/>
      <c r="AC33" s="371"/>
      <c r="AD33" s="371"/>
      <c r="AE33" s="371"/>
    </row>
    <row r="34" ht="14.25" customHeight="1">
      <c r="A34" s="332" t="s">
        <v>646</v>
      </c>
      <c r="B34" s="333"/>
      <c r="C34" s="333"/>
      <c r="D34" s="329"/>
      <c r="E34" s="4"/>
      <c r="F34" s="371"/>
      <c r="G34" s="371"/>
      <c r="H34" s="371"/>
      <c r="I34" s="371"/>
      <c r="J34" s="371"/>
      <c r="K34" s="371"/>
      <c r="L34" s="371"/>
      <c r="M34" s="371"/>
      <c r="N34" s="371"/>
      <c r="O34" s="371"/>
      <c r="P34" s="371"/>
      <c r="Q34" s="371"/>
      <c r="R34" s="371"/>
      <c r="S34" s="371"/>
      <c r="T34" s="371"/>
      <c r="U34" s="371"/>
      <c r="V34" s="371"/>
      <c r="W34" s="371"/>
      <c r="X34" s="371"/>
      <c r="Y34" s="371"/>
      <c r="Z34" s="371"/>
      <c r="AA34" s="371"/>
      <c r="AB34" s="371"/>
      <c r="AC34" s="371"/>
      <c r="AD34" s="371"/>
      <c r="AE34" s="371"/>
    </row>
    <row r="35" ht="14.25" customHeight="1">
      <c r="A35" s="337" t="s">
        <v>651</v>
      </c>
      <c r="B35" s="381" t="str">
        <f>B32-B30+B33-10*LOG10(B18*10^6)</f>
        <v>#REF!</v>
      </c>
      <c r="C35" s="378" t="s">
        <v>574</v>
      </c>
      <c r="D35" s="341" t="s">
        <v>652</v>
      </c>
      <c r="E35" s="4"/>
      <c r="F35" s="371"/>
      <c r="G35" s="371"/>
      <c r="H35" s="371"/>
      <c r="I35" s="371"/>
      <c r="J35" s="371"/>
      <c r="K35" s="371"/>
      <c r="L35" s="371"/>
      <c r="M35" s="371"/>
      <c r="N35" s="371"/>
      <c r="O35" s="371"/>
      <c r="P35" s="371"/>
      <c r="Q35" s="371"/>
      <c r="R35" s="371"/>
      <c r="S35" s="371"/>
      <c r="T35" s="371"/>
      <c r="U35" s="371"/>
      <c r="V35" s="371"/>
      <c r="W35" s="371"/>
      <c r="X35" s="371"/>
      <c r="Y35" s="371"/>
      <c r="Z35" s="371"/>
      <c r="AA35" s="371"/>
      <c r="AB35" s="371"/>
      <c r="AC35" s="371"/>
      <c r="AD35" s="371"/>
      <c r="AE35" s="371"/>
    </row>
    <row r="36" ht="14.25" customHeight="1">
      <c r="A36" s="337" t="s">
        <v>654</v>
      </c>
      <c r="B36" s="374">
        <v>11.0</v>
      </c>
      <c r="C36" s="378" t="s">
        <v>574</v>
      </c>
      <c r="D36" s="341" t="s">
        <v>655</v>
      </c>
      <c r="E36" s="4"/>
      <c r="F36" s="371"/>
      <c r="G36" s="371"/>
      <c r="H36" s="371"/>
      <c r="I36" s="371"/>
      <c r="J36" s="371"/>
      <c r="K36" s="371"/>
      <c r="L36" s="371"/>
      <c r="M36" s="371"/>
      <c r="N36" s="371"/>
      <c r="O36" s="371"/>
      <c r="P36" s="371"/>
      <c r="Q36" s="371"/>
      <c r="R36" s="371"/>
      <c r="S36" s="371"/>
      <c r="T36" s="371"/>
      <c r="U36" s="371"/>
      <c r="V36" s="371"/>
      <c r="W36" s="371"/>
      <c r="X36" s="371"/>
      <c r="Y36" s="371"/>
      <c r="Z36" s="371"/>
      <c r="AA36" s="371"/>
      <c r="AB36" s="371"/>
      <c r="AC36" s="371"/>
      <c r="AD36" s="371"/>
      <c r="AE36" s="371"/>
    </row>
    <row r="37" ht="14.25" customHeight="1">
      <c r="A37" s="337" t="s">
        <v>657</v>
      </c>
      <c r="B37" s="392" t="str">
        <f>B35-B36</f>
        <v>#REF!</v>
      </c>
      <c r="C37" s="378" t="s">
        <v>574</v>
      </c>
      <c r="D37" s="341" t="s">
        <v>658</v>
      </c>
      <c r="E37" s="4"/>
      <c r="F37" s="371"/>
      <c r="G37" s="371"/>
      <c r="H37" s="371"/>
      <c r="I37" s="371"/>
      <c r="J37" s="371"/>
      <c r="K37" s="371"/>
      <c r="L37" s="371"/>
      <c r="M37" s="371"/>
      <c r="N37" s="371"/>
      <c r="O37" s="371"/>
      <c r="P37" s="371"/>
      <c r="Q37" s="371"/>
      <c r="R37" s="371"/>
      <c r="S37" s="371"/>
      <c r="T37" s="371"/>
      <c r="U37" s="371"/>
      <c r="V37" s="371"/>
      <c r="W37" s="371"/>
      <c r="X37" s="371"/>
      <c r="Y37" s="371"/>
      <c r="Z37" s="371"/>
      <c r="AA37" s="371"/>
      <c r="AB37" s="371"/>
      <c r="AC37" s="371"/>
      <c r="AD37" s="371"/>
      <c r="AE37" s="371"/>
    </row>
    <row r="38" ht="14.25" customHeight="1">
      <c r="A38" s="393" t="s">
        <v>659</v>
      </c>
      <c r="B38" s="394">
        <v>6.0</v>
      </c>
      <c r="C38" s="395" t="s">
        <v>574</v>
      </c>
      <c r="D38" s="396" t="s">
        <v>660</v>
      </c>
      <c r="E38" s="4"/>
      <c r="F38" s="371"/>
      <c r="G38" s="371"/>
      <c r="H38" s="371"/>
      <c r="I38" s="371"/>
      <c r="J38" s="371"/>
      <c r="K38" s="371"/>
      <c r="L38" s="371"/>
      <c r="M38" s="371"/>
      <c r="N38" s="371"/>
      <c r="O38" s="371"/>
      <c r="P38" s="371"/>
      <c r="Q38" s="371"/>
      <c r="R38" s="371"/>
      <c r="S38" s="371"/>
      <c r="T38" s="371"/>
      <c r="U38" s="371"/>
      <c r="V38" s="371"/>
      <c r="W38" s="371"/>
      <c r="X38" s="371"/>
      <c r="Y38" s="371"/>
      <c r="Z38" s="371"/>
      <c r="AA38" s="371"/>
      <c r="AB38" s="371"/>
      <c r="AC38" s="371"/>
      <c r="AD38" s="371"/>
      <c r="AE38" s="371"/>
    </row>
    <row r="39" ht="14.25" customHeight="1">
      <c r="A39" s="397"/>
      <c r="B39" s="397"/>
      <c r="C39" s="397"/>
      <c r="D39" s="398"/>
      <c r="E39" s="4"/>
      <c r="F39" s="371"/>
      <c r="G39" s="371"/>
      <c r="H39" s="371"/>
      <c r="I39" s="371"/>
      <c r="J39" s="371"/>
      <c r="K39" s="371"/>
      <c r="L39" s="371"/>
      <c r="M39" s="371"/>
      <c r="N39" s="371"/>
      <c r="O39" s="371"/>
      <c r="P39" s="371"/>
      <c r="Q39" s="371"/>
      <c r="R39" s="371"/>
      <c r="S39" s="371"/>
      <c r="T39" s="371"/>
      <c r="U39" s="371"/>
      <c r="V39" s="371"/>
      <c r="W39" s="371"/>
      <c r="X39" s="371"/>
      <c r="Y39" s="371"/>
      <c r="Z39" s="371"/>
      <c r="AA39" s="371"/>
      <c r="AB39" s="371"/>
      <c r="AC39" s="371"/>
      <c r="AD39" s="371"/>
      <c r="AE39" s="371"/>
    </row>
    <row r="40" ht="14.25" customHeight="1">
      <c r="A40" s="397"/>
      <c r="B40" s="399"/>
      <c r="C40" s="397"/>
      <c r="D40" s="400"/>
      <c r="E40" s="4"/>
      <c r="F40" s="371"/>
      <c r="G40" s="371"/>
      <c r="H40" s="371"/>
      <c r="I40" s="371"/>
      <c r="J40" s="371"/>
      <c r="K40" s="371"/>
      <c r="L40" s="371"/>
      <c r="M40" s="371"/>
      <c r="N40" s="371"/>
      <c r="O40" s="371"/>
      <c r="P40" s="371"/>
      <c r="Q40" s="371"/>
      <c r="R40" s="371"/>
      <c r="S40" s="371"/>
      <c r="T40" s="371"/>
      <c r="U40" s="371"/>
      <c r="V40" s="371"/>
      <c r="W40" s="371"/>
      <c r="X40" s="371"/>
      <c r="Y40" s="371"/>
      <c r="Z40" s="371"/>
      <c r="AA40" s="371"/>
      <c r="AB40" s="371"/>
      <c r="AC40" s="371"/>
      <c r="AD40" s="371"/>
      <c r="AE40" s="371"/>
    </row>
    <row r="41" ht="14.25" customHeight="1">
      <c r="A41" s="397"/>
      <c r="B41" s="397"/>
      <c r="C41" s="397"/>
      <c r="D41" s="398"/>
      <c r="E41" s="4"/>
      <c r="F41" s="371"/>
      <c r="G41" s="371"/>
      <c r="H41" s="371"/>
      <c r="I41" s="371"/>
      <c r="J41" s="371"/>
      <c r="K41" s="371"/>
      <c r="L41" s="371"/>
      <c r="M41" s="371"/>
      <c r="N41" s="371"/>
      <c r="O41" s="371"/>
      <c r="P41" s="371"/>
      <c r="Q41" s="371"/>
      <c r="R41" s="371"/>
      <c r="S41" s="371"/>
      <c r="T41" s="371"/>
      <c r="U41" s="371"/>
      <c r="V41" s="371"/>
      <c r="W41" s="371"/>
      <c r="X41" s="371"/>
      <c r="Y41" s="371"/>
      <c r="Z41" s="371"/>
      <c r="AA41" s="371"/>
      <c r="AB41" s="371"/>
      <c r="AC41" s="371"/>
      <c r="AD41" s="371"/>
      <c r="AE41" s="371"/>
    </row>
    <row r="42" ht="14.25" customHeight="1">
      <c r="A42" s="397"/>
      <c r="B42" s="397"/>
      <c r="C42" s="397"/>
      <c r="D42" s="400"/>
      <c r="E42" s="4"/>
      <c r="F42" s="371"/>
      <c r="G42" s="371"/>
      <c r="H42" s="371"/>
      <c r="I42" s="371"/>
      <c r="J42" s="371"/>
      <c r="K42" s="371"/>
      <c r="L42" s="371"/>
      <c r="M42" s="371"/>
      <c r="N42" s="371"/>
      <c r="O42" s="371"/>
      <c r="P42" s="371"/>
      <c r="Q42" s="371"/>
      <c r="R42" s="371"/>
      <c r="S42" s="371"/>
      <c r="T42" s="371"/>
      <c r="U42" s="371"/>
      <c r="V42" s="371"/>
      <c r="W42" s="371"/>
      <c r="X42" s="371"/>
      <c r="Y42" s="371"/>
      <c r="Z42" s="371"/>
      <c r="AA42" s="371"/>
      <c r="AB42" s="371"/>
      <c r="AC42" s="371"/>
      <c r="AD42" s="371"/>
      <c r="AE42" s="371"/>
    </row>
    <row r="43" ht="14.25" customHeight="1">
      <c r="A43" s="397"/>
      <c r="B43" s="397"/>
      <c r="C43" s="397"/>
      <c r="D43" s="398"/>
      <c r="E43" s="4"/>
      <c r="F43" s="371"/>
      <c r="G43" s="371"/>
      <c r="H43" s="371"/>
      <c r="I43" s="371"/>
      <c r="J43" s="371"/>
      <c r="K43" s="371"/>
      <c r="L43" s="371"/>
      <c r="M43" s="371"/>
      <c r="N43" s="371"/>
      <c r="O43" s="371"/>
      <c r="P43" s="371"/>
      <c r="Q43" s="371"/>
      <c r="R43" s="371"/>
      <c r="S43" s="371"/>
      <c r="T43" s="371"/>
      <c r="U43" s="371"/>
      <c r="V43" s="371"/>
      <c r="W43" s="371"/>
      <c r="X43" s="371"/>
      <c r="Y43" s="371"/>
      <c r="Z43" s="371"/>
      <c r="AA43" s="371"/>
      <c r="AB43" s="371"/>
      <c r="AC43" s="371"/>
      <c r="AD43" s="371"/>
      <c r="AE43" s="371"/>
    </row>
    <row r="44" ht="14.25" customHeight="1">
      <c r="A44" s="397"/>
      <c r="B44" s="397"/>
      <c r="C44" s="397"/>
      <c r="D44" s="401"/>
      <c r="E44" s="4"/>
      <c r="F44" s="371"/>
      <c r="G44" s="371"/>
      <c r="H44" s="371"/>
      <c r="I44" s="371"/>
      <c r="J44" s="371"/>
      <c r="K44" s="371"/>
      <c r="L44" s="371"/>
      <c r="M44" s="371"/>
      <c r="N44" s="371"/>
      <c r="O44" s="371"/>
      <c r="P44" s="371"/>
      <c r="Q44" s="371"/>
      <c r="R44" s="371"/>
      <c r="S44" s="371"/>
      <c r="T44" s="371"/>
      <c r="U44" s="371"/>
      <c r="V44" s="371"/>
      <c r="W44" s="371"/>
      <c r="X44" s="371"/>
      <c r="Y44" s="371"/>
      <c r="Z44" s="371"/>
      <c r="AA44" s="371"/>
      <c r="AB44" s="371"/>
      <c r="AC44" s="371"/>
      <c r="AD44" s="371"/>
      <c r="AE44" s="371"/>
    </row>
    <row r="45" ht="14.25" customHeight="1">
      <c r="A45" s="397"/>
      <c r="B45" s="402"/>
      <c r="C45" s="397"/>
      <c r="D45" s="403"/>
      <c r="E45" s="4"/>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row>
    <row r="46" ht="14.25" customHeight="1">
      <c r="A46" s="397"/>
      <c r="B46" s="397"/>
      <c r="C46" s="397"/>
      <c r="D46" s="398"/>
      <c r="E46" s="4"/>
      <c r="F46" s="371"/>
      <c r="G46" s="371"/>
      <c r="H46" s="371"/>
      <c r="I46" s="371"/>
      <c r="J46" s="371"/>
      <c r="K46" s="371"/>
      <c r="L46" s="371"/>
      <c r="M46" s="371"/>
      <c r="N46" s="371"/>
      <c r="O46" s="371"/>
      <c r="P46" s="371"/>
      <c r="Q46" s="371"/>
      <c r="R46" s="371"/>
      <c r="S46" s="371"/>
      <c r="T46" s="371"/>
      <c r="U46" s="371"/>
      <c r="V46" s="371"/>
      <c r="W46" s="371"/>
      <c r="X46" s="371"/>
      <c r="Y46" s="371"/>
      <c r="Z46" s="371"/>
      <c r="AA46" s="371"/>
      <c r="AB46" s="371"/>
      <c r="AC46" s="371"/>
      <c r="AD46" s="371"/>
      <c r="AE46" s="371"/>
    </row>
    <row r="47" ht="14.25" customHeight="1">
      <c r="A47" s="397"/>
      <c r="B47" s="397"/>
      <c r="C47" s="404"/>
      <c r="E47" s="4"/>
      <c r="F47" s="371"/>
      <c r="G47" s="371"/>
      <c r="H47" s="371"/>
      <c r="I47" s="371"/>
      <c r="J47" s="371"/>
      <c r="K47" s="371"/>
      <c r="L47" s="371"/>
      <c r="M47" s="371"/>
      <c r="N47" s="371"/>
      <c r="O47" s="371"/>
      <c r="P47" s="371"/>
      <c r="Q47" s="371"/>
      <c r="R47" s="371"/>
      <c r="S47" s="371"/>
      <c r="T47" s="371"/>
      <c r="U47" s="371"/>
      <c r="V47" s="371"/>
      <c r="W47" s="371"/>
      <c r="X47" s="371"/>
      <c r="Y47" s="371"/>
      <c r="Z47" s="371"/>
      <c r="AA47" s="371"/>
      <c r="AB47" s="371"/>
      <c r="AC47" s="371"/>
      <c r="AD47" s="371"/>
      <c r="AE47" s="371"/>
    </row>
    <row r="48" ht="14.25" customHeight="1">
      <c r="A48" s="397"/>
      <c r="B48" s="405"/>
      <c r="E48" s="4"/>
      <c r="F48" s="371"/>
      <c r="G48" s="371"/>
      <c r="H48" s="371"/>
      <c r="I48" s="371"/>
      <c r="J48" s="371"/>
      <c r="K48" s="371"/>
      <c r="L48" s="371"/>
      <c r="M48" s="371"/>
      <c r="N48" s="379"/>
      <c r="O48" s="61"/>
      <c r="P48" s="62"/>
      <c r="Q48" s="379"/>
      <c r="R48" s="61"/>
      <c r="S48" s="62"/>
      <c r="T48" s="371"/>
      <c r="U48" s="371"/>
      <c r="V48" s="371"/>
      <c r="W48" s="371"/>
      <c r="X48" s="371"/>
      <c r="Y48" s="371"/>
      <c r="Z48" s="371"/>
      <c r="AA48" s="371"/>
      <c r="AB48" s="371"/>
      <c r="AC48" s="371"/>
      <c r="AD48" s="371"/>
      <c r="AE48" s="371"/>
    </row>
    <row r="49" ht="14.25" customHeight="1">
      <c r="A49" s="397"/>
      <c r="B49" s="397"/>
      <c r="E49" s="4"/>
      <c r="F49" s="371"/>
      <c r="G49" s="371"/>
      <c r="H49" s="371"/>
      <c r="I49" s="371"/>
      <c r="J49" s="371"/>
      <c r="K49" s="371"/>
      <c r="L49" s="371"/>
      <c r="M49" s="371"/>
      <c r="N49" s="371"/>
      <c r="O49" s="371"/>
      <c r="P49" s="371"/>
      <c r="Q49" s="371"/>
      <c r="R49" s="371"/>
      <c r="S49" s="371"/>
      <c r="T49" s="371"/>
      <c r="U49" s="371"/>
      <c r="V49" s="371"/>
      <c r="W49" s="371"/>
      <c r="X49" s="371"/>
      <c r="Y49" s="371"/>
      <c r="Z49" s="371"/>
      <c r="AA49" s="371"/>
      <c r="AB49" s="371"/>
      <c r="AC49" s="371"/>
      <c r="AD49" s="371"/>
      <c r="AE49" s="371"/>
    </row>
    <row r="50" ht="14.25" customHeight="1">
      <c r="A50" s="397"/>
      <c r="B50" s="397"/>
      <c r="C50" s="397"/>
      <c r="D50" s="398"/>
      <c r="E50" s="4"/>
      <c r="F50" s="371"/>
      <c r="G50" s="371"/>
      <c r="H50" s="371"/>
      <c r="I50" s="371"/>
      <c r="J50" s="371"/>
      <c r="K50" s="371"/>
      <c r="L50" s="371"/>
      <c r="M50" s="371"/>
      <c r="N50" s="371"/>
      <c r="O50" s="371"/>
      <c r="P50" s="371"/>
      <c r="Q50" s="371"/>
      <c r="R50" s="371"/>
      <c r="S50" s="371"/>
      <c r="T50" s="371"/>
      <c r="U50" s="371"/>
      <c r="V50" s="371"/>
      <c r="W50" s="371"/>
      <c r="X50" s="371"/>
      <c r="Y50" s="371"/>
      <c r="Z50" s="371"/>
      <c r="AA50" s="371"/>
      <c r="AB50" s="371"/>
      <c r="AC50" s="371"/>
      <c r="AD50" s="371"/>
      <c r="AE50" s="371"/>
    </row>
    <row r="51" ht="14.25" customHeight="1">
      <c r="A51" s="397"/>
      <c r="B51" s="397"/>
      <c r="C51" s="397"/>
      <c r="D51" s="401"/>
      <c r="E51" s="4"/>
      <c r="F51" s="371"/>
      <c r="G51" s="371"/>
      <c r="H51" s="371"/>
      <c r="I51" s="371"/>
      <c r="J51" s="371"/>
      <c r="K51" s="371"/>
      <c r="L51" s="371"/>
      <c r="M51" s="371"/>
      <c r="N51" s="371"/>
      <c r="O51" s="371"/>
      <c r="P51" s="371"/>
      <c r="Q51" s="371"/>
      <c r="R51" s="371"/>
      <c r="S51" s="371"/>
      <c r="T51" s="371"/>
      <c r="U51" s="371"/>
      <c r="V51" s="371"/>
      <c r="W51" s="371"/>
      <c r="X51" s="371"/>
      <c r="Y51" s="371"/>
      <c r="Z51" s="371"/>
      <c r="AA51" s="371"/>
      <c r="AB51" s="371"/>
      <c r="AC51" s="371"/>
      <c r="AD51" s="371"/>
      <c r="AE51" s="371"/>
    </row>
    <row r="52" ht="14.25" customHeight="1">
      <c r="A52" s="397"/>
      <c r="B52" s="397"/>
      <c r="C52" s="397"/>
      <c r="D52" s="401"/>
      <c r="E52" s="4"/>
      <c r="F52" s="371"/>
      <c r="G52" s="371"/>
      <c r="H52" s="371"/>
      <c r="I52" s="371"/>
      <c r="J52" s="371"/>
      <c r="K52" s="371"/>
      <c r="L52" s="371"/>
      <c r="M52" s="371"/>
      <c r="N52" s="371"/>
      <c r="O52" s="371"/>
      <c r="P52" s="371"/>
      <c r="Q52" s="371"/>
      <c r="R52" s="371"/>
      <c r="S52" s="371"/>
      <c r="T52" s="371"/>
      <c r="U52" s="371"/>
      <c r="V52" s="371"/>
      <c r="W52" s="371"/>
      <c r="X52" s="371"/>
      <c r="Y52" s="371"/>
      <c r="Z52" s="371"/>
      <c r="AA52" s="371"/>
      <c r="AB52" s="371"/>
      <c r="AC52" s="371"/>
      <c r="AD52" s="371"/>
      <c r="AE52" s="371"/>
    </row>
    <row r="53" ht="14.25" customHeight="1">
      <c r="A53" s="397"/>
      <c r="B53" s="397"/>
      <c r="C53" s="397"/>
      <c r="D53" s="398"/>
      <c r="E53" s="4"/>
      <c r="F53" s="371"/>
      <c r="G53" s="371"/>
      <c r="H53" s="371"/>
      <c r="I53" s="371"/>
      <c r="J53" s="371"/>
      <c r="K53" s="371"/>
      <c r="L53" s="371"/>
      <c r="M53" s="371"/>
      <c r="N53" s="371"/>
      <c r="O53" s="371"/>
      <c r="P53" s="371"/>
      <c r="Q53" s="371"/>
      <c r="R53" s="371"/>
      <c r="S53" s="371"/>
      <c r="T53" s="371"/>
      <c r="U53" s="371"/>
      <c r="V53" s="371"/>
      <c r="W53" s="371"/>
      <c r="X53" s="371"/>
      <c r="Y53" s="371"/>
      <c r="Z53" s="371"/>
      <c r="AA53" s="371"/>
      <c r="AB53" s="371"/>
      <c r="AC53" s="371"/>
      <c r="AD53" s="371"/>
      <c r="AE53" s="371"/>
    </row>
    <row r="54" ht="14.25" customHeight="1">
      <c r="A54" s="397"/>
      <c r="B54" s="397"/>
      <c r="C54" s="397"/>
      <c r="D54" s="398"/>
      <c r="E54" s="4"/>
      <c r="F54" s="371"/>
      <c r="G54" s="371"/>
      <c r="H54" s="371"/>
      <c r="I54" s="371"/>
      <c r="J54" s="371"/>
      <c r="K54" s="371"/>
      <c r="L54" s="371"/>
      <c r="M54" s="371"/>
      <c r="N54" s="371"/>
      <c r="O54" s="371"/>
      <c r="P54" s="371"/>
      <c r="Q54" s="371"/>
      <c r="R54" s="371"/>
      <c r="S54" s="371"/>
      <c r="T54" s="371"/>
      <c r="U54" s="371"/>
      <c r="V54" s="371"/>
      <c r="W54" s="371"/>
      <c r="X54" s="371"/>
      <c r="Y54" s="371"/>
      <c r="Z54" s="371"/>
      <c r="AA54" s="371"/>
      <c r="AB54" s="371"/>
      <c r="AC54" s="371"/>
      <c r="AD54" s="371"/>
      <c r="AE54" s="371"/>
    </row>
    <row r="55" ht="14.25" customHeight="1">
      <c r="A55" s="397"/>
      <c r="B55" s="397"/>
      <c r="C55" s="397"/>
      <c r="D55" s="398"/>
      <c r="E55" s="4"/>
      <c r="F55" s="371"/>
      <c r="G55" s="371"/>
      <c r="H55" s="371"/>
      <c r="I55" s="371"/>
      <c r="J55" s="371"/>
      <c r="K55" s="371"/>
      <c r="L55" s="371"/>
      <c r="M55" s="371"/>
      <c r="N55" s="371"/>
      <c r="O55" s="371"/>
      <c r="P55" s="371"/>
      <c r="Q55" s="371"/>
      <c r="R55" s="371"/>
      <c r="S55" s="371"/>
      <c r="T55" s="371"/>
      <c r="U55" s="371"/>
      <c r="V55" s="371"/>
      <c r="W55" s="371"/>
      <c r="X55" s="371"/>
      <c r="Y55" s="371"/>
      <c r="Z55" s="371"/>
      <c r="AA55" s="371"/>
      <c r="AB55" s="371"/>
      <c r="AC55" s="371"/>
      <c r="AD55" s="371"/>
      <c r="AE55" s="371"/>
    </row>
    <row r="56" ht="14.25" customHeight="1">
      <c r="A56" s="397"/>
      <c r="B56" s="397"/>
      <c r="C56" s="397"/>
      <c r="D56" s="398"/>
      <c r="E56" s="4"/>
      <c r="F56" s="371"/>
      <c r="G56" s="371"/>
      <c r="H56" s="371"/>
      <c r="I56" s="371"/>
      <c r="J56" s="371"/>
      <c r="K56" s="371"/>
      <c r="L56" s="371"/>
      <c r="M56" s="371"/>
      <c r="N56" s="371"/>
      <c r="O56" s="371"/>
      <c r="P56" s="371"/>
      <c r="Q56" s="371"/>
      <c r="R56" s="371"/>
      <c r="S56" s="371"/>
      <c r="T56" s="371"/>
      <c r="U56" s="371"/>
      <c r="V56" s="371"/>
      <c r="W56" s="371"/>
      <c r="X56" s="371"/>
      <c r="Y56" s="371"/>
      <c r="Z56" s="371"/>
      <c r="AA56" s="371"/>
      <c r="AB56" s="371"/>
      <c r="AC56" s="371"/>
      <c r="AD56" s="371"/>
      <c r="AE56" s="371"/>
    </row>
    <row r="57" ht="14.25" customHeight="1">
      <c r="A57" s="397"/>
      <c r="B57" s="397"/>
      <c r="C57" s="397"/>
      <c r="D57" s="398"/>
      <c r="E57" s="4"/>
      <c r="F57" s="371"/>
      <c r="G57" s="371"/>
      <c r="H57" s="371"/>
      <c r="I57" s="371"/>
      <c r="J57" s="371"/>
      <c r="K57" s="371"/>
      <c r="L57" s="371"/>
      <c r="M57" s="371"/>
      <c r="N57" s="371"/>
      <c r="O57" s="371"/>
      <c r="P57" s="371"/>
      <c r="Q57" s="371"/>
      <c r="R57" s="371"/>
      <c r="S57" s="371"/>
      <c r="T57" s="371"/>
      <c r="U57" s="371"/>
      <c r="V57" s="371"/>
      <c r="W57" s="371"/>
      <c r="X57" s="371"/>
      <c r="Y57" s="371"/>
      <c r="Z57" s="371"/>
      <c r="AA57" s="371"/>
      <c r="AB57" s="371"/>
      <c r="AC57" s="371"/>
      <c r="AD57" s="371"/>
      <c r="AE57" s="371"/>
    </row>
    <row r="58" ht="14.25" customHeight="1">
      <c r="A58" s="397"/>
      <c r="B58" s="397"/>
      <c r="C58" s="397"/>
      <c r="D58" s="398"/>
      <c r="E58" s="4"/>
      <c r="F58" s="371"/>
      <c r="G58" s="371"/>
      <c r="H58" s="371"/>
      <c r="I58" s="371"/>
      <c r="J58" s="371"/>
      <c r="K58" s="371"/>
      <c r="L58" s="371"/>
      <c r="M58" s="371"/>
      <c r="N58" s="371"/>
      <c r="O58" s="371"/>
      <c r="P58" s="371"/>
      <c r="Q58" s="371"/>
      <c r="R58" s="371"/>
      <c r="S58" s="371"/>
      <c r="T58" s="371"/>
      <c r="U58" s="371"/>
      <c r="V58" s="371"/>
      <c r="W58" s="371"/>
      <c r="X58" s="371"/>
      <c r="Y58" s="371"/>
      <c r="Z58" s="371"/>
      <c r="AA58" s="371"/>
      <c r="AB58" s="371"/>
      <c r="AC58" s="371"/>
      <c r="AD58" s="371"/>
      <c r="AE58" s="371"/>
    </row>
    <row r="59" ht="14.25" customHeight="1">
      <c r="A59" s="397"/>
      <c r="B59" s="397"/>
      <c r="C59" s="397"/>
      <c r="D59" s="398"/>
      <c r="E59" s="4"/>
      <c r="F59" s="371"/>
      <c r="G59" s="371"/>
      <c r="H59" s="371"/>
      <c r="I59" s="371"/>
      <c r="J59" s="371"/>
      <c r="K59" s="371"/>
      <c r="L59" s="371"/>
      <c r="M59" s="371"/>
      <c r="N59" s="371"/>
      <c r="O59" s="371"/>
      <c r="P59" s="371"/>
      <c r="Q59" s="371"/>
      <c r="R59" s="371"/>
      <c r="S59" s="371"/>
      <c r="T59" s="371"/>
      <c r="U59" s="371"/>
      <c r="V59" s="371"/>
      <c r="W59" s="371"/>
      <c r="X59" s="371"/>
      <c r="Y59" s="371"/>
      <c r="Z59" s="371"/>
      <c r="AA59" s="371"/>
      <c r="AB59" s="371"/>
      <c r="AC59" s="371"/>
      <c r="AD59" s="371"/>
      <c r="AE59" s="371"/>
    </row>
    <row r="60" ht="14.25" customHeight="1">
      <c r="A60" s="397"/>
      <c r="B60" s="397"/>
      <c r="C60" s="397"/>
      <c r="D60" s="398"/>
      <c r="E60" s="4"/>
      <c r="F60" s="371"/>
      <c r="G60" s="371"/>
      <c r="H60" s="371"/>
      <c r="I60" s="371"/>
      <c r="J60" s="371"/>
      <c r="K60" s="371"/>
      <c r="L60" s="371"/>
      <c r="M60" s="371"/>
      <c r="N60" s="371"/>
      <c r="O60" s="371"/>
      <c r="P60" s="371"/>
      <c r="Q60" s="371"/>
      <c r="R60" s="371"/>
      <c r="S60" s="371"/>
      <c r="T60" s="371"/>
      <c r="U60" s="371"/>
      <c r="V60" s="371"/>
      <c r="W60" s="371"/>
      <c r="X60" s="371"/>
      <c r="Y60" s="371"/>
      <c r="Z60" s="371"/>
      <c r="AA60" s="371"/>
      <c r="AB60" s="371"/>
      <c r="AC60" s="371"/>
      <c r="AD60" s="371"/>
      <c r="AE60" s="371"/>
    </row>
    <row r="61" ht="14.25" customHeight="1">
      <c r="A61" s="397"/>
      <c r="B61" s="397"/>
      <c r="C61" s="397"/>
      <c r="D61" s="398"/>
      <c r="E61" s="4"/>
      <c r="F61" s="371"/>
      <c r="G61" s="371"/>
      <c r="H61" s="371"/>
      <c r="I61" s="371"/>
      <c r="J61" s="371"/>
      <c r="K61" s="371"/>
      <c r="L61" s="371"/>
      <c r="M61" s="371"/>
      <c r="N61" s="371"/>
      <c r="O61" s="371"/>
      <c r="P61" s="371"/>
      <c r="Q61" s="371"/>
      <c r="R61" s="371"/>
      <c r="S61" s="371"/>
      <c r="T61" s="371"/>
      <c r="U61" s="371"/>
      <c r="V61" s="371"/>
      <c r="W61" s="371"/>
      <c r="X61" s="371"/>
      <c r="Y61" s="371"/>
      <c r="Z61" s="371"/>
      <c r="AA61" s="371"/>
      <c r="AB61" s="371"/>
      <c r="AC61" s="371"/>
      <c r="AD61" s="371"/>
      <c r="AE61" s="371"/>
    </row>
    <row r="62" ht="14.25" customHeight="1">
      <c r="A62" s="397"/>
      <c r="B62" s="397"/>
      <c r="C62" s="397"/>
      <c r="D62" s="398"/>
      <c r="E62" s="4"/>
      <c r="F62" s="371"/>
      <c r="G62" s="371"/>
      <c r="H62" s="371"/>
      <c r="I62" s="371"/>
      <c r="J62" s="371"/>
      <c r="K62" s="371"/>
      <c r="L62" s="371"/>
      <c r="M62" s="371"/>
      <c r="N62" s="371"/>
      <c r="O62" s="371"/>
      <c r="P62" s="371"/>
      <c r="Q62" s="371"/>
      <c r="R62" s="371"/>
      <c r="S62" s="371"/>
      <c r="T62" s="371"/>
      <c r="U62" s="371"/>
      <c r="V62" s="371"/>
      <c r="W62" s="371"/>
      <c r="X62" s="371"/>
      <c r="Y62" s="371"/>
      <c r="Z62" s="371"/>
      <c r="AA62" s="371"/>
      <c r="AB62" s="371"/>
      <c r="AC62" s="371"/>
      <c r="AD62" s="371"/>
      <c r="AE62" s="371"/>
    </row>
    <row r="63" ht="14.25" customHeight="1">
      <c r="A63" s="397"/>
      <c r="B63" s="397"/>
      <c r="C63" s="397"/>
      <c r="D63" s="398"/>
      <c r="E63" s="4"/>
      <c r="F63" s="371"/>
      <c r="G63" s="371"/>
      <c r="H63" s="371"/>
      <c r="I63" s="371"/>
      <c r="J63" s="371"/>
      <c r="K63" s="371"/>
      <c r="L63" s="371"/>
      <c r="M63" s="371"/>
      <c r="N63" s="371"/>
      <c r="O63" s="371"/>
      <c r="P63" s="371"/>
      <c r="Q63" s="371"/>
      <c r="R63" s="371"/>
      <c r="S63" s="371"/>
      <c r="T63" s="371"/>
      <c r="U63" s="371"/>
      <c r="V63" s="371"/>
      <c r="W63" s="371"/>
      <c r="X63" s="371"/>
      <c r="Y63" s="371"/>
      <c r="Z63" s="371"/>
      <c r="AA63" s="371"/>
      <c r="AB63" s="371"/>
      <c r="AC63" s="371"/>
      <c r="AD63" s="371"/>
      <c r="AE63" s="371"/>
    </row>
    <row r="64" ht="14.25" customHeight="1">
      <c r="A64" s="397"/>
      <c r="B64" s="397"/>
      <c r="C64" s="397"/>
      <c r="D64" s="398"/>
      <c r="E64" s="4"/>
      <c r="F64" s="371"/>
      <c r="G64" s="371"/>
      <c r="H64" s="371"/>
      <c r="I64" s="371"/>
      <c r="J64" s="371"/>
      <c r="K64" s="371"/>
      <c r="L64" s="371"/>
      <c r="M64" s="371"/>
      <c r="N64" s="371"/>
      <c r="O64" s="371"/>
      <c r="P64" s="371"/>
      <c r="Q64" s="371"/>
      <c r="R64" s="371"/>
      <c r="S64" s="371"/>
      <c r="T64" s="371"/>
      <c r="U64" s="371"/>
      <c r="V64" s="371"/>
      <c r="W64" s="371"/>
      <c r="X64" s="371"/>
      <c r="Y64" s="371"/>
      <c r="Z64" s="371"/>
      <c r="AA64" s="371"/>
      <c r="AB64" s="371"/>
      <c r="AC64" s="371"/>
      <c r="AD64" s="371"/>
      <c r="AE64" s="371"/>
    </row>
    <row r="65" ht="14.25" customHeight="1">
      <c r="A65" s="397"/>
      <c r="B65" s="397"/>
      <c r="C65" s="397"/>
      <c r="D65" s="398"/>
      <c r="E65" s="4"/>
      <c r="F65" s="371"/>
      <c r="G65" s="371"/>
      <c r="H65" s="371"/>
      <c r="I65" s="371"/>
      <c r="J65" s="371"/>
      <c r="K65" s="371"/>
      <c r="L65" s="371"/>
      <c r="M65" s="371"/>
      <c r="N65" s="371"/>
      <c r="O65" s="371"/>
      <c r="P65" s="371"/>
      <c r="Q65" s="371"/>
      <c r="R65" s="371"/>
      <c r="S65" s="371"/>
      <c r="T65" s="371"/>
      <c r="U65" s="371"/>
      <c r="V65" s="371"/>
      <c r="W65" s="371"/>
      <c r="X65" s="371"/>
      <c r="Y65" s="371"/>
      <c r="Z65" s="371"/>
      <c r="AA65" s="371"/>
      <c r="AB65" s="371"/>
      <c r="AC65" s="371"/>
      <c r="AD65" s="371"/>
      <c r="AE65" s="371"/>
    </row>
    <row r="66" ht="14.25" customHeight="1">
      <c r="A66" s="397"/>
      <c r="B66" s="397"/>
      <c r="C66" s="397"/>
      <c r="D66" s="398"/>
      <c r="E66" s="4"/>
      <c r="F66" s="371"/>
      <c r="G66" s="371"/>
      <c r="H66" s="371"/>
      <c r="I66" s="371"/>
      <c r="J66" s="371"/>
      <c r="K66" s="371"/>
      <c r="L66" s="371"/>
      <c r="M66" s="371"/>
      <c r="N66" s="371"/>
      <c r="O66" s="371"/>
      <c r="P66" s="371"/>
      <c r="Q66" s="371"/>
      <c r="R66" s="371"/>
      <c r="S66" s="371"/>
      <c r="T66" s="371"/>
      <c r="U66" s="371"/>
      <c r="V66" s="371"/>
      <c r="W66" s="371"/>
      <c r="X66" s="371"/>
      <c r="Y66" s="371"/>
      <c r="Z66" s="371"/>
      <c r="AA66" s="371"/>
      <c r="AB66" s="371"/>
      <c r="AC66" s="371"/>
      <c r="AD66" s="371"/>
      <c r="AE66" s="371"/>
    </row>
    <row r="67" ht="14.25" customHeight="1">
      <c r="A67" s="397"/>
      <c r="B67" s="397"/>
      <c r="C67" s="397"/>
      <c r="D67" s="398"/>
      <c r="E67" s="4"/>
      <c r="F67" s="371"/>
      <c r="G67" s="371"/>
      <c r="H67" s="371"/>
      <c r="I67" s="371"/>
      <c r="J67" s="371"/>
      <c r="K67" s="371"/>
      <c r="L67" s="371"/>
      <c r="M67" s="371"/>
      <c r="N67" s="371"/>
      <c r="O67" s="371"/>
      <c r="P67" s="371"/>
      <c r="Q67" s="371"/>
      <c r="R67" s="371"/>
      <c r="S67" s="371"/>
      <c r="T67" s="371"/>
      <c r="U67" s="371"/>
      <c r="V67" s="371"/>
      <c r="W67" s="371"/>
      <c r="X67" s="371"/>
      <c r="Y67" s="371"/>
      <c r="Z67" s="371"/>
      <c r="AA67" s="371"/>
      <c r="AB67" s="371"/>
      <c r="AC67" s="371"/>
      <c r="AD67" s="371"/>
      <c r="AE67" s="371"/>
    </row>
    <row r="68" ht="14.25" customHeight="1">
      <c r="A68" s="397"/>
      <c r="B68" s="397"/>
      <c r="C68" s="397"/>
      <c r="D68" s="398"/>
      <c r="E68" s="4"/>
      <c r="F68" s="371"/>
      <c r="G68" s="371"/>
      <c r="H68" s="371"/>
      <c r="I68" s="371"/>
      <c r="J68" s="371"/>
      <c r="K68" s="371"/>
      <c r="L68" s="371"/>
      <c r="M68" s="371"/>
      <c r="N68" s="371"/>
      <c r="O68" s="371"/>
      <c r="P68" s="371"/>
      <c r="Q68" s="371"/>
      <c r="R68" s="371"/>
      <c r="S68" s="371"/>
      <c r="T68" s="371"/>
      <c r="U68" s="371"/>
      <c r="V68" s="371"/>
      <c r="W68" s="371"/>
      <c r="X68" s="371"/>
      <c r="Y68" s="371"/>
      <c r="Z68" s="371"/>
      <c r="AA68" s="371"/>
      <c r="AB68" s="371"/>
      <c r="AC68" s="371"/>
      <c r="AD68" s="371"/>
      <c r="AE68" s="371"/>
    </row>
    <row r="69" ht="14.25" customHeight="1">
      <c r="A69" s="397"/>
      <c r="B69" s="397"/>
      <c r="C69" s="397"/>
      <c r="D69" s="398"/>
      <c r="E69" s="4"/>
      <c r="F69" s="371"/>
      <c r="G69" s="371"/>
      <c r="H69" s="371"/>
      <c r="I69" s="371"/>
      <c r="J69" s="371"/>
      <c r="K69" s="371"/>
      <c r="L69" s="371"/>
      <c r="M69" s="371"/>
      <c r="N69" s="371"/>
      <c r="O69" s="371"/>
      <c r="P69" s="371"/>
      <c r="Q69" s="371"/>
      <c r="R69" s="371"/>
      <c r="S69" s="371"/>
      <c r="T69" s="371"/>
      <c r="U69" s="371"/>
      <c r="V69" s="371"/>
      <c r="W69" s="371"/>
      <c r="X69" s="371"/>
      <c r="Y69" s="371"/>
      <c r="Z69" s="371"/>
      <c r="AA69" s="371"/>
      <c r="AB69" s="371"/>
      <c r="AC69" s="371"/>
      <c r="AD69" s="371"/>
      <c r="AE69" s="371"/>
    </row>
    <row r="70" ht="14.25" customHeight="1">
      <c r="A70" s="397"/>
      <c r="B70" s="397"/>
      <c r="C70" s="397"/>
      <c r="D70" s="398"/>
      <c r="E70" s="4"/>
      <c r="F70" s="4"/>
      <c r="G70" s="4"/>
      <c r="H70" s="4"/>
      <c r="I70" s="4"/>
      <c r="J70" s="4"/>
      <c r="K70" s="4"/>
      <c r="L70" s="4"/>
      <c r="M70" s="4"/>
    </row>
    <row r="71" ht="14.25" customHeight="1">
      <c r="A71" s="397"/>
      <c r="B71" s="397"/>
      <c r="C71" s="397"/>
      <c r="D71" s="398"/>
      <c r="E71" s="4"/>
      <c r="F71" s="4"/>
      <c r="G71" s="4"/>
      <c r="H71" s="4"/>
      <c r="I71" s="4"/>
      <c r="J71" s="4"/>
      <c r="K71" s="4"/>
      <c r="L71" s="4"/>
      <c r="M71" s="4"/>
    </row>
    <row r="72" ht="14.25" customHeight="1">
      <c r="A72" s="397"/>
      <c r="B72" s="397"/>
      <c r="C72" s="397"/>
      <c r="D72" s="398"/>
      <c r="E72" s="4"/>
      <c r="F72" s="4"/>
      <c r="G72" s="4"/>
      <c r="H72" s="4"/>
      <c r="I72" s="4"/>
      <c r="J72" s="4"/>
      <c r="K72" s="4"/>
      <c r="L72" s="4"/>
      <c r="M72" s="4"/>
    </row>
    <row r="73" ht="14.25" customHeight="1">
      <c r="A73" s="397"/>
      <c r="B73" s="397"/>
      <c r="C73" s="397"/>
      <c r="D73" s="398"/>
      <c r="E73" s="4"/>
      <c r="F73" s="4"/>
      <c r="G73" s="4"/>
      <c r="H73" s="4"/>
      <c r="I73" s="4"/>
      <c r="J73" s="4"/>
      <c r="K73" s="4"/>
      <c r="L73" s="4"/>
      <c r="M73" s="4"/>
    </row>
    <row r="74" ht="14.25" customHeight="1">
      <c r="A74" s="397"/>
      <c r="B74" s="397"/>
      <c r="C74" s="397"/>
      <c r="D74" s="398"/>
      <c r="E74" s="4"/>
      <c r="F74" s="4"/>
      <c r="G74" s="4"/>
      <c r="H74" s="4"/>
      <c r="I74" s="4"/>
      <c r="J74" s="4"/>
      <c r="K74" s="4"/>
      <c r="L74" s="4"/>
      <c r="M74" s="4"/>
    </row>
    <row r="75" ht="14.25" customHeight="1">
      <c r="A75" s="397"/>
      <c r="B75" s="397"/>
      <c r="C75" s="397"/>
      <c r="D75" s="398"/>
      <c r="E75" s="4"/>
      <c r="F75" s="4"/>
      <c r="G75" s="4"/>
      <c r="H75" s="4"/>
      <c r="I75" s="4"/>
      <c r="J75" s="4"/>
      <c r="K75" s="4"/>
      <c r="L75" s="4"/>
      <c r="M75" s="4"/>
    </row>
    <row r="76" ht="14.25" customHeight="1">
      <c r="A76" s="397"/>
      <c r="B76" s="397"/>
      <c r="C76" s="397"/>
      <c r="D76" s="398"/>
      <c r="E76" s="4"/>
      <c r="F76" s="4"/>
      <c r="G76" s="4"/>
      <c r="H76" s="4"/>
      <c r="I76" s="4"/>
      <c r="J76" s="4"/>
      <c r="K76" s="4"/>
      <c r="L76" s="4"/>
      <c r="M76" s="4"/>
    </row>
    <row r="77" ht="14.25" customHeight="1">
      <c r="A77" s="397"/>
      <c r="B77" s="397"/>
      <c r="C77" s="397"/>
      <c r="D77" s="398"/>
      <c r="E77" s="4"/>
      <c r="F77" s="4"/>
      <c r="G77" s="4"/>
      <c r="H77" s="4"/>
      <c r="I77" s="4"/>
      <c r="J77" s="4"/>
      <c r="K77" s="4"/>
      <c r="L77" s="4"/>
      <c r="M77" s="4"/>
    </row>
    <row r="78" ht="14.25" customHeight="1">
      <c r="A78" s="397"/>
      <c r="B78" s="397"/>
      <c r="C78" s="397"/>
      <c r="D78" s="398"/>
      <c r="E78" s="4"/>
      <c r="F78" s="4"/>
      <c r="G78" s="4"/>
      <c r="H78" s="4"/>
      <c r="I78" s="4"/>
      <c r="J78" s="4"/>
      <c r="K78" s="4"/>
      <c r="L78" s="4"/>
      <c r="M78" s="4"/>
    </row>
    <row r="79" ht="14.25" customHeight="1">
      <c r="A79" s="397"/>
      <c r="B79" s="397"/>
      <c r="C79" s="397"/>
      <c r="D79" s="398"/>
      <c r="E79" s="4"/>
      <c r="F79" s="4"/>
      <c r="G79" s="4"/>
      <c r="H79" s="4"/>
      <c r="I79" s="4"/>
      <c r="J79" s="4"/>
      <c r="K79" s="4"/>
      <c r="L79" s="4"/>
      <c r="M79" s="4"/>
    </row>
    <row r="80" ht="14.25" customHeight="1">
      <c r="A80" s="397"/>
      <c r="B80" s="397"/>
      <c r="C80" s="397"/>
      <c r="D80" s="398"/>
      <c r="E80" s="4"/>
      <c r="F80" s="4"/>
      <c r="G80" s="4"/>
      <c r="H80" s="4"/>
      <c r="I80" s="4"/>
      <c r="J80" s="4"/>
      <c r="K80" s="4"/>
      <c r="L80" s="4"/>
      <c r="M80" s="4"/>
    </row>
    <row r="81" ht="14.25" customHeight="1">
      <c r="A81" s="397"/>
      <c r="B81" s="397"/>
      <c r="C81" s="397"/>
      <c r="D81" s="398"/>
      <c r="E81" s="4"/>
      <c r="F81" s="4"/>
      <c r="G81" s="4"/>
      <c r="H81" s="4"/>
      <c r="I81" s="4"/>
      <c r="J81" s="4"/>
      <c r="K81" s="4"/>
      <c r="L81" s="4"/>
      <c r="M81" s="4"/>
    </row>
    <row r="82" ht="14.25" customHeight="1">
      <c r="A82" s="397"/>
      <c r="B82" s="397"/>
      <c r="C82" s="397"/>
      <c r="D82" s="398"/>
      <c r="E82" s="4"/>
      <c r="F82" s="4"/>
      <c r="G82" s="4"/>
      <c r="H82" s="4"/>
      <c r="I82" s="4"/>
      <c r="J82" s="4"/>
      <c r="K82" s="4"/>
      <c r="L82" s="4"/>
      <c r="M82" s="4"/>
    </row>
    <row r="83" ht="14.25" customHeight="1">
      <c r="A83" s="397"/>
      <c r="B83" s="397"/>
      <c r="C83" s="397"/>
      <c r="D83" s="398"/>
      <c r="E83" s="4"/>
      <c r="F83" s="4"/>
      <c r="G83" s="4"/>
      <c r="H83" s="4"/>
      <c r="I83" s="4"/>
      <c r="J83" s="4"/>
      <c r="K83" s="4"/>
      <c r="L83" s="4"/>
      <c r="M83" s="4"/>
    </row>
    <row r="84" ht="14.25" customHeight="1">
      <c r="A84" s="397"/>
      <c r="B84" s="397"/>
      <c r="C84" s="397"/>
      <c r="D84" s="398"/>
      <c r="E84" s="4"/>
      <c r="F84" s="4"/>
      <c r="G84" s="4"/>
      <c r="H84" s="4"/>
      <c r="I84" s="4"/>
      <c r="J84" s="4"/>
      <c r="K84" s="4"/>
      <c r="L84" s="4"/>
      <c r="M84" s="4"/>
    </row>
    <row r="85" ht="14.25" customHeight="1">
      <c r="A85" s="397"/>
      <c r="B85" s="397"/>
      <c r="C85" s="397"/>
      <c r="D85" s="398"/>
      <c r="E85" s="4"/>
      <c r="F85" s="4"/>
      <c r="G85" s="4"/>
      <c r="H85" s="4"/>
      <c r="I85" s="4"/>
      <c r="J85" s="4"/>
      <c r="K85" s="4"/>
      <c r="L85" s="4"/>
      <c r="M85" s="4"/>
    </row>
    <row r="86" ht="14.25" customHeight="1">
      <c r="A86" s="397"/>
      <c r="B86" s="397"/>
      <c r="C86" s="397"/>
      <c r="D86" s="398"/>
      <c r="E86" s="4"/>
      <c r="F86" s="4"/>
      <c r="G86" s="4"/>
      <c r="H86" s="4"/>
      <c r="I86" s="4"/>
      <c r="J86" s="4"/>
      <c r="K86" s="4"/>
      <c r="L86" s="4"/>
      <c r="M86" s="4"/>
    </row>
    <row r="87" ht="14.25" customHeight="1">
      <c r="A87" s="397"/>
      <c r="B87" s="397"/>
      <c r="C87" s="397"/>
      <c r="D87" s="398"/>
      <c r="E87" s="4"/>
      <c r="F87" s="4"/>
      <c r="G87" s="4"/>
      <c r="H87" s="4"/>
      <c r="I87" s="4"/>
      <c r="J87" s="4"/>
      <c r="K87" s="4"/>
      <c r="L87" s="4"/>
      <c r="M87" s="4"/>
    </row>
    <row r="88" ht="14.25" customHeight="1">
      <c r="A88" s="397"/>
      <c r="B88" s="397"/>
      <c r="C88" s="397"/>
      <c r="D88" s="398"/>
      <c r="E88" s="4"/>
      <c r="F88" s="4"/>
      <c r="G88" s="4"/>
      <c r="H88" s="4"/>
      <c r="I88" s="4"/>
      <c r="J88" s="4"/>
      <c r="K88" s="4"/>
      <c r="L88" s="4"/>
      <c r="M88" s="4"/>
    </row>
    <row r="89" ht="14.25" customHeight="1">
      <c r="A89" s="397"/>
      <c r="B89" s="397"/>
      <c r="C89" s="397"/>
      <c r="D89" s="398"/>
      <c r="E89" s="4"/>
      <c r="F89" s="4"/>
      <c r="G89" s="4"/>
      <c r="H89" s="4"/>
      <c r="I89" s="4"/>
      <c r="J89" s="4"/>
      <c r="K89" s="4"/>
      <c r="L89" s="4"/>
      <c r="M89" s="4"/>
    </row>
    <row r="90" ht="14.25" customHeight="1">
      <c r="A90" s="397"/>
      <c r="B90" s="397"/>
      <c r="C90" s="397"/>
      <c r="D90" s="398"/>
      <c r="E90" s="4"/>
      <c r="F90" s="4"/>
      <c r="G90" s="4"/>
      <c r="H90" s="4"/>
      <c r="I90" s="4"/>
      <c r="J90" s="4"/>
      <c r="K90" s="4"/>
      <c r="L90" s="4"/>
      <c r="M90" s="4"/>
    </row>
    <row r="91" ht="14.25" customHeight="1">
      <c r="A91" s="397"/>
      <c r="B91" s="397"/>
      <c r="C91" s="397"/>
      <c r="D91" s="398"/>
      <c r="E91" s="4"/>
      <c r="F91" s="4"/>
      <c r="G91" s="4"/>
      <c r="H91" s="4"/>
      <c r="I91" s="4"/>
      <c r="J91" s="4"/>
      <c r="K91" s="4"/>
      <c r="L91" s="4"/>
      <c r="M91" s="4"/>
    </row>
    <row r="92" ht="14.25" customHeight="1">
      <c r="A92" s="397"/>
      <c r="B92" s="397"/>
      <c r="C92" s="397"/>
      <c r="D92" s="398"/>
      <c r="E92" s="4"/>
      <c r="F92" s="4"/>
      <c r="G92" s="4"/>
      <c r="H92" s="4"/>
      <c r="I92" s="4"/>
      <c r="J92" s="4"/>
      <c r="K92" s="4"/>
      <c r="L92" s="4"/>
      <c r="M92" s="4"/>
    </row>
    <row r="93" ht="14.25" customHeight="1">
      <c r="A93" s="397"/>
      <c r="B93" s="397"/>
      <c r="C93" s="397"/>
      <c r="D93" s="398"/>
      <c r="E93" s="4"/>
      <c r="F93" s="4"/>
      <c r="G93" s="4"/>
      <c r="H93" s="4"/>
      <c r="I93" s="4"/>
      <c r="J93" s="4"/>
      <c r="K93" s="4"/>
      <c r="L93" s="4"/>
      <c r="M93" s="4"/>
    </row>
    <row r="94" ht="14.25" customHeight="1">
      <c r="A94" s="397"/>
      <c r="B94" s="397"/>
      <c r="C94" s="397"/>
      <c r="D94" s="398"/>
      <c r="E94" s="4"/>
      <c r="F94" s="4"/>
      <c r="G94" s="4"/>
      <c r="H94" s="4"/>
      <c r="I94" s="4"/>
      <c r="J94" s="4"/>
      <c r="K94" s="4"/>
      <c r="L94" s="4"/>
      <c r="M94" s="4"/>
    </row>
    <row r="95" ht="14.25" customHeight="1">
      <c r="A95" s="397"/>
      <c r="B95" s="397"/>
      <c r="C95" s="397"/>
      <c r="D95" s="398"/>
      <c r="E95" s="4"/>
      <c r="F95" s="4"/>
      <c r="G95" s="4"/>
      <c r="H95" s="4"/>
      <c r="I95" s="4"/>
      <c r="J95" s="4"/>
      <c r="K95" s="4"/>
      <c r="L95" s="4"/>
      <c r="M95" s="4"/>
    </row>
    <row r="96" ht="14.25" customHeight="1">
      <c r="A96" s="397"/>
      <c r="B96" s="397"/>
      <c r="C96" s="397"/>
      <c r="D96" s="398"/>
      <c r="E96" s="4"/>
      <c r="F96" s="4"/>
      <c r="G96" s="4"/>
      <c r="H96" s="4"/>
      <c r="I96" s="4"/>
      <c r="J96" s="4"/>
      <c r="K96" s="4"/>
      <c r="L96" s="4"/>
      <c r="M96" s="4"/>
    </row>
    <row r="97" ht="14.25" customHeight="1">
      <c r="A97" s="397"/>
      <c r="B97" s="397"/>
      <c r="C97" s="397"/>
      <c r="D97" s="398"/>
      <c r="E97" s="4"/>
      <c r="F97" s="4"/>
      <c r="G97" s="4"/>
      <c r="H97" s="4"/>
      <c r="I97" s="4"/>
      <c r="J97" s="4"/>
      <c r="K97" s="4"/>
      <c r="L97" s="4"/>
      <c r="M97" s="4"/>
    </row>
    <row r="98" ht="14.25" customHeight="1">
      <c r="A98" s="397"/>
      <c r="B98" s="397"/>
      <c r="C98" s="397"/>
      <c r="D98" s="398"/>
      <c r="E98" s="4"/>
      <c r="F98" s="4"/>
      <c r="G98" s="4"/>
      <c r="H98" s="4"/>
      <c r="I98" s="4"/>
      <c r="J98" s="4"/>
      <c r="K98" s="4"/>
      <c r="L98" s="4"/>
      <c r="M98" s="4"/>
    </row>
    <row r="99" ht="14.25" customHeight="1">
      <c r="A99" s="397"/>
      <c r="B99" s="397"/>
      <c r="C99" s="397"/>
      <c r="D99" s="398"/>
      <c r="E99" s="4"/>
      <c r="F99" s="4"/>
      <c r="G99" s="4"/>
      <c r="H99" s="4"/>
      <c r="I99" s="4"/>
      <c r="J99" s="4"/>
      <c r="K99" s="4"/>
      <c r="L99" s="4"/>
      <c r="M99" s="4"/>
    </row>
    <row r="100" ht="14.25" customHeight="1">
      <c r="A100" s="397"/>
      <c r="B100" s="397"/>
      <c r="C100" s="397"/>
      <c r="D100" s="398"/>
      <c r="E100" s="4"/>
      <c r="F100" s="4"/>
      <c r="G100" s="4"/>
      <c r="H100" s="4"/>
      <c r="I100" s="4"/>
      <c r="J100" s="4"/>
      <c r="K100" s="4"/>
      <c r="L100" s="4"/>
      <c r="M100" s="4"/>
    </row>
    <row r="101" ht="14.25" customHeight="1">
      <c r="A101" s="397"/>
      <c r="B101" s="397"/>
      <c r="C101" s="397"/>
      <c r="D101" s="398"/>
      <c r="E101" s="4"/>
      <c r="F101" s="4"/>
      <c r="G101" s="4"/>
      <c r="H101" s="4"/>
      <c r="I101" s="4"/>
      <c r="J101" s="4"/>
      <c r="K101" s="4"/>
      <c r="L101" s="4"/>
      <c r="M101" s="4"/>
    </row>
    <row r="102" ht="14.25" customHeight="1">
      <c r="A102" s="397"/>
      <c r="B102" s="397"/>
      <c r="C102" s="397"/>
      <c r="D102" s="398"/>
      <c r="E102" s="4"/>
      <c r="F102" s="4"/>
      <c r="G102" s="4"/>
      <c r="H102" s="4"/>
      <c r="I102" s="4"/>
      <c r="J102" s="4"/>
      <c r="K102" s="4"/>
      <c r="L102" s="4"/>
      <c r="M102" s="4"/>
    </row>
    <row r="103" ht="14.25" customHeight="1">
      <c r="A103" s="397"/>
      <c r="B103" s="397"/>
      <c r="C103" s="397"/>
      <c r="D103" s="398"/>
      <c r="E103" s="4"/>
      <c r="F103" s="4"/>
      <c r="G103" s="4"/>
      <c r="H103" s="4"/>
      <c r="I103" s="4"/>
      <c r="J103" s="4"/>
      <c r="K103" s="4"/>
      <c r="L103" s="4"/>
      <c r="M103" s="4"/>
    </row>
    <row r="104" ht="14.25" customHeight="1">
      <c r="A104" s="397"/>
      <c r="B104" s="397"/>
      <c r="C104" s="397"/>
      <c r="D104" s="398"/>
      <c r="E104" s="4"/>
      <c r="F104" s="4"/>
      <c r="G104" s="4"/>
      <c r="H104" s="4"/>
      <c r="I104" s="4"/>
      <c r="J104" s="4"/>
      <c r="K104" s="4"/>
      <c r="L104" s="4"/>
      <c r="M104" s="4"/>
    </row>
    <row r="105" ht="14.25" customHeight="1">
      <c r="A105" s="397"/>
      <c r="B105" s="397"/>
      <c r="C105" s="397"/>
      <c r="D105" s="398"/>
      <c r="E105" s="4"/>
      <c r="F105" s="4"/>
      <c r="G105" s="4"/>
      <c r="H105" s="4"/>
      <c r="I105" s="4"/>
      <c r="J105" s="4"/>
      <c r="K105" s="4"/>
      <c r="L105" s="4"/>
      <c r="M105" s="4"/>
    </row>
    <row r="106" ht="14.25" customHeight="1">
      <c r="A106" s="397"/>
      <c r="B106" s="397"/>
      <c r="C106" s="397"/>
      <c r="D106" s="398"/>
      <c r="E106" s="4"/>
      <c r="F106" s="4"/>
      <c r="G106" s="4"/>
      <c r="H106" s="4"/>
      <c r="I106" s="4"/>
      <c r="J106" s="4"/>
      <c r="K106" s="4"/>
      <c r="L106" s="4"/>
      <c r="M106" s="4"/>
    </row>
    <row r="107" ht="14.25" customHeight="1">
      <c r="A107" s="397"/>
      <c r="B107" s="397"/>
      <c r="C107" s="397"/>
      <c r="D107" s="398"/>
      <c r="E107" s="4"/>
      <c r="F107" s="4"/>
      <c r="G107" s="4"/>
      <c r="H107" s="4"/>
      <c r="I107" s="4"/>
      <c r="J107" s="4"/>
      <c r="K107" s="4"/>
      <c r="L107" s="4"/>
      <c r="M107" s="4"/>
    </row>
    <row r="108" ht="14.25" customHeight="1">
      <c r="A108" s="397"/>
      <c r="B108" s="397"/>
      <c r="C108" s="397"/>
      <c r="D108" s="398"/>
      <c r="E108" s="4"/>
      <c r="F108" s="4"/>
      <c r="G108" s="4"/>
      <c r="H108" s="4"/>
      <c r="I108" s="4"/>
      <c r="J108" s="4"/>
      <c r="K108" s="4"/>
      <c r="L108" s="4"/>
      <c r="M108" s="4"/>
    </row>
    <row r="109" ht="14.25" customHeight="1">
      <c r="A109" s="397"/>
      <c r="B109" s="397"/>
      <c r="C109" s="397"/>
      <c r="D109" s="398"/>
      <c r="E109" s="4"/>
      <c r="F109" s="4"/>
      <c r="G109" s="4"/>
      <c r="H109" s="4"/>
      <c r="I109" s="4"/>
      <c r="J109" s="4"/>
      <c r="K109" s="4"/>
      <c r="L109" s="4"/>
      <c r="M109" s="4"/>
    </row>
    <row r="110" ht="14.25" customHeight="1">
      <c r="A110" s="397"/>
      <c r="B110" s="397"/>
      <c r="C110" s="397"/>
      <c r="D110" s="398"/>
      <c r="E110" s="4"/>
      <c r="F110" s="4"/>
      <c r="G110" s="4"/>
      <c r="H110" s="4"/>
      <c r="I110" s="4"/>
      <c r="J110" s="4"/>
      <c r="K110" s="4"/>
      <c r="L110" s="4"/>
      <c r="M110" s="4"/>
    </row>
    <row r="111" ht="14.25" customHeight="1">
      <c r="A111" s="397"/>
      <c r="B111" s="397"/>
      <c r="C111" s="397"/>
      <c r="D111" s="398"/>
      <c r="E111" s="4"/>
      <c r="F111" s="4"/>
      <c r="G111" s="4"/>
      <c r="H111" s="4"/>
      <c r="I111" s="4"/>
      <c r="J111" s="4"/>
      <c r="K111" s="4"/>
      <c r="L111" s="4"/>
      <c r="M111" s="4"/>
    </row>
    <row r="112" ht="14.25" customHeight="1">
      <c r="A112" s="397"/>
      <c r="B112" s="397"/>
      <c r="C112" s="397"/>
      <c r="D112" s="398"/>
      <c r="E112" s="4"/>
      <c r="F112" s="4"/>
      <c r="G112" s="4"/>
      <c r="H112" s="4"/>
      <c r="I112" s="4"/>
      <c r="J112" s="4"/>
      <c r="K112" s="4"/>
      <c r="L112" s="4"/>
      <c r="M112" s="4"/>
    </row>
    <row r="113" ht="14.25" customHeight="1">
      <c r="A113" s="397"/>
      <c r="B113" s="397"/>
      <c r="C113" s="397"/>
      <c r="D113" s="398"/>
      <c r="E113" s="4"/>
      <c r="F113" s="4"/>
      <c r="G113" s="4"/>
      <c r="H113" s="4"/>
      <c r="I113" s="4"/>
      <c r="J113" s="4"/>
      <c r="K113" s="4"/>
      <c r="L113" s="4"/>
      <c r="M113" s="4"/>
    </row>
    <row r="114" ht="14.25" customHeight="1">
      <c r="A114" s="397"/>
      <c r="B114" s="397"/>
      <c r="C114" s="397"/>
      <c r="D114" s="398"/>
      <c r="E114" s="4"/>
      <c r="F114" s="4"/>
      <c r="G114" s="4"/>
      <c r="H114" s="4"/>
      <c r="I114" s="4"/>
      <c r="J114" s="4"/>
      <c r="K114" s="4"/>
      <c r="L114" s="4"/>
      <c r="M114" s="4"/>
    </row>
    <row r="115" ht="14.25" customHeight="1">
      <c r="A115" s="397"/>
      <c r="B115" s="397"/>
      <c r="C115" s="397"/>
      <c r="D115" s="398"/>
      <c r="E115" s="4"/>
      <c r="F115" s="4"/>
      <c r="G115" s="4"/>
      <c r="H115" s="4"/>
      <c r="I115" s="4"/>
      <c r="J115" s="4"/>
      <c r="K115" s="4"/>
      <c r="L115" s="4"/>
      <c r="M115" s="4"/>
    </row>
    <row r="116" ht="14.25" customHeight="1">
      <c r="A116" s="397"/>
      <c r="B116" s="397"/>
      <c r="C116" s="397"/>
      <c r="D116" s="398"/>
      <c r="E116" s="4"/>
      <c r="F116" s="4"/>
      <c r="G116" s="4"/>
      <c r="H116" s="4"/>
      <c r="I116" s="4"/>
      <c r="J116" s="4"/>
      <c r="K116" s="4"/>
      <c r="L116" s="4"/>
      <c r="M116" s="4"/>
    </row>
    <row r="117" ht="14.25" customHeight="1">
      <c r="A117" s="397"/>
      <c r="B117" s="397"/>
      <c r="C117" s="397"/>
      <c r="D117" s="398"/>
      <c r="E117" s="4"/>
      <c r="F117" s="4"/>
      <c r="G117" s="4"/>
      <c r="H117" s="4"/>
      <c r="I117" s="4"/>
      <c r="J117" s="4"/>
      <c r="K117" s="4"/>
      <c r="L117" s="4"/>
      <c r="M117" s="4"/>
    </row>
    <row r="118" ht="14.25" customHeight="1">
      <c r="A118" s="397"/>
      <c r="B118" s="397"/>
      <c r="C118" s="397"/>
      <c r="D118" s="398"/>
      <c r="E118" s="4"/>
      <c r="F118" s="4"/>
      <c r="G118" s="4"/>
      <c r="H118" s="4"/>
      <c r="I118" s="4"/>
      <c r="J118" s="4"/>
      <c r="K118" s="4"/>
      <c r="L118" s="4"/>
      <c r="M118" s="4"/>
    </row>
    <row r="119" ht="14.25" customHeight="1">
      <c r="A119" s="397"/>
      <c r="B119" s="397"/>
      <c r="C119" s="397"/>
      <c r="D119" s="398"/>
      <c r="E119" s="4"/>
      <c r="F119" s="4"/>
      <c r="G119" s="4"/>
      <c r="H119" s="4"/>
      <c r="I119" s="4"/>
      <c r="J119" s="4"/>
      <c r="K119" s="4"/>
      <c r="L119" s="4"/>
      <c r="M119" s="4"/>
    </row>
    <row r="120" ht="14.25" customHeight="1">
      <c r="A120" s="397"/>
      <c r="B120" s="397"/>
      <c r="C120" s="397"/>
      <c r="D120" s="398"/>
      <c r="E120" s="4"/>
      <c r="F120" s="4"/>
      <c r="G120" s="4"/>
      <c r="H120" s="4"/>
      <c r="I120" s="4"/>
      <c r="J120" s="4"/>
      <c r="K120" s="4"/>
      <c r="L120" s="4"/>
      <c r="M120" s="4"/>
    </row>
    <row r="121" ht="14.25" customHeight="1">
      <c r="A121" s="397"/>
      <c r="B121" s="397"/>
      <c r="C121" s="397"/>
      <c r="D121" s="398"/>
      <c r="E121" s="4"/>
      <c r="F121" s="4"/>
      <c r="G121" s="4"/>
      <c r="H121" s="4"/>
      <c r="I121" s="4"/>
      <c r="J121" s="4"/>
      <c r="K121" s="4"/>
      <c r="L121" s="4"/>
      <c r="M121" s="4"/>
    </row>
    <row r="122" ht="14.25" customHeight="1">
      <c r="A122" s="397"/>
      <c r="B122" s="397"/>
      <c r="C122" s="397"/>
      <c r="D122" s="398"/>
      <c r="E122" s="4"/>
      <c r="F122" s="4"/>
      <c r="G122" s="4"/>
      <c r="H122" s="4"/>
      <c r="I122" s="4"/>
      <c r="J122" s="4"/>
      <c r="K122" s="4"/>
      <c r="L122" s="4"/>
      <c r="M122" s="4"/>
    </row>
    <row r="123" ht="14.25" customHeight="1">
      <c r="A123" s="397"/>
      <c r="B123" s="397"/>
      <c r="C123" s="397"/>
      <c r="D123" s="398"/>
      <c r="E123" s="4"/>
      <c r="F123" s="4"/>
      <c r="G123" s="4"/>
      <c r="H123" s="4"/>
      <c r="I123" s="4"/>
      <c r="J123" s="4"/>
      <c r="K123" s="4"/>
      <c r="L123" s="4"/>
      <c r="M123" s="4"/>
    </row>
    <row r="124" ht="14.25" customHeight="1">
      <c r="A124" s="397"/>
      <c r="B124" s="397"/>
      <c r="C124" s="397"/>
      <c r="D124" s="398"/>
      <c r="E124" s="4"/>
      <c r="F124" s="4"/>
      <c r="G124" s="4"/>
      <c r="H124" s="4"/>
      <c r="I124" s="4"/>
      <c r="J124" s="4"/>
      <c r="K124" s="4"/>
      <c r="L124" s="4"/>
      <c r="M124" s="4"/>
    </row>
    <row r="125" ht="14.25" customHeight="1">
      <c r="A125" s="397"/>
      <c r="B125" s="397"/>
      <c r="C125" s="397"/>
      <c r="D125" s="398"/>
      <c r="E125" s="4"/>
      <c r="F125" s="4"/>
      <c r="G125" s="4"/>
      <c r="H125" s="4"/>
      <c r="I125" s="4"/>
      <c r="J125" s="4"/>
      <c r="K125" s="4"/>
      <c r="L125" s="4"/>
      <c r="M125" s="4"/>
    </row>
    <row r="126" ht="14.25" customHeight="1">
      <c r="A126" s="397"/>
      <c r="B126" s="397"/>
      <c r="C126" s="397"/>
      <c r="D126" s="398"/>
      <c r="E126" s="4"/>
      <c r="F126" s="4"/>
      <c r="G126" s="4"/>
      <c r="H126" s="4"/>
      <c r="I126" s="4"/>
      <c r="J126" s="4"/>
      <c r="K126" s="4"/>
      <c r="L126" s="4"/>
      <c r="M126" s="4"/>
    </row>
    <row r="127" ht="14.25" customHeight="1">
      <c r="A127" s="397"/>
      <c r="B127" s="397"/>
      <c r="C127" s="397"/>
      <c r="D127" s="398"/>
      <c r="E127" s="4"/>
      <c r="F127" s="4"/>
      <c r="G127" s="4"/>
      <c r="H127" s="4"/>
      <c r="I127" s="4"/>
      <c r="J127" s="4"/>
      <c r="K127" s="4"/>
      <c r="L127" s="4"/>
      <c r="M127" s="4"/>
    </row>
    <row r="128" ht="14.25" customHeight="1">
      <c r="A128" s="397"/>
      <c r="B128" s="397"/>
      <c r="C128" s="397"/>
      <c r="D128" s="398"/>
      <c r="E128" s="4"/>
      <c r="F128" s="4"/>
      <c r="G128" s="4"/>
      <c r="H128" s="4"/>
      <c r="I128" s="4"/>
      <c r="J128" s="4"/>
      <c r="K128" s="4"/>
      <c r="L128" s="4"/>
      <c r="M128" s="4"/>
    </row>
    <row r="129" ht="14.25" customHeight="1">
      <c r="A129" s="397"/>
      <c r="B129" s="397"/>
      <c r="C129" s="397"/>
      <c r="D129" s="398"/>
      <c r="E129" s="4"/>
      <c r="F129" s="4"/>
      <c r="G129" s="4"/>
      <c r="H129" s="4"/>
      <c r="I129" s="4"/>
      <c r="J129" s="4"/>
      <c r="K129" s="4"/>
      <c r="L129" s="4"/>
      <c r="M129" s="4"/>
    </row>
    <row r="130" ht="14.25" customHeight="1">
      <c r="A130" s="397"/>
      <c r="B130" s="397"/>
      <c r="C130" s="397"/>
      <c r="D130" s="398"/>
      <c r="E130" s="4"/>
      <c r="F130" s="4"/>
      <c r="G130" s="4"/>
      <c r="H130" s="4"/>
      <c r="I130" s="4"/>
      <c r="J130" s="4"/>
      <c r="K130" s="4"/>
      <c r="L130" s="4"/>
      <c r="M130" s="4"/>
    </row>
    <row r="131" ht="14.25" customHeight="1">
      <c r="A131" s="397"/>
      <c r="B131" s="397"/>
      <c r="C131" s="397"/>
      <c r="D131" s="398"/>
      <c r="E131" s="4"/>
      <c r="F131" s="4"/>
      <c r="G131" s="4"/>
      <c r="H131" s="4"/>
      <c r="I131" s="4"/>
      <c r="J131" s="4"/>
      <c r="K131" s="4"/>
      <c r="L131" s="4"/>
      <c r="M131" s="4"/>
    </row>
    <row r="132" ht="14.25" customHeight="1">
      <c r="A132" s="397"/>
      <c r="B132" s="397"/>
      <c r="C132" s="397"/>
      <c r="D132" s="398"/>
      <c r="E132" s="4"/>
      <c r="F132" s="4"/>
      <c r="G132" s="4"/>
      <c r="H132" s="4"/>
      <c r="I132" s="4"/>
      <c r="J132" s="4"/>
      <c r="K132" s="4"/>
      <c r="L132" s="4"/>
      <c r="M132" s="4"/>
    </row>
    <row r="133" ht="14.25" customHeight="1">
      <c r="A133" s="397"/>
      <c r="B133" s="397"/>
      <c r="C133" s="397"/>
      <c r="D133" s="398"/>
      <c r="E133" s="4"/>
      <c r="F133" s="4"/>
      <c r="G133" s="4"/>
      <c r="H133" s="4"/>
      <c r="I133" s="4"/>
      <c r="J133" s="4"/>
      <c r="K133" s="4"/>
      <c r="L133" s="4"/>
      <c r="M133" s="4"/>
    </row>
    <row r="134" ht="14.25" customHeight="1">
      <c r="A134" s="397"/>
      <c r="B134" s="397"/>
      <c r="C134" s="397"/>
      <c r="D134" s="398"/>
      <c r="E134" s="4"/>
      <c r="F134" s="4"/>
      <c r="G134" s="4"/>
      <c r="H134" s="4"/>
      <c r="I134" s="4"/>
      <c r="J134" s="4"/>
      <c r="K134" s="4"/>
      <c r="L134" s="4"/>
      <c r="M134" s="4"/>
    </row>
    <row r="135" ht="14.25" customHeight="1">
      <c r="A135" s="397"/>
      <c r="B135" s="397"/>
      <c r="C135" s="397"/>
      <c r="D135" s="398"/>
      <c r="E135" s="4"/>
      <c r="F135" s="4"/>
      <c r="G135" s="4"/>
      <c r="H135" s="4"/>
      <c r="I135" s="4"/>
      <c r="J135" s="4"/>
      <c r="K135" s="4"/>
      <c r="L135" s="4"/>
      <c r="M135" s="4"/>
    </row>
    <row r="136" ht="14.25" customHeight="1">
      <c r="A136" s="397"/>
      <c r="B136" s="397"/>
      <c r="C136" s="397"/>
      <c r="D136" s="398"/>
      <c r="E136" s="4"/>
      <c r="F136" s="4"/>
      <c r="G136" s="4"/>
      <c r="H136" s="4"/>
      <c r="I136" s="4"/>
      <c r="J136" s="4"/>
      <c r="K136" s="4"/>
      <c r="L136" s="4"/>
      <c r="M136" s="4"/>
    </row>
    <row r="137" ht="14.25" customHeight="1">
      <c r="A137" s="397"/>
      <c r="B137" s="397"/>
      <c r="C137" s="397"/>
      <c r="D137" s="398"/>
      <c r="E137" s="4"/>
      <c r="F137" s="4"/>
      <c r="G137" s="4"/>
      <c r="H137" s="4"/>
      <c r="I137" s="4"/>
      <c r="J137" s="4"/>
      <c r="K137" s="4"/>
      <c r="L137" s="4"/>
      <c r="M137" s="4"/>
    </row>
    <row r="138" ht="14.25" customHeight="1">
      <c r="A138" s="397"/>
      <c r="B138" s="397"/>
      <c r="C138" s="397"/>
      <c r="D138" s="398"/>
      <c r="E138" s="4"/>
      <c r="F138" s="4"/>
      <c r="G138" s="4"/>
      <c r="H138" s="4"/>
      <c r="I138" s="4"/>
      <c r="J138" s="4"/>
      <c r="K138" s="4"/>
      <c r="L138" s="4"/>
      <c r="M138" s="4"/>
    </row>
    <row r="139" ht="14.25" customHeight="1">
      <c r="A139" s="397"/>
      <c r="B139" s="397"/>
      <c r="C139" s="397"/>
      <c r="D139" s="398"/>
      <c r="E139" s="4"/>
      <c r="F139" s="4"/>
      <c r="G139" s="4"/>
      <c r="H139" s="4"/>
      <c r="I139" s="4"/>
      <c r="J139" s="4"/>
      <c r="K139" s="4"/>
      <c r="L139" s="4"/>
      <c r="M139" s="4"/>
    </row>
    <row r="140" ht="14.25" customHeight="1">
      <c r="A140" s="397"/>
      <c r="B140" s="397"/>
      <c r="C140" s="397"/>
      <c r="D140" s="398"/>
      <c r="E140" s="4"/>
      <c r="F140" s="4"/>
      <c r="G140" s="4"/>
      <c r="H140" s="4"/>
      <c r="I140" s="4"/>
      <c r="J140" s="4"/>
      <c r="K140" s="4"/>
      <c r="L140" s="4"/>
      <c r="M140" s="4"/>
    </row>
    <row r="141" ht="14.25" customHeight="1">
      <c r="A141" s="397"/>
      <c r="B141" s="397"/>
      <c r="C141" s="397"/>
      <c r="D141" s="398"/>
      <c r="E141" s="4"/>
      <c r="F141" s="4"/>
      <c r="G141" s="4"/>
      <c r="H141" s="4"/>
      <c r="I141" s="4"/>
      <c r="J141" s="4"/>
      <c r="K141" s="4"/>
      <c r="L141" s="4"/>
      <c r="M141" s="4"/>
    </row>
    <row r="142" ht="14.25" customHeight="1">
      <c r="A142" s="397"/>
      <c r="B142" s="397"/>
      <c r="C142" s="397"/>
      <c r="D142" s="398"/>
      <c r="E142" s="4"/>
      <c r="F142" s="4"/>
      <c r="G142" s="4"/>
      <c r="H142" s="4"/>
      <c r="I142" s="4"/>
      <c r="J142" s="4"/>
      <c r="K142" s="4"/>
      <c r="L142" s="4"/>
      <c r="M142" s="4"/>
    </row>
    <row r="143" ht="14.25" customHeight="1">
      <c r="A143" s="397"/>
      <c r="B143" s="397"/>
      <c r="C143" s="397"/>
      <c r="D143" s="398"/>
      <c r="E143" s="4"/>
      <c r="F143" s="4"/>
      <c r="G143" s="4"/>
      <c r="H143" s="4"/>
      <c r="I143" s="4"/>
      <c r="J143" s="4"/>
      <c r="K143" s="4"/>
      <c r="L143" s="4"/>
      <c r="M143" s="4"/>
    </row>
    <row r="144" ht="14.25" customHeight="1">
      <c r="A144" s="397"/>
      <c r="B144" s="397"/>
      <c r="C144" s="397"/>
      <c r="D144" s="398"/>
      <c r="E144" s="4"/>
      <c r="F144" s="4"/>
      <c r="G144" s="4"/>
      <c r="H144" s="4"/>
      <c r="I144" s="4"/>
      <c r="J144" s="4"/>
      <c r="K144" s="4"/>
      <c r="L144" s="4"/>
      <c r="M144" s="4"/>
    </row>
    <row r="145" ht="14.25" customHeight="1">
      <c r="A145" s="397"/>
      <c r="B145" s="397"/>
      <c r="C145" s="397"/>
      <c r="D145" s="398"/>
      <c r="E145" s="4"/>
      <c r="F145" s="4"/>
      <c r="G145" s="4"/>
      <c r="H145" s="4"/>
      <c r="I145" s="4"/>
      <c r="J145" s="4"/>
      <c r="K145" s="4"/>
      <c r="L145" s="4"/>
      <c r="M145" s="4"/>
    </row>
    <row r="146" ht="14.25" customHeight="1">
      <c r="A146" s="397"/>
      <c r="B146" s="397"/>
      <c r="C146" s="397"/>
      <c r="D146" s="398"/>
      <c r="E146" s="4"/>
      <c r="F146" s="4"/>
      <c r="G146" s="4"/>
      <c r="H146" s="4"/>
      <c r="I146" s="4"/>
      <c r="J146" s="4"/>
      <c r="K146" s="4"/>
      <c r="L146" s="4"/>
      <c r="M146" s="4"/>
    </row>
    <row r="147" ht="14.25" customHeight="1">
      <c r="A147" s="397"/>
      <c r="B147" s="397"/>
      <c r="C147" s="397"/>
      <c r="D147" s="398"/>
      <c r="E147" s="4"/>
      <c r="F147" s="4"/>
      <c r="G147" s="4"/>
      <c r="H147" s="4"/>
      <c r="I147" s="4"/>
      <c r="J147" s="4"/>
      <c r="K147" s="4"/>
      <c r="L147" s="4"/>
      <c r="M147" s="4"/>
    </row>
    <row r="148" ht="14.25" customHeight="1">
      <c r="A148" s="397"/>
      <c r="B148" s="397"/>
      <c r="C148" s="397"/>
      <c r="D148" s="398"/>
      <c r="E148" s="4"/>
      <c r="F148" s="4"/>
      <c r="G148" s="4"/>
      <c r="H148" s="4"/>
      <c r="I148" s="4"/>
      <c r="J148" s="4"/>
      <c r="K148" s="4"/>
      <c r="L148" s="4"/>
      <c r="M148" s="4"/>
    </row>
    <row r="149" ht="14.25" customHeight="1">
      <c r="A149" s="397"/>
      <c r="B149" s="397"/>
      <c r="C149" s="397"/>
      <c r="D149" s="398"/>
      <c r="E149" s="4"/>
      <c r="F149" s="4"/>
      <c r="G149" s="4"/>
      <c r="H149" s="4"/>
      <c r="I149" s="4"/>
      <c r="J149" s="4"/>
      <c r="K149" s="4"/>
      <c r="L149" s="4"/>
      <c r="M149" s="4"/>
    </row>
    <row r="150" ht="14.25" customHeight="1">
      <c r="A150" s="397"/>
      <c r="B150" s="397"/>
      <c r="C150" s="397"/>
      <c r="D150" s="398"/>
      <c r="E150" s="4"/>
      <c r="F150" s="4"/>
      <c r="G150" s="4"/>
      <c r="H150" s="4"/>
      <c r="I150" s="4"/>
      <c r="J150" s="4"/>
      <c r="K150" s="4"/>
      <c r="L150" s="4"/>
      <c r="M150" s="4"/>
    </row>
    <row r="151" ht="14.25" customHeight="1">
      <c r="A151" s="397"/>
      <c r="B151" s="397"/>
      <c r="C151" s="397"/>
      <c r="D151" s="398"/>
      <c r="E151" s="4"/>
      <c r="F151" s="4"/>
      <c r="G151" s="4"/>
      <c r="H151" s="4"/>
      <c r="I151" s="4"/>
      <c r="J151" s="4"/>
      <c r="K151" s="4"/>
      <c r="L151" s="4"/>
      <c r="M151" s="4"/>
    </row>
    <row r="152" ht="14.25" customHeight="1">
      <c r="A152" s="397"/>
      <c r="B152" s="397"/>
      <c r="C152" s="397"/>
      <c r="D152" s="398"/>
      <c r="E152" s="4"/>
      <c r="F152" s="4"/>
      <c r="G152" s="4"/>
      <c r="H152" s="4"/>
      <c r="I152" s="4"/>
      <c r="J152" s="4"/>
      <c r="K152" s="4"/>
      <c r="L152" s="4"/>
      <c r="M152" s="4"/>
    </row>
    <row r="153" ht="14.25" customHeight="1">
      <c r="A153" s="397"/>
      <c r="B153" s="397"/>
      <c r="C153" s="397"/>
      <c r="D153" s="398"/>
      <c r="E153" s="4"/>
      <c r="F153" s="4"/>
      <c r="G153" s="4"/>
      <c r="H153" s="4"/>
      <c r="I153" s="4"/>
      <c r="J153" s="4"/>
      <c r="K153" s="4"/>
      <c r="L153" s="4"/>
      <c r="M153" s="4"/>
    </row>
    <row r="154" ht="14.25" customHeight="1">
      <c r="A154" s="397"/>
      <c r="B154" s="397"/>
      <c r="C154" s="397"/>
      <c r="D154" s="398"/>
      <c r="E154" s="4"/>
      <c r="F154" s="4"/>
      <c r="G154" s="4"/>
      <c r="H154" s="4"/>
      <c r="I154" s="4"/>
      <c r="J154" s="4"/>
      <c r="K154" s="4"/>
      <c r="L154" s="4"/>
      <c r="M154" s="4"/>
    </row>
    <row r="155" ht="14.25" customHeight="1">
      <c r="A155" s="397"/>
      <c r="B155" s="397"/>
      <c r="C155" s="397"/>
      <c r="D155" s="398"/>
      <c r="E155" s="4"/>
      <c r="F155" s="4"/>
      <c r="G155" s="4"/>
      <c r="H155" s="4"/>
      <c r="I155" s="4"/>
      <c r="J155" s="4"/>
      <c r="K155" s="4"/>
      <c r="L155" s="4"/>
      <c r="M155" s="4"/>
    </row>
    <row r="156" ht="14.25" customHeight="1">
      <c r="A156" s="397"/>
      <c r="B156" s="397"/>
      <c r="C156" s="397"/>
      <c r="D156" s="398"/>
      <c r="E156" s="4"/>
      <c r="F156" s="4"/>
      <c r="G156" s="4"/>
      <c r="H156" s="4"/>
      <c r="I156" s="4"/>
      <c r="J156" s="4"/>
      <c r="K156" s="4"/>
      <c r="L156" s="4"/>
      <c r="M156" s="4"/>
    </row>
    <row r="157" ht="14.25" customHeight="1">
      <c r="A157" s="397"/>
      <c r="B157" s="397"/>
      <c r="C157" s="397"/>
      <c r="D157" s="398"/>
      <c r="E157" s="4"/>
      <c r="F157" s="4"/>
      <c r="G157" s="4"/>
      <c r="H157" s="4"/>
      <c r="I157" s="4"/>
      <c r="J157" s="4"/>
      <c r="K157" s="4"/>
      <c r="L157" s="4"/>
      <c r="M157" s="4"/>
    </row>
    <row r="158" ht="14.25" customHeight="1">
      <c r="A158" s="397"/>
      <c r="B158" s="397"/>
      <c r="C158" s="397"/>
      <c r="D158" s="398"/>
      <c r="E158" s="4"/>
      <c r="F158" s="4"/>
      <c r="G158" s="4"/>
      <c r="H158" s="4"/>
      <c r="I158" s="4"/>
      <c r="J158" s="4"/>
      <c r="K158" s="4"/>
      <c r="L158" s="4"/>
      <c r="M158" s="4"/>
    </row>
    <row r="159" ht="14.25" customHeight="1">
      <c r="A159" s="397"/>
      <c r="B159" s="397"/>
      <c r="C159" s="397"/>
      <c r="D159" s="398"/>
      <c r="E159" s="4"/>
      <c r="F159" s="4"/>
      <c r="G159" s="4"/>
      <c r="H159" s="4"/>
      <c r="I159" s="4"/>
      <c r="J159" s="4"/>
      <c r="K159" s="4"/>
      <c r="L159" s="4"/>
      <c r="M159" s="4"/>
    </row>
    <row r="160" ht="14.25" customHeight="1">
      <c r="A160" s="397"/>
      <c r="B160" s="397"/>
      <c r="C160" s="397"/>
      <c r="D160" s="398"/>
      <c r="E160" s="4"/>
      <c r="F160" s="4"/>
      <c r="G160" s="4"/>
      <c r="H160" s="4"/>
      <c r="I160" s="4"/>
      <c r="J160" s="4"/>
      <c r="K160" s="4"/>
      <c r="L160" s="4"/>
      <c r="M160" s="4"/>
    </row>
    <row r="161" ht="14.25" customHeight="1">
      <c r="A161" s="397"/>
      <c r="B161" s="397"/>
      <c r="C161" s="397"/>
      <c r="D161" s="398"/>
      <c r="E161" s="4"/>
      <c r="F161" s="4"/>
      <c r="G161" s="4"/>
      <c r="H161" s="4"/>
      <c r="I161" s="4"/>
      <c r="J161" s="4"/>
      <c r="K161" s="4"/>
      <c r="L161" s="4"/>
      <c r="M161" s="4"/>
    </row>
    <row r="162" ht="14.25" customHeight="1">
      <c r="A162" s="397"/>
      <c r="B162" s="397"/>
      <c r="C162" s="397"/>
      <c r="D162" s="398"/>
      <c r="E162" s="4"/>
      <c r="F162" s="4"/>
      <c r="G162" s="4"/>
      <c r="H162" s="4"/>
      <c r="I162" s="4"/>
      <c r="J162" s="4"/>
      <c r="K162" s="4"/>
      <c r="L162" s="4"/>
      <c r="M162" s="4"/>
    </row>
    <row r="163" ht="14.25" customHeight="1">
      <c r="A163" s="397"/>
      <c r="B163" s="397"/>
      <c r="C163" s="397"/>
      <c r="D163" s="398"/>
      <c r="E163" s="4"/>
      <c r="F163" s="4"/>
      <c r="G163" s="4"/>
      <c r="H163" s="4"/>
      <c r="I163" s="4"/>
      <c r="J163" s="4"/>
      <c r="K163" s="4"/>
      <c r="L163" s="4"/>
      <c r="M163" s="4"/>
    </row>
    <row r="164" ht="14.25" customHeight="1">
      <c r="A164" s="397"/>
      <c r="B164" s="397"/>
      <c r="C164" s="397"/>
      <c r="D164" s="398"/>
      <c r="E164" s="4"/>
      <c r="F164" s="4"/>
      <c r="G164" s="4"/>
      <c r="H164" s="4"/>
      <c r="I164" s="4"/>
      <c r="J164" s="4"/>
      <c r="K164" s="4"/>
      <c r="L164" s="4"/>
      <c r="M164" s="4"/>
    </row>
    <row r="165" ht="14.25" customHeight="1">
      <c r="A165" s="397"/>
      <c r="B165" s="397"/>
      <c r="C165" s="397"/>
      <c r="D165" s="398"/>
      <c r="E165" s="4"/>
      <c r="F165" s="4"/>
      <c r="G165" s="4"/>
      <c r="H165" s="4"/>
      <c r="I165" s="4"/>
      <c r="J165" s="4"/>
      <c r="K165" s="4"/>
      <c r="L165" s="4"/>
      <c r="M165" s="4"/>
    </row>
    <row r="166" ht="14.25" customHeight="1">
      <c r="A166" s="397"/>
      <c r="B166" s="397"/>
      <c r="C166" s="397"/>
      <c r="D166" s="398"/>
      <c r="E166" s="4"/>
      <c r="F166" s="4"/>
      <c r="G166" s="4"/>
      <c r="H166" s="4"/>
      <c r="I166" s="4"/>
      <c r="J166" s="4"/>
      <c r="K166" s="4"/>
      <c r="L166" s="4"/>
      <c r="M166" s="4"/>
    </row>
    <row r="167" ht="14.25" customHeight="1">
      <c r="A167" s="397"/>
      <c r="B167" s="397"/>
      <c r="C167" s="397"/>
      <c r="D167" s="398"/>
      <c r="E167" s="4"/>
      <c r="F167" s="4"/>
      <c r="G167" s="4"/>
      <c r="H167" s="4"/>
      <c r="I167" s="4"/>
      <c r="J167" s="4"/>
      <c r="K167" s="4"/>
      <c r="L167" s="4"/>
      <c r="M167" s="4"/>
    </row>
    <row r="168" ht="14.25" customHeight="1">
      <c r="A168" s="397"/>
      <c r="B168" s="397"/>
      <c r="C168" s="397"/>
      <c r="D168" s="398"/>
      <c r="E168" s="4"/>
      <c r="F168" s="4"/>
      <c r="G168" s="4"/>
      <c r="H168" s="4"/>
      <c r="I168" s="4"/>
      <c r="J168" s="4"/>
      <c r="K168" s="4"/>
      <c r="L168" s="4"/>
      <c r="M168" s="4"/>
    </row>
    <row r="169" ht="14.25" customHeight="1">
      <c r="A169" s="397"/>
      <c r="B169" s="397"/>
      <c r="C169" s="397"/>
      <c r="D169" s="398"/>
      <c r="E169" s="4"/>
      <c r="F169" s="4"/>
      <c r="G169" s="4"/>
      <c r="H169" s="4"/>
      <c r="I169" s="4"/>
      <c r="J169" s="4"/>
      <c r="K169" s="4"/>
      <c r="L169" s="4"/>
      <c r="M169" s="4"/>
    </row>
    <row r="170" ht="14.25" customHeight="1">
      <c r="A170" s="397"/>
      <c r="B170" s="397"/>
      <c r="C170" s="397"/>
      <c r="D170" s="398"/>
      <c r="E170" s="4"/>
      <c r="F170" s="4"/>
      <c r="G170" s="4"/>
      <c r="H170" s="4"/>
      <c r="I170" s="4"/>
      <c r="J170" s="4"/>
      <c r="K170" s="4"/>
      <c r="L170" s="4"/>
      <c r="M170" s="4"/>
    </row>
    <row r="171" ht="14.25" customHeight="1">
      <c r="A171" s="397"/>
      <c r="B171" s="397"/>
      <c r="C171" s="397"/>
      <c r="D171" s="398"/>
      <c r="E171" s="4"/>
      <c r="F171" s="4"/>
      <c r="G171" s="4"/>
      <c r="H171" s="4"/>
      <c r="I171" s="4"/>
      <c r="J171" s="4"/>
      <c r="K171" s="4"/>
      <c r="L171" s="4"/>
      <c r="M171" s="4"/>
    </row>
    <row r="172" ht="14.25" customHeight="1">
      <c r="A172" s="397"/>
      <c r="B172" s="397"/>
      <c r="C172" s="397"/>
      <c r="D172" s="398"/>
      <c r="E172" s="4"/>
      <c r="F172" s="4"/>
      <c r="G172" s="4"/>
      <c r="H172" s="4"/>
      <c r="I172" s="4"/>
      <c r="J172" s="4"/>
      <c r="K172" s="4"/>
      <c r="L172" s="4"/>
      <c r="M172" s="4"/>
    </row>
    <row r="173" ht="14.25" customHeight="1">
      <c r="A173" s="397"/>
      <c r="B173" s="397"/>
      <c r="C173" s="397"/>
      <c r="D173" s="398"/>
      <c r="E173" s="4"/>
      <c r="F173" s="4"/>
      <c r="G173" s="4"/>
      <c r="H173" s="4"/>
      <c r="I173" s="4"/>
      <c r="J173" s="4"/>
      <c r="K173" s="4"/>
      <c r="L173" s="4"/>
      <c r="M173" s="4"/>
    </row>
    <row r="174" ht="14.25" customHeight="1">
      <c r="A174" s="397"/>
      <c r="B174" s="397"/>
      <c r="C174" s="397"/>
      <c r="D174" s="398"/>
      <c r="E174" s="4"/>
      <c r="F174" s="4"/>
      <c r="G174" s="4"/>
      <c r="H174" s="4"/>
      <c r="I174" s="4"/>
      <c r="J174" s="4"/>
      <c r="K174" s="4"/>
      <c r="L174" s="4"/>
      <c r="M174" s="4"/>
    </row>
    <row r="175" ht="14.25" customHeight="1">
      <c r="A175" s="397"/>
      <c r="B175" s="397"/>
      <c r="C175" s="397"/>
      <c r="D175" s="398"/>
      <c r="E175" s="4"/>
      <c r="F175" s="4"/>
      <c r="G175" s="4"/>
      <c r="H175" s="4"/>
      <c r="I175" s="4"/>
      <c r="J175" s="4"/>
      <c r="K175" s="4"/>
      <c r="L175" s="4"/>
      <c r="M175" s="4"/>
    </row>
    <row r="176" ht="14.25" customHeight="1">
      <c r="A176" s="397"/>
      <c r="B176" s="397"/>
      <c r="C176" s="397"/>
      <c r="D176" s="398"/>
      <c r="E176" s="4"/>
      <c r="F176" s="4"/>
      <c r="G176" s="4"/>
      <c r="H176" s="4"/>
      <c r="I176" s="4"/>
      <c r="J176" s="4"/>
      <c r="K176" s="4"/>
      <c r="L176" s="4"/>
      <c r="M176" s="4"/>
    </row>
    <row r="177" ht="14.25" customHeight="1">
      <c r="A177" s="397"/>
      <c r="B177" s="397"/>
      <c r="C177" s="397"/>
      <c r="D177" s="398"/>
      <c r="E177" s="4"/>
      <c r="F177" s="4"/>
      <c r="G177" s="4"/>
      <c r="H177" s="4"/>
      <c r="I177" s="4"/>
      <c r="J177" s="4"/>
      <c r="K177" s="4"/>
      <c r="L177" s="4"/>
      <c r="M177" s="4"/>
    </row>
    <row r="178" ht="14.25" customHeight="1">
      <c r="A178" s="397"/>
      <c r="B178" s="397"/>
      <c r="C178" s="397"/>
      <c r="D178" s="398"/>
      <c r="E178" s="4"/>
      <c r="F178" s="4"/>
      <c r="G178" s="4"/>
      <c r="H178" s="4"/>
      <c r="I178" s="4"/>
      <c r="J178" s="4"/>
      <c r="K178" s="4"/>
      <c r="L178" s="4"/>
      <c r="M178" s="4"/>
    </row>
    <row r="179" ht="14.25" customHeight="1">
      <c r="A179" s="397"/>
      <c r="B179" s="397"/>
      <c r="C179" s="397"/>
      <c r="D179" s="398"/>
      <c r="E179" s="4"/>
      <c r="F179" s="4"/>
      <c r="G179" s="4"/>
      <c r="H179" s="4"/>
      <c r="I179" s="4"/>
      <c r="J179" s="4"/>
      <c r="K179" s="4"/>
      <c r="L179" s="4"/>
      <c r="M179" s="4"/>
    </row>
    <row r="180" ht="14.25" customHeight="1">
      <c r="A180" s="397"/>
      <c r="B180" s="397"/>
      <c r="C180" s="397"/>
      <c r="D180" s="398"/>
      <c r="E180" s="4"/>
      <c r="F180" s="4"/>
      <c r="G180" s="4"/>
      <c r="H180" s="4"/>
      <c r="I180" s="4"/>
      <c r="J180" s="4"/>
      <c r="K180" s="4"/>
      <c r="L180" s="4"/>
      <c r="M180" s="4"/>
    </row>
    <row r="181" ht="14.25" customHeight="1">
      <c r="A181" s="397"/>
      <c r="B181" s="397"/>
      <c r="C181" s="397"/>
      <c r="D181" s="398"/>
      <c r="E181" s="4"/>
      <c r="F181" s="4"/>
      <c r="G181" s="4"/>
      <c r="H181" s="4"/>
      <c r="I181" s="4"/>
      <c r="J181" s="4"/>
      <c r="K181" s="4"/>
      <c r="L181" s="4"/>
      <c r="M181" s="4"/>
    </row>
    <row r="182" ht="14.25" customHeight="1">
      <c r="A182" s="397"/>
      <c r="B182" s="397"/>
      <c r="C182" s="397"/>
      <c r="D182" s="398"/>
      <c r="E182" s="4"/>
      <c r="F182" s="4"/>
      <c r="G182" s="4"/>
      <c r="H182" s="4"/>
      <c r="I182" s="4"/>
      <c r="J182" s="4"/>
      <c r="K182" s="4"/>
      <c r="L182" s="4"/>
      <c r="M182" s="4"/>
    </row>
    <row r="183" ht="14.25" customHeight="1">
      <c r="A183" s="397"/>
      <c r="B183" s="397"/>
      <c r="C183" s="397"/>
      <c r="D183" s="398"/>
      <c r="E183" s="4"/>
      <c r="F183" s="4"/>
      <c r="G183" s="4"/>
      <c r="H183" s="4"/>
      <c r="I183" s="4"/>
      <c r="J183" s="4"/>
      <c r="K183" s="4"/>
      <c r="L183" s="4"/>
      <c r="M183" s="4"/>
    </row>
    <row r="184" ht="14.25" customHeight="1">
      <c r="A184" s="397"/>
      <c r="B184" s="397"/>
      <c r="C184" s="397"/>
      <c r="D184" s="398"/>
      <c r="E184" s="4"/>
      <c r="F184" s="4"/>
      <c r="G184" s="4"/>
      <c r="H184" s="4"/>
      <c r="I184" s="4"/>
      <c r="J184" s="4"/>
      <c r="K184" s="4"/>
      <c r="L184" s="4"/>
      <c r="M184" s="4"/>
    </row>
    <row r="185" ht="14.25" customHeight="1">
      <c r="A185" s="397"/>
      <c r="B185" s="397"/>
      <c r="C185" s="397"/>
      <c r="D185" s="398"/>
      <c r="E185" s="4"/>
      <c r="F185" s="4"/>
      <c r="G185" s="4"/>
      <c r="H185" s="4"/>
      <c r="I185" s="4"/>
      <c r="J185" s="4"/>
      <c r="K185" s="4"/>
      <c r="L185" s="4"/>
      <c r="M185" s="4"/>
    </row>
    <row r="186" ht="14.25" customHeight="1">
      <c r="A186" s="397"/>
      <c r="B186" s="397"/>
      <c r="C186" s="397"/>
      <c r="D186" s="398"/>
      <c r="E186" s="4"/>
      <c r="F186" s="4"/>
      <c r="G186" s="4"/>
      <c r="H186" s="4"/>
      <c r="I186" s="4"/>
      <c r="J186" s="4"/>
      <c r="K186" s="4"/>
      <c r="L186" s="4"/>
      <c r="M186" s="4"/>
    </row>
    <row r="187" ht="14.25" customHeight="1">
      <c r="A187" s="397"/>
      <c r="B187" s="397"/>
      <c r="C187" s="397"/>
      <c r="D187" s="398"/>
      <c r="E187" s="4"/>
      <c r="F187" s="4"/>
      <c r="G187" s="4"/>
      <c r="H187" s="4"/>
      <c r="I187" s="4"/>
      <c r="J187" s="4"/>
      <c r="K187" s="4"/>
      <c r="L187" s="4"/>
      <c r="M187" s="4"/>
    </row>
    <row r="188" ht="14.25" customHeight="1">
      <c r="A188" s="397"/>
      <c r="B188" s="397"/>
      <c r="C188" s="397"/>
      <c r="D188" s="398"/>
      <c r="E188" s="4"/>
      <c r="F188" s="4"/>
      <c r="G188" s="4"/>
      <c r="H188" s="4"/>
      <c r="I188" s="4"/>
      <c r="J188" s="4"/>
      <c r="K188" s="4"/>
      <c r="L188" s="4"/>
      <c r="M188" s="4"/>
    </row>
    <row r="189" ht="14.25" customHeight="1">
      <c r="A189" s="397"/>
      <c r="B189" s="397"/>
      <c r="C189" s="397"/>
      <c r="D189" s="398"/>
      <c r="E189" s="4"/>
      <c r="F189" s="4"/>
      <c r="G189" s="4"/>
      <c r="H189" s="4"/>
      <c r="I189" s="4"/>
      <c r="J189" s="4"/>
      <c r="K189" s="4"/>
      <c r="L189" s="4"/>
      <c r="M189" s="4"/>
    </row>
    <row r="190" ht="14.25" customHeight="1">
      <c r="A190" s="397"/>
      <c r="B190" s="397"/>
      <c r="C190" s="397"/>
      <c r="D190" s="398"/>
      <c r="E190" s="4"/>
      <c r="F190" s="4"/>
      <c r="G190" s="4"/>
      <c r="H190" s="4"/>
      <c r="I190" s="4"/>
      <c r="J190" s="4"/>
      <c r="K190" s="4"/>
      <c r="L190" s="4"/>
      <c r="M190" s="4"/>
    </row>
    <row r="191" ht="14.25" customHeight="1">
      <c r="A191" s="397"/>
      <c r="B191" s="397"/>
      <c r="C191" s="397"/>
      <c r="D191" s="398"/>
      <c r="E191" s="4"/>
      <c r="F191" s="4"/>
      <c r="G191" s="4"/>
      <c r="H191" s="4"/>
      <c r="I191" s="4"/>
      <c r="J191" s="4"/>
      <c r="K191" s="4"/>
      <c r="L191" s="4"/>
      <c r="M191" s="4"/>
    </row>
    <row r="192" ht="14.25" customHeight="1">
      <c r="A192" s="397"/>
      <c r="B192" s="397"/>
      <c r="C192" s="397"/>
      <c r="D192" s="398"/>
      <c r="E192" s="4"/>
      <c r="F192" s="4"/>
      <c r="G192" s="4"/>
      <c r="H192" s="4"/>
      <c r="I192" s="4"/>
      <c r="J192" s="4"/>
      <c r="K192" s="4"/>
      <c r="L192" s="4"/>
      <c r="M192" s="4"/>
    </row>
    <row r="193" ht="14.25" customHeight="1">
      <c r="A193" s="397"/>
      <c r="B193" s="397"/>
      <c r="C193" s="397"/>
      <c r="D193" s="398"/>
      <c r="E193" s="4"/>
      <c r="F193" s="4"/>
      <c r="G193" s="4"/>
      <c r="H193" s="4"/>
      <c r="I193" s="4"/>
      <c r="J193" s="4"/>
      <c r="K193" s="4"/>
      <c r="L193" s="4"/>
      <c r="M193" s="4"/>
    </row>
    <row r="194" ht="14.25" customHeight="1">
      <c r="A194" s="397"/>
      <c r="B194" s="397"/>
      <c r="C194" s="397"/>
      <c r="D194" s="398"/>
      <c r="E194" s="4"/>
      <c r="F194" s="4"/>
      <c r="G194" s="4"/>
      <c r="H194" s="4"/>
      <c r="I194" s="4"/>
      <c r="J194" s="4"/>
      <c r="K194" s="4"/>
      <c r="L194" s="4"/>
      <c r="M194" s="4"/>
    </row>
    <row r="195" ht="14.25" customHeight="1">
      <c r="A195" s="397"/>
      <c r="B195" s="397"/>
      <c r="C195" s="397"/>
      <c r="D195" s="398"/>
      <c r="E195" s="4"/>
      <c r="F195" s="4"/>
      <c r="G195" s="4"/>
      <c r="H195" s="4"/>
      <c r="I195" s="4"/>
      <c r="J195" s="4"/>
      <c r="K195" s="4"/>
      <c r="L195" s="4"/>
      <c r="M195" s="4"/>
    </row>
    <row r="196" ht="14.25" customHeight="1">
      <c r="A196" s="397"/>
      <c r="B196" s="397"/>
      <c r="C196" s="397"/>
      <c r="D196" s="398"/>
      <c r="E196" s="4"/>
      <c r="F196" s="4"/>
      <c r="G196" s="4"/>
      <c r="H196" s="4"/>
      <c r="I196" s="4"/>
      <c r="J196" s="4"/>
      <c r="K196" s="4"/>
      <c r="L196" s="4"/>
      <c r="M196" s="4"/>
    </row>
    <row r="197" ht="14.25" customHeight="1">
      <c r="A197" s="397"/>
      <c r="B197" s="397"/>
      <c r="C197" s="397"/>
      <c r="D197" s="398"/>
      <c r="E197" s="4"/>
      <c r="F197" s="4"/>
      <c r="G197" s="4"/>
      <c r="H197" s="4"/>
      <c r="I197" s="4"/>
      <c r="J197" s="4"/>
      <c r="K197" s="4"/>
      <c r="L197" s="4"/>
      <c r="M197" s="4"/>
    </row>
    <row r="198" ht="14.25" customHeight="1">
      <c r="A198" s="397"/>
      <c r="B198" s="397"/>
      <c r="C198" s="397"/>
      <c r="D198" s="398"/>
      <c r="E198" s="4"/>
      <c r="F198" s="4"/>
      <c r="G198" s="4"/>
      <c r="H198" s="4"/>
      <c r="I198" s="4"/>
      <c r="J198" s="4"/>
      <c r="K198" s="4"/>
      <c r="L198" s="4"/>
      <c r="M198" s="4"/>
    </row>
    <row r="199" ht="14.25" customHeight="1">
      <c r="A199" s="397"/>
      <c r="B199" s="397"/>
      <c r="C199" s="397"/>
      <c r="D199" s="398"/>
      <c r="E199" s="4"/>
      <c r="F199" s="4"/>
      <c r="G199" s="4"/>
      <c r="H199" s="4"/>
      <c r="I199" s="4"/>
      <c r="J199" s="4"/>
      <c r="K199" s="4"/>
      <c r="L199" s="4"/>
      <c r="M199" s="4"/>
    </row>
    <row r="200" ht="14.25" customHeight="1">
      <c r="A200" s="397"/>
      <c r="B200" s="397"/>
      <c r="C200" s="397"/>
      <c r="D200" s="398"/>
      <c r="E200" s="4"/>
      <c r="F200" s="4"/>
      <c r="G200" s="4"/>
      <c r="H200" s="4"/>
      <c r="I200" s="4"/>
      <c r="J200" s="4"/>
      <c r="K200" s="4"/>
      <c r="L200" s="4"/>
      <c r="M200" s="4"/>
    </row>
    <row r="201" ht="14.25" customHeight="1">
      <c r="A201" s="397"/>
      <c r="B201" s="397"/>
      <c r="C201" s="397"/>
      <c r="D201" s="398"/>
      <c r="E201" s="4"/>
      <c r="F201" s="4"/>
      <c r="G201" s="4"/>
      <c r="H201" s="4"/>
      <c r="I201" s="4"/>
      <c r="J201" s="4"/>
      <c r="K201" s="4"/>
      <c r="L201" s="4"/>
      <c r="M201" s="4"/>
    </row>
    <row r="202" ht="14.25" customHeight="1">
      <c r="A202" s="397"/>
      <c r="B202" s="397"/>
      <c r="C202" s="397"/>
      <c r="D202" s="398"/>
      <c r="E202" s="4"/>
      <c r="F202" s="4"/>
      <c r="G202" s="4"/>
      <c r="H202" s="4"/>
      <c r="I202" s="4"/>
      <c r="J202" s="4"/>
      <c r="K202" s="4"/>
      <c r="L202" s="4"/>
      <c r="M202" s="4"/>
    </row>
    <row r="203" ht="14.25" customHeight="1">
      <c r="A203" s="397"/>
      <c r="B203" s="397"/>
      <c r="C203" s="397"/>
      <c r="D203" s="398"/>
      <c r="E203" s="4"/>
      <c r="F203" s="4"/>
      <c r="G203" s="4"/>
      <c r="H203" s="4"/>
      <c r="I203" s="4"/>
      <c r="J203" s="4"/>
      <c r="K203" s="4"/>
      <c r="L203" s="4"/>
      <c r="M203" s="4"/>
    </row>
    <row r="204" ht="14.25" customHeight="1">
      <c r="A204" s="397"/>
      <c r="B204" s="397"/>
      <c r="C204" s="397"/>
      <c r="D204" s="398"/>
      <c r="E204" s="4"/>
      <c r="F204" s="4"/>
      <c r="G204" s="4"/>
      <c r="H204" s="4"/>
      <c r="I204" s="4"/>
      <c r="J204" s="4"/>
      <c r="K204" s="4"/>
      <c r="L204" s="4"/>
      <c r="M204" s="4"/>
    </row>
    <row r="205" ht="14.25" customHeight="1">
      <c r="A205" s="397"/>
      <c r="B205" s="397"/>
      <c r="C205" s="397"/>
      <c r="D205" s="398"/>
      <c r="E205" s="4"/>
      <c r="F205" s="4"/>
      <c r="G205" s="4"/>
      <c r="H205" s="4"/>
      <c r="I205" s="4"/>
      <c r="J205" s="4"/>
      <c r="K205" s="4"/>
      <c r="L205" s="4"/>
      <c r="M205" s="4"/>
    </row>
    <row r="206" ht="14.25" customHeight="1">
      <c r="A206" s="397"/>
      <c r="B206" s="397"/>
      <c r="C206" s="397"/>
      <c r="D206" s="398"/>
      <c r="E206" s="4"/>
      <c r="F206" s="4"/>
      <c r="G206" s="4"/>
      <c r="H206" s="4"/>
      <c r="I206" s="4"/>
      <c r="J206" s="4"/>
      <c r="K206" s="4"/>
      <c r="L206" s="4"/>
      <c r="M206" s="4"/>
    </row>
    <row r="207" ht="14.25" customHeight="1">
      <c r="A207" s="397"/>
      <c r="B207" s="397"/>
      <c r="C207" s="397"/>
      <c r="D207" s="398"/>
      <c r="E207" s="4"/>
      <c r="F207" s="4"/>
      <c r="G207" s="4"/>
      <c r="H207" s="4"/>
      <c r="I207" s="4"/>
      <c r="J207" s="4"/>
      <c r="K207" s="4"/>
      <c r="L207" s="4"/>
      <c r="M207" s="4"/>
    </row>
    <row r="208" ht="14.25" customHeight="1">
      <c r="A208" s="397"/>
      <c r="B208" s="397"/>
      <c r="C208" s="397"/>
      <c r="D208" s="398"/>
      <c r="E208" s="4"/>
      <c r="F208" s="4"/>
      <c r="G208" s="4"/>
      <c r="H208" s="4"/>
      <c r="I208" s="4"/>
      <c r="J208" s="4"/>
      <c r="K208" s="4"/>
      <c r="L208" s="4"/>
      <c r="M208" s="4"/>
    </row>
    <row r="209" ht="14.25" customHeight="1">
      <c r="A209" s="397"/>
      <c r="B209" s="397"/>
      <c r="C209" s="397"/>
      <c r="D209" s="398"/>
      <c r="E209" s="4"/>
      <c r="F209" s="4"/>
      <c r="G209" s="4"/>
      <c r="H209" s="4"/>
      <c r="I209" s="4"/>
      <c r="J209" s="4"/>
      <c r="K209" s="4"/>
      <c r="L209" s="4"/>
      <c r="M209" s="4"/>
    </row>
    <row r="210" ht="14.25" customHeight="1">
      <c r="A210" s="397"/>
      <c r="B210" s="397"/>
      <c r="C210" s="397"/>
      <c r="D210" s="398"/>
      <c r="E210" s="4"/>
      <c r="F210" s="4"/>
      <c r="G210" s="4"/>
      <c r="H210" s="4"/>
      <c r="I210" s="4"/>
      <c r="J210" s="4"/>
      <c r="K210" s="4"/>
      <c r="L210" s="4"/>
      <c r="M210" s="4"/>
    </row>
    <row r="211" ht="14.25" customHeight="1">
      <c r="A211" s="397"/>
      <c r="B211" s="397"/>
      <c r="C211" s="397"/>
      <c r="D211" s="398"/>
      <c r="E211" s="4"/>
      <c r="F211" s="4"/>
      <c r="G211" s="4"/>
      <c r="H211" s="4"/>
      <c r="I211" s="4"/>
      <c r="J211" s="4"/>
      <c r="K211" s="4"/>
      <c r="L211" s="4"/>
      <c r="M211" s="4"/>
    </row>
    <row r="212" ht="14.25" customHeight="1">
      <c r="A212" s="397"/>
      <c r="B212" s="397"/>
      <c r="C212" s="397"/>
      <c r="D212" s="398"/>
      <c r="E212" s="4"/>
      <c r="F212" s="4"/>
      <c r="G212" s="4"/>
      <c r="H212" s="4"/>
      <c r="I212" s="4"/>
      <c r="J212" s="4"/>
      <c r="K212" s="4"/>
      <c r="L212" s="4"/>
      <c r="M212" s="4"/>
    </row>
    <row r="213" ht="14.25" customHeight="1">
      <c r="A213" s="397"/>
      <c r="B213" s="397"/>
      <c r="C213" s="397"/>
      <c r="D213" s="398"/>
      <c r="E213" s="4"/>
      <c r="F213" s="4"/>
      <c r="G213" s="4"/>
      <c r="H213" s="4"/>
      <c r="I213" s="4"/>
      <c r="J213" s="4"/>
      <c r="K213" s="4"/>
      <c r="L213" s="4"/>
      <c r="M213" s="4"/>
    </row>
    <row r="214" ht="14.25" customHeight="1">
      <c r="A214" s="397"/>
      <c r="B214" s="397"/>
      <c r="C214" s="397"/>
      <c r="D214" s="398"/>
      <c r="E214" s="4"/>
      <c r="F214" s="4"/>
      <c r="G214" s="4"/>
      <c r="H214" s="4"/>
      <c r="I214" s="4"/>
      <c r="J214" s="4"/>
      <c r="K214" s="4"/>
      <c r="L214" s="4"/>
      <c r="M214" s="4"/>
    </row>
    <row r="215" ht="14.25" customHeight="1">
      <c r="A215" s="397"/>
      <c r="B215" s="397"/>
      <c r="C215" s="397"/>
      <c r="D215" s="398"/>
      <c r="E215" s="4"/>
      <c r="F215" s="4"/>
      <c r="G215" s="4"/>
      <c r="H215" s="4"/>
      <c r="I215" s="4"/>
      <c r="J215" s="4"/>
      <c r="K215" s="4"/>
      <c r="L215" s="4"/>
      <c r="M215" s="4"/>
    </row>
    <row r="216" ht="14.25" customHeight="1">
      <c r="A216" s="397"/>
      <c r="B216" s="397"/>
      <c r="C216" s="397"/>
      <c r="D216" s="398"/>
      <c r="E216" s="4"/>
      <c r="F216" s="4"/>
      <c r="G216" s="4"/>
      <c r="H216" s="4"/>
      <c r="I216" s="4"/>
      <c r="J216" s="4"/>
      <c r="K216" s="4"/>
      <c r="L216" s="4"/>
      <c r="M216" s="4"/>
    </row>
    <row r="217" ht="14.25" customHeight="1">
      <c r="A217" s="397"/>
      <c r="B217" s="397"/>
      <c r="C217" s="397"/>
      <c r="D217" s="398"/>
      <c r="E217" s="4"/>
      <c r="F217" s="4"/>
      <c r="G217" s="4"/>
      <c r="H217" s="4"/>
      <c r="I217" s="4"/>
      <c r="J217" s="4"/>
      <c r="K217" s="4"/>
      <c r="L217" s="4"/>
      <c r="M217" s="4"/>
    </row>
    <row r="218" ht="14.25" customHeight="1">
      <c r="A218" s="397"/>
      <c r="B218" s="397"/>
      <c r="C218" s="397"/>
      <c r="D218" s="398"/>
      <c r="E218" s="4"/>
      <c r="F218" s="4"/>
      <c r="G218" s="4"/>
      <c r="H218" s="4"/>
      <c r="I218" s="4"/>
      <c r="J218" s="4"/>
      <c r="K218" s="4"/>
      <c r="L218" s="4"/>
      <c r="M218" s="4"/>
    </row>
    <row r="219" ht="14.25" customHeight="1">
      <c r="A219" s="397"/>
      <c r="B219" s="397"/>
      <c r="C219" s="397"/>
      <c r="D219" s="398"/>
      <c r="E219" s="4"/>
      <c r="F219" s="4"/>
      <c r="G219" s="4"/>
      <c r="H219" s="4"/>
      <c r="I219" s="4"/>
      <c r="J219" s="4"/>
      <c r="K219" s="4"/>
      <c r="L219" s="4"/>
      <c r="M219" s="4"/>
    </row>
    <row r="220" ht="14.25" customHeight="1">
      <c r="A220" s="397"/>
      <c r="B220" s="397"/>
      <c r="C220" s="397"/>
      <c r="D220" s="398"/>
      <c r="E220" s="4"/>
      <c r="F220" s="4"/>
      <c r="G220" s="4"/>
      <c r="H220" s="4"/>
      <c r="I220" s="4"/>
      <c r="J220" s="4"/>
      <c r="K220" s="4"/>
      <c r="L220" s="4"/>
      <c r="M220" s="4"/>
    </row>
    <row r="221" ht="14.25" customHeight="1">
      <c r="A221" s="397"/>
      <c r="B221" s="397"/>
      <c r="C221" s="397"/>
      <c r="D221" s="398"/>
      <c r="E221" s="4"/>
      <c r="F221" s="4"/>
      <c r="G221" s="4"/>
      <c r="H221" s="4"/>
      <c r="I221" s="4"/>
      <c r="J221" s="4"/>
      <c r="K221" s="4"/>
      <c r="L221" s="4"/>
      <c r="M221" s="4"/>
    </row>
    <row r="222" ht="14.25" customHeight="1">
      <c r="A222" s="397"/>
      <c r="B222" s="397"/>
      <c r="C222" s="397"/>
      <c r="D222" s="398"/>
      <c r="E222" s="4"/>
      <c r="F222" s="4"/>
      <c r="G222" s="4"/>
      <c r="H222" s="4"/>
      <c r="I222" s="4"/>
      <c r="J222" s="4"/>
      <c r="K222" s="4"/>
      <c r="L222" s="4"/>
      <c r="M222" s="4"/>
    </row>
    <row r="223" ht="14.25" customHeight="1">
      <c r="A223" s="397"/>
      <c r="B223" s="397"/>
      <c r="C223" s="397"/>
      <c r="D223" s="398"/>
      <c r="E223" s="4"/>
      <c r="F223" s="4"/>
      <c r="G223" s="4"/>
      <c r="H223" s="4"/>
      <c r="I223" s="4"/>
      <c r="J223" s="4"/>
      <c r="K223" s="4"/>
      <c r="L223" s="4"/>
      <c r="M223" s="4"/>
    </row>
    <row r="224" ht="14.25" customHeight="1">
      <c r="A224" s="397"/>
      <c r="B224" s="397"/>
      <c r="C224" s="397"/>
      <c r="D224" s="398"/>
      <c r="E224" s="4"/>
      <c r="F224" s="4"/>
      <c r="G224" s="4"/>
      <c r="H224" s="4"/>
      <c r="I224" s="4"/>
      <c r="J224" s="4"/>
      <c r="K224" s="4"/>
      <c r="L224" s="4"/>
      <c r="M224" s="4"/>
    </row>
    <row r="225" ht="14.25" customHeight="1">
      <c r="A225" s="397"/>
      <c r="B225" s="397"/>
      <c r="C225" s="397"/>
      <c r="D225" s="398"/>
      <c r="E225" s="4"/>
      <c r="F225" s="4"/>
      <c r="G225" s="4"/>
      <c r="H225" s="4"/>
      <c r="I225" s="4"/>
      <c r="J225" s="4"/>
      <c r="K225" s="4"/>
      <c r="L225" s="4"/>
      <c r="M225" s="4"/>
    </row>
    <row r="226" ht="14.25" customHeight="1">
      <c r="A226" s="397"/>
      <c r="B226" s="397"/>
      <c r="C226" s="397"/>
      <c r="D226" s="398"/>
      <c r="E226" s="4"/>
      <c r="F226" s="4"/>
      <c r="G226" s="4"/>
      <c r="H226" s="4"/>
      <c r="I226" s="4"/>
      <c r="J226" s="4"/>
      <c r="K226" s="4"/>
      <c r="L226" s="4"/>
      <c r="M226" s="4"/>
    </row>
    <row r="227" ht="14.25" customHeight="1">
      <c r="A227" s="397"/>
      <c r="B227" s="397"/>
      <c r="C227" s="397"/>
      <c r="D227" s="398"/>
      <c r="E227" s="4"/>
      <c r="F227" s="4"/>
      <c r="G227" s="4"/>
      <c r="H227" s="4"/>
      <c r="I227" s="4"/>
      <c r="J227" s="4"/>
      <c r="K227" s="4"/>
      <c r="L227" s="4"/>
      <c r="M227" s="4"/>
    </row>
    <row r="228" ht="14.25" customHeight="1">
      <c r="A228" s="397"/>
      <c r="B228" s="397"/>
      <c r="C228" s="397"/>
      <c r="D228" s="398"/>
      <c r="E228" s="4"/>
      <c r="F228" s="4"/>
      <c r="G228" s="4"/>
      <c r="H228" s="4"/>
      <c r="I228" s="4"/>
      <c r="J228" s="4"/>
      <c r="K228" s="4"/>
      <c r="L228" s="4"/>
      <c r="M228" s="4"/>
    </row>
    <row r="229" ht="14.25" customHeight="1">
      <c r="A229" s="397"/>
      <c r="B229" s="397"/>
      <c r="C229" s="397"/>
      <c r="D229" s="398"/>
      <c r="E229" s="4"/>
      <c r="F229" s="4"/>
      <c r="G229" s="4"/>
      <c r="H229" s="4"/>
      <c r="I229" s="4"/>
      <c r="J229" s="4"/>
      <c r="K229" s="4"/>
      <c r="L229" s="4"/>
      <c r="M229" s="4"/>
    </row>
    <row r="230" ht="14.25" customHeight="1">
      <c r="A230" s="397"/>
      <c r="B230" s="397"/>
      <c r="C230" s="397"/>
      <c r="D230" s="398"/>
      <c r="E230" s="4"/>
      <c r="F230" s="4"/>
      <c r="G230" s="4"/>
      <c r="H230" s="4"/>
      <c r="I230" s="4"/>
      <c r="J230" s="4"/>
      <c r="K230" s="4"/>
      <c r="L230" s="4"/>
      <c r="M230" s="4"/>
    </row>
    <row r="231" ht="14.25" customHeight="1">
      <c r="A231" s="397"/>
      <c r="B231" s="397"/>
      <c r="C231" s="397"/>
      <c r="D231" s="398"/>
      <c r="E231" s="4"/>
      <c r="F231" s="4"/>
      <c r="G231" s="4"/>
      <c r="H231" s="4"/>
      <c r="I231" s="4"/>
      <c r="J231" s="4"/>
      <c r="K231" s="4"/>
      <c r="L231" s="4"/>
      <c r="M231" s="4"/>
    </row>
    <row r="232" ht="14.25" customHeight="1">
      <c r="A232" s="397"/>
      <c r="B232" s="397"/>
      <c r="C232" s="397"/>
      <c r="D232" s="398"/>
      <c r="E232" s="4"/>
      <c r="F232" s="4"/>
      <c r="G232" s="4"/>
      <c r="H232" s="4"/>
      <c r="I232" s="4"/>
      <c r="J232" s="4"/>
      <c r="K232" s="4"/>
      <c r="L232" s="4"/>
      <c r="M232" s="4"/>
    </row>
    <row r="233" ht="14.25" customHeight="1">
      <c r="A233" s="397"/>
      <c r="B233" s="397"/>
      <c r="C233" s="397"/>
      <c r="D233" s="398"/>
      <c r="E233" s="4"/>
      <c r="F233" s="4"/>
      <c r="G233" s="4"/>
      <c r="H233" s="4"/>
      <c r="I233" s="4"/>
      <c r="J233" s="4"/>
      <c r="K233" s="4"/>
      <c r="L233" s="4"/>
      <c r="M233" s="4"/>
    </row>
    <row r="234" ht="14.25" customHeight="1">
      <c r="A234" s="397"/>
      <c r="B234" s="397"/>
      <c r="C234" s="397"/>
      <c r="D234" s="398"/>
      <c r="E234" s="4"/>
      <c r="F234" s="4"/>
      <c r="G234" s="4"/>
      <c r="H234" s="4"/>
      <c r="I234" s="4"/>
      <c r="J234" s="4"/>
      <c r="K234" s="4"/>
      <c r="L234" s="4"/>
      <c r="M234" s="4"/>
    </row>
    <row r="235" ht="14.25" customHeight="1">
      <c r="A235" s="397"/>
      <c r="B235" s="397"/>
      <c r="C235" s="397"/>
      <c r="D235" s="398"/>
      <c r="E235" s="4"/>
      <c r="F235" s="4"/>
      <c r="G235" s="4"/>
      <c r="H235" s="4"/>
      <c r="I235" s="4"/>
      <c r="J235" s="4"/>
      <c r="K235" s="4"/>
      <c r="L235" s="4"/>
      <c r="M235" s="4"/>
    </row>
    <row r="236" ht="14.25" customHeight="1">
      <c r="A236" s="397"/>
      <c r="B236" s="397"/>
      <c r="C236" s="397"/>
      <c r="D236" s="398"/>
      <c r="E236" s="4"/>
      <c r="F236" s="4"/>
      <c r="G236" s="4"/>
      <c r="H236" s="4"/>
      <c r="I236" s="4"/>
      <c r="J236" s="4"/>
      <c r="K236" s="4"/>
      <c r="L236" s="4"/>
      <c r="M236" s="4"/>
    </row>
    <row r="237" ht="14.25" customHeight="1">
      <c r="A237" s="397"/>
      <c r="B237" s="397"/>
      <c r="C237" s="397"/>
      <c r="D237" s="398"/>
      <c r="E237" s="4"/>
      <c r="F237" s="4"/>
      <c r="G237" s="4"/>
      <c r="H237" s="4"/>
      <c r="I237" s="4"/>
      <c r="J237" s="4"/>
      <c r="K237" s="4"/>
      <c r="L237" s="4"/>
      <c r="M237" s="4"/>
    </row>
    <row r="238" ht="14.25" customHeight="1">
      <c r="A238" s="397"/>
      <c r="B238" s="397"/>
      <c r="C238" s="397"/>
      <c r="D238" s="398"/>
      <c r="E238" s="4"/>
      <c r="F238" s="4"/>
      <c r="G238" s="4"/>
      <c r="H238" s="4"/>
      <c r="I238" s="4"/>
      <c r="J238" s="4"/>
      <c r="K238" s="4"/>
      <c r="L238" s="4"/>
      <c r="M238" s="4"/>
    </row>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9">
    <mergeCell ref="A1:D1"/>
    <mergeCell ref="F1:G1"/>
    <mergeCell ref="K1:M1"/>
    <mergeCell ref="F2:G2"/>
    <mergeCell ref="A3:D3"/>
    <mergeCell ref="F6:M15"/>
    <mergeCell ref="D7:D9"/>
    <mergeCell ref="G32:I32"/>
    <mergeCell ref="A34:D34"/>
    <mergeCell ref="C47:D49"/>
    <mergeCell ref="N48:P48"/>
    <mergeCell ref="Q48:S48"/>
    <mergeCell ref="A14:D14"/>
    <mergeCell ref="A25:D25"/>
    <mergeCell ref="G26:I26"/>
    <mergeCell ref="G27:I27"/>
    <mergeCell ref="G28:I28"/>
    <mergeCell ref="G29:I29"/>
    <mergeCell ref="G30:I30"/>
  </mergeCells>
  <conditionalFormatting sqref="B37">
    <cfRule type="cellIs" dxfId="1" priority="1" operator="lessThan">
      <formula>$B$38</formula>
    </cfRule>
  </conditionalFormatting>
  <conditionalFormatting sqref="B37">
    <cfRule type="cellIs" dxfId="2" priority="2" operator="greaterThanOrEqual">
      <formula>$B$38</formula>
    </cfRule>
  </conditionalFormatting>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